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posadas365-my.sharepoint.com/personal/pedro_hurtado_posadas_com/Documents/Desktop/PRIVALIA/2024/Análisis/"/>
    </mc:Choice>
  </mc:AlternateContent>
  <xr:revisionPtr revIDLastSave="5463" documentId="13_ncr:1_{92958FA2-731E-4A25-86F6-DEB1A0A9BA04}" xr6:coauthVersionLast="47" xr6:coauthVersionMax="47" xr10:uidLastSave="{4705D7BC-036B-47AD-8355-1B55320BD00E}"/>
  <bookViews>
    <workbookView xWindow="-108" yWindow="-108" windowWidth="23256" windowHeight="12456" xr2:uid="{FDA7654E-D7DA-4C33-A244-8742F7F566B4}"/>
  </bookViews>
  <sheets>
    <sheet name="Comportamiento" sheetId="1" r:id="rId1"/>
    <sheet name="Buen fin (3)" sheetId="5" state="hidden" r:id="rId2"/>
    <sheet name="Buen fin (2)" sheetId="4" state="hidden" r:id="rId3"/>
    <sheet name="Sheet1" sheetId="3" state="hidden" r:id="rId4"/>
    <sheet name="Sheet2" sheetId="2" state="hidden" r:id="rId5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O56" i="1" l="1"/>
  <c r="GN56" i="1"/>
  <c r="GM56" i="1"/>
  <c r="GO59" i="1"/>
  <c r="GN59" i="1"/>
  <c r="GM59" i="1"/>
  <c r="GN16" i="1"/>
  <c r="GK19" i="1"/>
  <c r="GL19" i="1"/>
  <c r="GM19" i="1"/>
  <c r="GN19" i="1"/>
  <c r="GO19" i="1"/>
  <c r="GP19" i="1"/>
  <c r="GO16" i="1"/>
  <c r="GP55" i="1" l="1"/>
  <c r="GP12" i="1"/>
  <c r="GL56" i="1" l="1"/>
  <c r="GL107" i="1"/>
  <c r="GL59" i="1"/>
  <c r="GL110" i="1" s="1"/>
  <c r="GL16" i="1"/>
  <c r="GM16" i="1"/>
  <c r="GK56" i="1"/>
  <c r="GX117" i="1"/>
  <c r="GX118" i="1"/>
  <c r="GX119" i="1"/>
  <c r="GX120" i="1"/>
  <c r="GX121" i="1"/>
  <c r="GX122" i="1"/>
  <c r="GX123" i="1"/>
  <c r="GX124" i="1"/>
  <c r="GX125" i="1"/>
  <c r="GX126" i="1"/>
  <c r="GK59" i="1"/>
  <c r="GJ19" i="1"/>
  <c r="GK16" i="1"/>
  <c r="GI19" i="1"/>
  <c r="GQ19" i="1"/>
  <c r="GR19" i="1"/>
  <c r="GS19" i="1"/>
  <c r="GT19" i="1"/>
  <c r="GJ104" i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J55" i="1"/>
  <c r="GK55" i="1" s="1"/>
  <c r="GL55" i="1" s="1"/>
  <c r="GJ53" i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J12" i="1"/>
  <c r="GK12" i="1"/>
  <c r="GL12" i="1"/>
  <c r="GM12" i="1"/>
  <c r="GJ10" i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P163" i="1"/>
  <c r="GP113" i="1"/>
  <c r="GP112" i="1"/>
  <c r="GP110" i="1"/>
  <c r="GP107" i="1"/>
  <c r="GP105" i="1"/>
  <c r="GP70" i="1"/>
  <c r="GP66" i="1"/>
  <c r="GP62" i="1"/>
  <c r="GQ163" i="1"/>
  <c r="GQ113" i="1"/>
  <c r="GQ112" i="1"/>
  <c r="GQ110" i="1"/>
  <c r="GQ107" i="1"/>
  <c r="GQ105" i="1"/>
  <c r="GQ70" i="1"/>
  <c r="GQ66" i="1"/>
  <c r="GQ62" i="1"/>
  <c r="GR163" i="1"/>
  <c r="GR112" i="1"/>
  <c r="GR110" i="1"/>
  <c r="GR107" i="1"/>
  <c r="GR105" i="1"/>
  <c r="GR113" i="1" s="1"/>
  <c r="GR70" i="1"/>
  <c r="GR66" i="1"/>
  <c r="GR62" i="1"/>
  <c r="GL163" i="1"/>
  <c r="GL112" i="1"/>
  <c r="GL105" i="1"/>
  <c r="GL70" i="1"/>
  <c r="GL66" i="1"/>
  <c r="GL15" i="1"/>
  <c r="GL14" i="1"/>
  <c r="GM163" i="1"/>
  <c r="GM112" i="1"/>
  <c r="GM110" i="1"/>
  <c r="GM107" i="1"/>
  <c r="GM105" i="1"/>
  <c r="GM70" i="1"/>
  <c r="GM66" i="1"/>
  <c r="GM62" i="1"/>
  <c r="GN163" i="1"/>
  <c r="GN112" i="1"/>
  <c r="GN110" i="1"/>
  <c r="GN107" i="1"/>
  <c r="GN105" i="1"/>
  <c r="GN70" i="1"/>
  <c r="GN66" i="1"/>
  <c r="GN62" i="1"/>
  <c r="GO163" i="1"/>
  <c r="GO112" i="1"/>
  <c r="GO110" i="1"/>
  <c r="GO107" i="1"/>
  <c r="GO105" i="1"/>
  <c r="GO70" i="1"/>
  <c r="GO66" i="1"/>
  <c r="GO62" i="1"/>
  <c r="GS163" i="1"/>
  <c r="GS112" i="1"/>
  <c r="GS110" i="1"/>
  <c r="GS107" i="1"/>
  <c r="GS105" i="1"/>
  <c r="GS113" i="1" s="1"/>
  <c r="GS70" i="1"/>
  <c r="GS66" i="1"/>
  <c r="GS62" i="1"/>
  <c r="GJ56" i="1"/>
  <c r="GK62" i="1"/>
  <c r="GT62" i="1"/>
  <c r="GM113" i="1" l="1"/>
  <c r="GN113" i="1"/>
  <c r="GO113" i="1"/>
  <c r="GX127" i="1"/>
  <c r="GY124" i="1" s="1"/>
  <c r="GL62" i="1"/>
  <c r="GL113" i="1"/>
  <c r="GL58" i="1"/>
  <c r="GM55" i="1"/>
  <c r="GN15" i="1"/>
  <c r="GM15" i="1"/>
  <c r="GY123" i="1"/>
  <c r="GY119" i="1"/>
  <c r="GM106" i="1"/>
  <c r="GL57" i="1"/>
  <c r="GM14" i="1"/>
  <c r="GM57" i="1"/>
  <c r="GL106" i="1"/>
  <c r="GN14" i="1"/>
  <c r="GY121" i="1"/>
  <c r="GY118" i="1"/>
  <c r="GI56" i="1"/>
  <c r="GJ59" i="1"/>
  <c r="GJ62" i="1" s="1"/>
  <c r="GJ16" i="1"/>
  <c r="GF19" i="1"/>
  <c r="GH56" i="1"/>
  <c r="GG56" i="1"/>
  <c r="GF56" i="1"/>
  <c r="GI59" i="1"/>
  <c r="GI62" i="1" s="1"/>
  <c r="GH59" i="1"/>
  <c r="GH62" i="1" s="1"/>
  <c r="GG59" i="1"/>
  <c r="GF59" i="1"/>
  <c r="GH16" i="1"/>
  <c r="GG19" i="1" s="1"/>
  <c r="GG16" i="1"/>
  <c r="GI16" i="1"/>
  <c r="GH19" i="1" s="1"/>
  <c r="GY122" i="1" l="1"/>
  <c r="GY120" i="1"/>
  <c r="GY117" i="1"/>
  <c r="GY125" i="1"/>
  <c r="GY126" i="1"/>
  <c r="GM58" i="1"/>
  <c r="GP15" i="1"/>
  <c r="GQ12" i="1"/>
  <c r="GP14" i="1"/>
  <c r="GM109" i="1"/>
  <c r="GM108" i="1"/>
  <c r="GL108" i="1"/>
  <c r="GL109" i="1"/>
  <c r="GN57" i="1" l="1"/>
  <c r="GN58" i="1"/>
  <c r="GN106" i="1"/>
  <c r="GR12" i="1"/>
  <c r="GS12" i="1" s="1"/>
  <c r="GT12" i="1" s="1"/>
  <c r="GQ15" i="1"/>
  <c r="GQ14" i="1"/>
  <c r="GN109" i="1" l="1"/>
  <c r="GN108" i="1"/>
  <c r="GQ55" i="1"/>
  <c r="GP58" i="1"/>
  <c r="GP57" i="1"/>
  <c r="GP106" i="1"/>
  <c r="GP109" i="1" l="1"/>
  <c r="GP108" i="1"/>
  <c r="GQ58" i="1"/>
  <c r="GQ57" i="1"/>
  <c r="GR55" i="1"/>
  <c r="GS55" i="1" s="1"/>
  <c r="GT55" i="1" s="1"/>
  <c r="GQ106" i="1"/>
  <c r="GQ109" i="1" l="1"/>
  <c r="GQ108" i="1"/>
  <c r="GE56" i="1" l="1"/>
  <c r="GF16" i="1"/>
  <c r="GE19" i="1" s="1"/>
  <c r="GD112" i="1" l="1"/>
  <c r="GE112" i="1"/>
  <c r="GF112" i="1"/>
  <c r="GG112" i="1"/>
  <c r="GH112" i="1"/>
  <c r="GI112" i="1"/>
  <c r="GJ112" i="1"/>
  <c r="GK112" i="1"/>
  <c r="GT112" i="1"/>
  <c r="GF110" i="1"/>
  <c r="GG110" i="1"/>
  <c r="GH110" i="1"/>
  <c r="GI110" i="1"/>
  <c r="GJ110" i="1"/>
  <c r="GK110" i="1"/>
  <c r="GT110" i="1"/>
  <c r="GE107" i="1"/>
  <c r="GF107" i="1"/>
  <c r="GG107" i="1"/>
  <c r="GH107" i="1"/>
  <c r="GI107" i="1"/>
  <c r="GJ107" i="1"/>
  <c r="GK107" i="1"/>
  <c r="GT107" i="1"/>
  <c r="GG106" i="1"/>
  <c r="GH106" i="1"/>
  <c r="GD105" i="1"/>
  <c r="GE105" i="1"/>
  <c r="GF105" i="1"/>
  <c r="GG105" i="1"/>
  <c r="GH105" i="1"/>
  <c r="GI105" i="1"/>
  <c r="GJ105" i="1"/>
  <c r="GJ113" i="1" s="1"/>
  <c r="GK105" i="1"/>
  <c r="GT105" i="1"/>
  <c r="GT113" i="1" s="1"/>
  <c r="GE55" i="1"/>
  <c r="GF106" i="1" s="1"/>
  <c r="GI12" i="1"/>
  <c r="GG163" i="1"/>
  <c r="GG70" i="1"/>
  <c r="GG66" i="1"/>
  <c r="GG62" i="1"/>
  <c r="GH163" i="1"/>
  <c r="GH70" i="1"/>
  <c r="GH66" i="1"/>
  <c r="GI163" i="1"/>
  <c r="GI70" i="1"/>
  <c r="GI66" i="1"/>
  <c r="GJ163" i="1"/>
  <c r="GJ70" i="1"/>
  <c r="GJ66" i="1"/>
  <c r="GF163" i="1"/>
  <c r="GF70" i="1"/>
  <c r="GF66" i="1"/>
  <c r="GF62" i="1"/>
  <c r="GI113" i="1" l="1"/>
  <c r="GH113" i="1"/>
  <c r="GO15" i="1"/>
  <c r="GO14" i="1"/>
  <c r="GK113" i="1"/>
  <c r="GG113" i="1"/>
  <c r="GH108" i="1"/>
  <c r="GG108" i="1"/>
  <c r="GF113" i="1"/>
  <c r="GH109" i="1"/>
  <c r="GG109" i="1"/>
  <c r="GF108" i="1"/>
  <c r="GF109" i="1"/>
  <c r="GI55" i="1"/>
  <c r="GG57" i="1"/>
  <c r="GG15" i="1"/>
  <c r="GG58" i="1"/>
  <c r="GG14" i="1"/>
  <c r="GD56" i="1"/>
  <c r="GD107" i="1" s="1"/>
  <c r="GE59" i="1"/>
  <c r="GE16" i="1"/>
  <c r="GR57" i="1" l="1"/>
  <c r="GR58" i="1"/>
  <c r="GR15" i="1"/>
  <c r="GR14" i="1"/>
  <c r="GR106" i="1"/>
  <c r="GI106" i="1"/>
  <c r="GI108" i="1" s="1"/>
  <c r="GD19" i="1"/>
  <c r="GE110" i="1"/>
  <c r="GE113" i="1" s="1"/>
  <c r="GH58" i="1"/>
  <c r="GH57" i="1"/>
  <c r="GR109" i="1" l="1"/>
  <c r="GR108" i="1"/>
  <c r="GO58" i="1"/>
  <c r="GO57" i="1"/>
  <c r="GO106" i="1"/>
  <c r="GI109" i="1"/>
  <c r="GS14" i="1"/>
  <c r="GS15" i="1"/>
  <c r="GS106" i="1"/>
  <c r="GI58" i="1"/>
  <c r="GI57" i="1"/>
  <c r="GS109" i="1" l="1"/>
  <c r="GS108" i="1"/>
  <c r="GS58" i="1"/>
  <c r="GS57" i="1"/>
  <c r="GO109" i="1"/>
  <c r="GO108" i="1"/>
  <c r="GJ106" i="1"/>
  <c r="GJ108" i="1" l="1"/>
  <c r="GJ109" i="1"/>
  <c r="GT106" i="1"/>
  <c r="GK106" i="1"/>
  <c r="GK108" i="1" l="1"/>
  <c r="GK109" i="1"/>
  <c r="GT108" i="1"/>
  <c r="GT109" i="1"/>
  <c r="GC56" i="1" l="1"/>
  <c r="GC107" i="1" s="1"/>
  <c r="GD59" i="1"/>
  <c r="GD62" i="1" s="1"/>
  <c r="GD16" i="1"/>
  <c r="GD110" i="1" s="1"/>
  <c r="GD113" i="1" s="1"/>
  <c r="GC59" i="1"/>
  <c r="GC62" i="1" s="1"/>
  <c r="GB56" i="1"/>
  <c r="GC16" i="1"/>
  <c r="GD163" i="1"/>
  <c r="GC163" i="1"/>
  <c r="GC112" i="1"/>
  <c r="GC105" i="1"/>
  <c r="GD70" i="1"/>
  <c r="GC70" i="1"/>
  <c r="GD66" i="1"/>
  <c r="GC66" i="1"/>
  <c r="GE163" i="1"/>
  <c r="GE70" i="1"/>
  <c r="GE66" i="1"/>
  <c r="GE62" i="1"/>
  <c r="GK163" i="1"/>
  <c r="GK70" i="1"/>
  <c r="GK66" i="1"/>
  <c r="GC19" i="1" l="1"/>
  <c r="GC110" i="1"/>
  <c r="GJ58" i="1"/>
  <c r="GJ57" i="1"/>
  <c r="GB19" i="1"/>
  <c r="GC113" i="1"/>
  <c r="GE57" i="1"/>
  <c r="GE58" i="1"/>
  <c r="GF58" i="1" l="1"/>
  <c r="GF57" i="1"/>
  <c r="GK57" i="1"/>
  <c r="GK58" i="1"/>
  <c r="GA56" i="1" l="1"/>
  <c r="FZ56" i="1"/>
  <c r="FY56" i="1"/>
  <c r="GB59" i="1"/>
  <c r="GB62" i="1" s="1"/>
  <c r="GA59" i="1"/>
  <c r="GA62" i="1" s="1"/>
  <c r="FZ59" i="1"/>
  <c r="FZ62" i="1" s="1"/>
  <c r="FY59" i="1"/>
  <c r="FZ16" i="1"/>
  <c r="GA16" i="1"/>
  <c r="FZ19" i="1" s="1"/>
  <c r="GB16" i="1"/>
  <c r="GA19" i="1" s="1"/>
  <c r="FX56" i="1" l="1"/>
  <c r="FY16" i="1"/>
  <c r="FV112" i="1" l="1"/>
  <c r="FW112" i="1"/>
  <c r="FX112" i="1"/>
  <c r="FY112" i="1"/>
  <c r="FZ112" i="1"/>
  <c r="GA112" i="1"/>
  <c r="GB112" i="1"/>
  <c r="FV105" i="1"/>
  <c r="FW105" i="1"/>
  <c r="FX105" i="1"/>
  <c r="FY105" i="1"/>
  <c r="FZ105" i="1"/>
  <c r="GA105" i="1"/>
  <c r="GB105" i="1"/>
  <c r="FY62" i="1"/>
  <c r="FZ58" i="1"/>
  <c r="GA58" i="1"/>
  <c r="FZ57" i="1"/>
  <c r="GA57" i="1"/>
  <c r="FX19" i="1"/>
  <c r="FY19" i="1"/>
  <c r="FZ15" i="1"/>
  <c r="GA15" i="1"/>
  <c r="FZ14" i="1"/>
  <c r="GA14" i="1"/>
  <c r="FY163" i="1"/>
  <c r="FY110" i="1"/>
  <c r="FY107" i="1"/>
  <c r="FY70" i="1"/>
  <c r="FY66" i="1"/>
  <c r="FZ163" i="1"/>
  <c r="FZ110" i="1"/>
  <c r="FZ107" i="1"/>
  <c r="FZ70" i="1"/>
  <c r="FZ66" i="1"/>
  <c r="GA163" i="1"/>
  <c r="GA110" i="1"/>
  <c r="GA107" i="1"/>
  <c r="GA70" i="1"/>
  <c r="GA66" i="1"/>
  <c r="FY113" i="1" l="1"/>
  <c r="FZ113" i="1"/>
  <c r="GA113" i="1"/>
  <c r="GA106" i="1"/>
  <c r="GA109" i="1" s="1"/>
  <c r="GA108" i="1" l="1"/>
  <c r="FW56" i="1" l="1"/>
  <c r="FX59" i="1"/>
  <c r="FX62" i="1" s="1"/>
  <c r="FX16" i="1"/>
  <c r="FW19" i="1" s="1"/>
  <c r="FV56" i="1" l="1"/>
  <c r="FW59" i="1"/>
  <c r="FW62" i="1" s="1"/>
  <c r="FW16" i="1"/>
  <c r="FV19" i="1" s="1"/>
  <c r="FP112" i="1" l="1"/>
  <c r="FQ112" i="1"/>
  <c r="FR112" i="1"/>
  <c r="FS112" i="1"/>
  <c r="FT112" i="1"/>
  <c r="FU112" i="1"/>
  <c r="FP106" i="1"/>
  <c r="FS106" i="1"/>
  <c r="FS109" i="1" s="1"/>
  <c r="FT106" i="1"/>
  <c r="FT109" i="1" s="1"/>
  <c r="FP105" i="1"/>
  <c r="FQ105" i="1"/>
  <c r="FR105" i="1"/>
  <c r="FS105" i="1"/>
  <c r="FT105" i="1"/>
  <c r="FU105" i="1"/>
  <c r="FV59" i="1"/>
  <c r="FV62" i="1" s="1"/>
  <c r="FV16" i="1"/>
  <c r="FU19" i="1" s="1"/>
  <c r="FU163" i="1"/>
  <c r="FU70" i="1"/>
  <c r="FU66" i="1"/>
  <c r="FU59" i="1"/>
  <c r="FU62" i="1" s="1"/>
  <c r="FU56" i="1"/>
  <c r="FU107" i="1" s="1"/>
  <c r="FU16" i="1"/>
  <c r="FU110" i="1" s="1"/>
  <c r="FV163" i="1"/>
  <c r="FV107" i="1"/>
  <c r="FV70" i="1"/>
  <c r="FV66" i="1"/>
  <c r="FW163" i="1"/>
  <c r="FW70" i="1"/>
  <c r="FW66" i="1"/>
  <c r="FW107" i="1"/>
  <c r="FX163" i="1"/>
  <c r="FX70" i="1"/>
  <c r="FX66" i="1"/>
  <c r="FX107" i="1"/>
  <c r="GB163" i="1"/>
  <c r="GB70" i="1"/>
  <c r="GB66" i="1"/>
  <c r="GB107" i="1"/>
  <c r="FP109" i="1" l="1"/>
  <c r="FU113" i="1"/>
  <c r="FT19" i="1"/>
  <c r="FW110" i="1"/>
  <c r="FW113" i="1" s="1"/>
  <c r="FX110" i="1"/>
  <c r="FX113" i="1" s="1"/>
  <c r="GB110" i="1"/>
  <c r="GB113" i="1" s="1"/>
  <c r="FV110" i="1"/>
  <c r="FV113" i="1" s="1"/>
  <c r="FT56" i="1" l="1"/>
  <c r="FT107" i="1" s="1"/>
  <c r="FS56" i="1"/>
  <c r="FS107" i="1" s="1"/>
  <c r="FR56" i="1"/>
  <c r="FR107" i="1" s="1"/>
  <c r="FT59" i="1" l="1"/>
  <c r="FT62" i="1" s="1"/>
  <c r="FT113" i="1" s="1"/>
  <c r="FS59" i="1"/>
  <c r="FS62" i="1" s="1"/>
  <c r="FR59" i="1"/>
  <c r="FR62" i="1" s="1"/>
  <c r="FR16" i="1"/>
  <c r="FS16" i="1"/>
  <c r="FT16" i="1"/>
  <c r="FT110" i="1" l="1"/>
  <c r="FS19" i="1"/>
  <c r="FS113" i="1" s="1"/>
  <c r="FS110" i="1"/>
  <c r="FR19" i="1"/>
  <c r="FR113" i="1" s="1"/>
  <c r="FR110" i="1"/>
  <c r="FQ19" i="1"/>
  <c r="FQ56" i="1" l="1"/>
  <c r="FQ107" i="1" s="1"/>
  <c r="FQ59" i="1"/>
  <c r="FQ62" i="1" s="1"/>
  <c r="FQ113" i="1" s="1"/>
  <c r="FQ16" i="1"/>
  <c r="FQ110" i="1" s="1"/>
  <c r="FP56" i="1" l="1"/>
  <c r="FP107" i="1" s="1"/>
  <c r="FP59" i="1" l="1"/>
  <c r="FP62" i="1" s="1"/>
  <c r="FO59" i="1"/>
  <c r="FP60" i="1" l="1"/>
  <c r="FP16" i="1"/>
  <c r="FP110" i="1" s="1"/>
  <c r="FO16" i="1"/>
  <c r="FO19" i="1" s="1"/>
  <c r="FO56" i="1"/>
  <c r="FP17" i="1" l="1"/>
  <c r="FP19" i="1"/>
  <c r="FP113" i="1" s="1"/>
  <c r="FO105" i="1"/>
  <c r="FQ163" i="1"/>
  <c r="FQ70" i="1"/>
  <c r="FQ66" i="1"/>
  <c r="FR163" i="1"/>
  <c r="FR70" i="1"/>
  <c r="FR66" i="1"/>
  <c r="FS163" i="1"/>
  <c r="FS70" i="1"/>
  <c r="FS66" i="1"/>
  <c r="FN56" i="1" l="1"/>
  <c r="FN59" i="1"/>
  <c r="FN16" i="1"/>
  <c r="FM56" i="1"/>
  <c r="FL56" i="1"/>
  <c r="FK56" i="1"/>
  <c r="FM59" i="1"/>
  <c r="FL59" i="1"/>
  <c r="FM16" i="1"/>
  <c r="FL16" i="1"/>
  <c r="FL19" i="1" l="1"/>
  <c r="FM17" i="1"/>
  <c r="FM19" i="1"/>
  <c r="FM60" i="1"/>
  <c r="FN17" i="1"/>
  <c r="FN19" i="1"/>
  <c r="FO17" i="1"/>
  <c r="FN110" i="1"/>
  <c r="FN60" i="1"/>
  <c r="FO60" i="1"/>
  <c r="FM110" i="1"/>
  <c r="FN111" i="1" l="1"/>
  <c r="FK59" i="1"/>
  <c r="FK16" i="1"/>
  <c r="FN163" i="1"/>
  <c r="FN112" i="1"/>
  <c r="FN107" i="1"/>
  <c r="FN105" i="1"/>
  <c r="FN70" i="1"/>
  <c r="FN66" i="1"/>
  <c r="FN62" i="1"/>
  <c r="FN113" i="1" s="1"/>
  <c r="FO163" i="1"/>
  <c r="FO112" i="1"/>
  <c r="FO110" i="1"/>
  <c r="FO107" i="1"/>
  <c r="FO70" i="1"/>
  <c r="FO66" i="1"/>
  <c r="FO62" i="1"/>
  <c r="FO113" i="1" s="1"/>
  <c r="FP163" i="1"/>
  <c r="FP70" i="1"/>
  <c r="FP66" i="1"/>
  <c r="FT163" i="1"/>
  <c r="FT70" i="1"/>
  <c r="FT66" i="1"/>
  <c r="FJ56" i="1"/>
  <c r="FJ59" i="1"/>
  <c r="FJ16" i="1"/>
  <c r="FI56" i="1"/>
  <c r="FJ19" i="1" l="1"/>
  <c r="FP111" i="1"/>
  <c r="FK17" i="1"/>
  <c r="FK19" i="1"/>
  <c r="FL17" i="1"/>
  <c r="FK60" i="1"/>
  <c r="FL60" i="1"/>
  <c r="FO111" i="1"/>
  <c r="FK163" i="1"/>
  <c r="FJ163" i="1"/>
  <c r="FI163" i="1"/>
  <c r="FK112" i="1"/>
  <c r="FJ112" i="1"/>
  <c r="FI112" i="1"/>
  <c r="FK107" i="1"/>
  <c r="FJ107" i="1"/>
  <c r="FI107" i="1"/>
  <c r="FK105" i="1"/>
  <c r="FJ105" i="1"/>
  <c r="FI105" i="1"/>
  <c r="FK70" i="1"/>
  <c r="FJ70" i="1"/>
  <c r="FI70" i="1"/>
  <c r="FK66" i="1"/>
  <c r="FJ66" i="1"/>
  <c r="FI66" i="1"/>
  <c r="FJ62" i="1"/>
  <c r="FK62" i="1"/>
  <c r="FI59" i="1"/>
  <c r="FK110" i="1"/>
  <c r="FJ110" i="1"/>
  <c r="FI16" i="1"/>
  <c r="FL163" i="1"/>
  <c r="FL112" i="1"/>
  <c r="FL107" i="1"/>
  <c r="FL105" i="1"/>
  <c r="FL70" i="1"/>
  <c r="FL66" i="1"/>
  <c r="FL62" i="1"/>
  <c r="FL113" i="1" s="1"/>
  <c r="FL110" i="1"/>
  <c r="FM163" i="1"/>
  <c r="FM112" i="1"/>
  <c r="FM107" i="1"/>
  <c r="FM105" i="1"/>
  <c r="FM70" i="1"/>
  <c r="FM66" i="1"/>
  <c r="FH59" i="1"/>
  <c r="FH16" i="1"/>
  <c r="FH56" i="1"/>
  <c r="FK113" i="1" l="1"/>
  <c r="FJ113" i="1"/>
  <c r="FK111" i="1"/>
  <c r="FI62" i="1"/>
  <c r="FI60" i="1"/>
  <c r="FL111" i="1"/>
  <c r="FM111" i="1"/>
  <c r="FH19" i="1"/>
  <c r="FJ60" i="1"/>
  <c r="FI17" i="1"/>
  <c r="FI19" i="1"/>
  <c r="FJ17" i="1"/>
  <c r="FI110" i="1"/>
  <c r="FM62" i="1"/>
  <c r="FM113" i="1" s="1"/>
  <c r="FG59" i="1"/>
  <c r="FH60" i="1" s="1"/>
  <c r="FG16" i="1"/>
  <c r="FG56" i="1"/>
  <c r="FG107" i="1" s="1"/>
  <c r="FH163" i="1"/>
  <c r="FH112" i="1"/>
  <c r="FH105" i="1"/>
  <c r="FH70" i="1"/>
  <c r="FH66" i="1"/>
  <c r="FH62" i="1"/>
  <c r="FH107" i="1"/>
  <c r="FG163" i="1"/>
  <c r="FG112" i="1"/>
  <c r="FG105" i="1"/>
  <c r="FG70" i="1"/>
  <c r="FG66" i="1"/>
  <c r="FF163" i="1"/>
  <c r="FF112" i="1"/>
  <c r="FF105" i="1"/>
  <c r="FF70" i="1"/>
  <c r="FF66" i="1"/>
  <c r="FF59" i="1"/>
  <c r="FF56" i="1"/>
  <c r="FF107" i="1" s="1"/>
  <c r="FF16" i="1"/>
  <c r="FF15" i="1"/>
  <c r="FF14" i="1"/>
  <c r="FI113" i="1" l="1"/>
  <c r="FH113" i="1"/>
  <c r="FG17" i="1"/>
  <c r="FG19" i="1"/>
  <c r="FG62" i="1"/>
  <c r="FG60" i="1"/>
  <c r="FH17" i="1"/>
  <c r="FF19" i="1"/>
  <c r="FJ111" i="1"/>
  <c r="FG110" i="1"/>
  <c r="FF110" i="1"/>
  <c r="FH110" i="1"/>
  <c r="FI111" i="1" s="1"/>
  <c r="FF62" i="1"/>
  <c r="FF113" i="1" l="1"/>
  <c r="FG113" i="1"/>
  <c r="FG111" i="1"/>
  <c r="FH111" i="1"/>
  <c r="FE59" i="1" l="1"/>
  <c r="FD59" i="1"/>
  <c r="FE16" i="1"/>
  <c r="FD16" i="1"/>
  <c r="FD56" i="1"/>
  <c r="FD107" i="1" s="1"/>
  <c r="FE56" i="1"/>
  <c r="FD163" i="1"/>
  <c r="FD112" i="1"/>
  <c r="FD105" i="1"/>
  <c r="FD70" i="1"/>
  <c r="FD66" i="1"/>
  <c r="FD110" i="1" l="1"/>
  <c r="FE17" i="1"/>
  <c r="FF17" i="1"/>
  <c r="FD62" i="1"/>
  <c r="FE60" i="1"/>
  <c r="FF60" i="1"/>
  <c r="FD19" i="1"/>
  <c r="FD113" i="1" l="1"/>
  <c r="FC59" i="1"/>
  <c r="FD60" i="1" l="1"/>
  <c r="FC16" i="1"/>
  <c r="FC56" i="1"/>
  <c r="FD17" i="1" l="1"/>
  <c r="FB56" i="1"/>
  <c r="FB107" i="1" s="1"/>
  <c r="FB59" i="1"/>
  <c r="FB16" i="1"/>
  <c r="FB163" i="1"/>
  <c r="FB112" i="1"/>
  <c r="FB105" i="1"/>
  <c r="FB70" i="1"/>
  <c r="FB66" i="1"/>
  <c r="FB62" i="1"/>
  <c r="FC163" i="1"/>
  <c r="FC112" i="1"/>
  <c r="FC110" i="1"/>
  <c r="FC107" i="1"/>
  <c r="FC105" i="1"/>
  <c r="FC70" i="1"/>
  <c r="FC66" i="1"/>
  <c r="FC62" i="1"/>
  <c r="FC19" i="1"/>
  <c r="FC113" i="1" l="1"/>
  <c r="FB110" i="1"/>
  <c r="FC111" i="1" s="1"/>
  <c r="FC60" i="1"/>
  <c r="FD111" i="1"/>
  <c r="FC17" i="1"/>
  <c r="FB19" i="1"/>
  <c r="FB113" i="1" s="1"/>
  <c r="FA56" i="1" l="1"/>
  <c r="FA59" i="1" l="1"/>
  <c r="EZ59" i="1"/>
  <c r="EZ16" i="1"/>
  <c r="FA16" i="1"/>
  <c r="FA17" i="1" l="1"/>
  <c r="FB17" i="1"/>
  <c r="FA60" i="1"/>
  <c r="FB60" i="1"/>
  <c r="FE163" i="1"/>
  <c r="FE112" i="1"/>
  <c r="FE107" i="1"/>
  <c r="FE105" i="1"/>
  <c r="FE70" i="1"/>
  <c r="FE66" i="1"/>
  <c r="FE62" i="1"/>
  <c r="FE110" i="1"/>
  <c r="FE19" i="1"/>
  <c r="FA163" i="1"/>
  <c r="FA105" i="1"/>
  <c r="FA70" i="1"/>
  <c r="FA66" i="1"/>
  <c r="FA62" i="1"/>
  <c r="FA19" i="1"/>
  <c r="EZ163" i="1"/>
  <c r="EZ112" i="1"/>
  <c r="EZ105" i="1"/>
  <c r="EZ70" i="1"/>
  <c r="EZ66" i="1"/>
  <c r="EZ110" i="1"/>
  <c r="EZ107" i="1"/>
  <c r="EZ19" i="1"/>
  <c r="EY163" i="1"/>
  <c r="EY112" i="1"/>
  <c r="EY105" i="1"/>
  <c r="EY70" i="1"/>
  <c r="EY66" i="1"/>
  <c r="EY59" i="1"/>
  <c r="EY107" i="1"/>
  <c r="EY16" i="1"/>
  <c r="EZ17" i="1" s="1"/>
  <c r="EY15" i="1"/>
  <c r="EY14" i="1"/>
  <c r="FA113" i="1" l="1"/>
  <c r="FE113" i="1"/>
  <c r="EZ60" i="1"/>
  <c r="FE111" i="1"/>
  <c r="FF111" i="1"/>
  <c r="EY19" i="1"/>
  <c r="FA112" i="1"/>
  <c r="FA107" i="1"/>
  <c r="FA110" i="1"/>
  <c r="EZ62" i="1"/>
  <c r="EZ113" i="1" s="1"/>
  <c r="EY62" i="1"/>
  <c r="EY110" i="1"/>
  <c r="EZ111" i="1" s="1"/>
  <c r="EY113" i="1" l="1"/>
  <c r="FA111" i="1"/>
  <c r="FB111" i="1"/>
  <c r="EX59" i="1" l="1"/>
  <c r="EW59" i="1"/>
  <c r="EX60" i="1" l="1"/>
  <c r="EY60" i="1"/>
  <c r="EX16" i="1"/>
  <c r="EW16" i="1"/>
  <c r="EX17" i="1" l="1"/>
  <c r="EY17" i="1"/>
  <c r="EV59" i="1"/>
  <c r="EV16" i="1"/>
  <c r="EU107" i="1"/>
  <c r="ET12" i="1"/>
  <c r="EU12" i="1" s="1"/>
  <c r="EV163" i="1"/>
  <c r="EV112" i="1"/>
  <c r="EV107" i="1"/>
  <c r="EV105" i="1"/>
  <c r="EV70" i="1"/>
  <c r="EV66" i="1"/>
  <c r="EU163" i="1"/>
  <c r="EU112" i="1"/>
  <c r="EU105" i="1"/>
  <c r="EU70" i="1"/>
  <c r="EU66" i="1"/>
  <c r="EU59" i="1"/>
  <c r="EU16" i="1"/>
  <c r="EW163" i="1"/>
  <c r="EW112" i="1"/>
  <c r="EW107" i="1"/>
  <c r="EW105" i="1"/>
  <c r="EW70" i="1"/>
  <c r="EW66" i="1"/>
  <c r="EW62" i="1"/>
  <c r="EW19" i="1"/>
  <c r="EW113" i="1" l="1"/>
  <c r="EU19" i="1"/>
  <c r="EU62" i="1"/>
  <c r="EV17" i="1"/>
  <c r="EV60" i="1"/>
  <c r="EW60" i="1"/>
  <c r="EV19" i="1"/>
  <c r="EV62" i="1"/>
  <c r="EW17" i="1"/>
  <c r="EV12" i="1"/>
  <c r="EU14" i="1"/>
  <c r="EV110" i="1"/>
  <c r="EU15" i="1"/>
  <c r="EU110" i="1"/>
  <c r="EW110" i="1"/>
  <c r="EV113" i="1" l="1"/>
  <c r="EU113" i="1"/>
  <c r="EW111" i="1"/>
  <c r="EV111" i="1"/>
  <c r="EW12" i="1"/>
  <c r="EZ12" i="1" s="1"/>
  <c r="FA12" i="1" s="1"/>
  <c r="FB12" i="1" s="1"/>
  <c r="FC12" i="1" s="1"/>
  <c r="EV15" i="1"/>
  <c r="EV14" i="1"/>
  <c r="FD12" i="1" l="1"/>
  <c r="FA15" i="1"/>
  <c r="EZ14" i="1"/>
  <c r="EZ15" i="1"/>
  <c r="EW15" i="1"/>
  <c r="EW14" i="1"/>
  <c r="FG12" i="1" l="1"/>
  <c r="FH12" i="1" s="1"/>
  <c r="FI12" i="1" s="1"/>
  <c r="FB15" i="1"/>
  <c r="FB14" i="1"/>
  <c r="FC14" i="1"/>
  <c r="FA14" i="1"/>
  <c r="FJ12" i="1" l="1"/>
  <c r="FJ15" i="1" s="1"/>
  <c r="FI15" i="1"/>
  <c r="FI14" i="1"/>
  <c r="FG15" i="1"/>
  <c r="FG14" i="1"/>
  <c r="FD14" i="1"/>
  <c r="FD15" i="1"/>
  <c r="FC15" i="1"/>
  <c r="FJ14" i="1" l="1"/>
  <c r="FK12" i="1"/>
  <c r="FN12" i="1" s="1"/>
  <c r="FH15" i="1"/>
  <c r="FH14" i="1"/>
  <c r="FE15" i="1"/>
  <c r="FE14" i="1"/>
  <c r="FO12" i="1" l="1"/>
  <c r="FQ12" i="1"/>
  <c r="FN14" i="1"/>
  <c r="FN15" i="1"/>
  <c r="FO15" i="1"/>
  <c r="FO14" i="1"/>
  <c r="FK14" i="1"/>
  <c r="FK15" i="1"/>
  <c r="ET59" i="1"/>
  <c r="ES59" i="1"/>
  <c r="ES16" i="1"/>
  <c r="ET16" i="1"/>
  <c r="ET17" i="1" l="1"/>
  <c r="EU17" i="1"/>
  <c r="ET60" i="1"/>
  <c r="EU60" i="1"/>
  <c r="FR12" i="1"/>
  <c r="FQ15" i="1"/>
  <c r="FQ14" i="1"/>
  <c r="FL15" i="1"/>
  <c r="FL14" i="1"/>
  <c r="FP15" i="1"/>
  <c r="FP14" i="1"/>
  <c r="ER59" i="1"/>
  <c r="EQ59" i="1"/>
  <c r="FR15" i="1" l="1"/>
  <c r="FU12" i="1"/>
  <c r="FV12" i="1" s="1"/>
  <c r="ER60" i="1"/>
  <c r="ES60" i="1"/>
  <c r="FR14" i="1"/>
  <c r="FS15" i="1"/>
  <c r="FS14" i="1"/>
  <c r="FT14" i="1"/>
  <c r="FT15" i="1"/>
  <c r="FM15" i="1"/>
  <c r="FM14" i="1"/>
  <c r="ER16" i="1"/>
  <c r="EQ16" i="1"/>
  <c r="FV14" i="1" l="1"/>
  <c r="FW12" i="1"/>
  <c r="FV15" i="1"/>
  <c r="FU15" i="1"/>
  <c r="FU14" i="1"/>
  <c r="ER17" i="1"/>
  <c r="ES17" i="1"/>
  <c r="EP59" i="1"/>
  <c r="EO59" i="1"/>
  <c r="EN59" i="1"/>
  <c r="EO16" i="1"/>
  <c r="EP16" i="1"/>
  <c r="EP17" i="1" l="1"/>
  <c r="FW15" i="1"/>
  <c r="FX12" i="1"/>
  <c r="FW14" i="1"/>
  <c r="EO60" i="1"/>
  <c r="EP60" i="1"/>
  <c r="EQ60" i="1"/>
  <c r="EQ17" i="1"/>
  <c r="EN16" i="1"/>
  <c r="EN107" i="1"/>
  <c r="EO107" i="1"/>
  <c r="EP107" i="1"/>
  <c r="EQ107" i="1"/>
  <c r="ER107" i="1"/>
  <c r="ES107" i="1"/>
  <c r="ET107" i="1"/>
  <c r="EX107" i="1"/>
  <c r="EQ106" i="1"/>
  <c r="ER106" i="1"/>
  <c r="EL105" i="1"/>
  <c r="EM105" i="1"/>
  <c r="EN105" i="1"/>
  <c r="EO105" i="1"/>
  <c r="EP105" i="1"/>
  <c r="EQ105" i="1"/>
  <c r="ER105" i="1"/>
  <c r="ES105" i="1"/>
  <c r="ET105" i="1"/>
  <c r="EX105" i="1"/>
  <c r="ET163" i="1"/>
  <c r="ET112" i="1"/>
  <c r="ET110" i="1"/>
  <c r="ET70" i="1"/>
  <c r="ET66" i="1"/>
  <c r="ET62" i="1"/>
  <c r="ET19" i="1"/>
  <c r="EX163" i="1"/>
  <c r="EX112" i="1"/>
  <c r="EX110" i="1"/>
  <c r="EX70" i="1"/>
  <c r="EX66" i="1"/>
  <c r="EX62" i="1"/>
  <c r="EX19" i="1"/>
  <c r="EP163" i="1"/>
  <c r="EO163" i="1"/>
  <c r="EN163" i="1"/>
  <c r="EP112" i="1"/>
  <c r="EO112" i="1"/>
  <c r="EN112" i="1"/>
  <c r="EP110" i="1"/>
  <c r="EO110" i="1"/>
  <c r="EP70" i="1"/>
  <c r="EO70" i="1"/>
  <c r="EN70" i="1"/>
  <c r="EP66" i="1"/>
  <c r="EO66" i="1"/>
  <c r="EN66" i="1"/>
  <c r="EP62" i="1"/>
  <c r="EO62" i="1"/>
  <c r="EN62" i="1"/>
  <c r="EP19" i="1"/>
  <c r="EO19" i="1"/>
  <c r="EQ163" i="1"/>
  <c r="EQ112" i="1"/>
  <c r="EQ110" i="1"/>
  <c r="EQ70" i="1"/>
  <c r="EQ66" i="1"/>
  <c r="EQ62" i="1"/>
  <c r="EQ58" i="1"/>
  <c r="EQ19" i="1"/>
  <c r="EQ113" i="1" s="1"/>
  <c r="EQ15" i="1"/>
  <c r="ER163" i="1"/>
  <c r="ER112" i="1"/>
  <c r="ER110" i="1"/>
  <c r="ER70" i="1"/>
  <c r="ER66" i="1"/>
  <c r="ER62" i="1"/>
  <c r="ER57" i="1"/>
  <c r="ER19" i="1"/>
  <c r="ER15" i="1"/>
  <c r="ES163" i="1"/>
  <c r="ES112" i="1"/>
  <c r="ES110" i="1"/>
  <c r="ES70" i="1"/>
  <c r="ES66" i="1"/>
  <c r="ES62" i="1"/>
  <c r="ES19" i="1"/>
  <c r="ES113" i="1" s="1"/>
  <c r="ER113" i="1" l="1"/>
  <c r="ET113" i="1"/>
  <c r="FY12" i="1"/>
  <c r="FX14" i="1"/>
  <c r="FX15" i="1"/>
  <c r="EP113" i="1"/>
  <c r="EX113" i="1"/>
  <c r="EO113" i="1"/>
  <c r="ES111" i="1"/>
  <c r="EQ111" i="1"/>
  <c r="ET111" i="1"/>
  <c r="EU111" i="1"/>
  <c r="ER111" i="1"/>
  <c r="EN19" i="1"/>
  <c r="EN113" i="1" s="1"/>
  <c r="EN110" i="1"/>
  <c r="EO111" i="1" s="1"/>
  <c r="EX111" i="1"/>
  <c r="EY111" i="1"/>
  <c r="EP111" i="1"/>
  <c r="EO17" i="1"/>
  <c r="EQ108" i="1"/>
  <c r="ER108" i="1"/>
  <c r="ER109" i="1"/>
  <c r="EQ109" i="1"/>
  <c r="ER58" i="1"/>
  <c r="EQ57" i="1"/>
  <c r="ER14" i="1"/>
  <c r="EQ14" i="1"/>
  <c r="FY15" i="1" l="1"/>
  <c r="GB12" i="1"/>
  <c r="FY14" i="1"/>
  <c r="EM107" i="1"/>
  <c r="GC12" i="1" l="1"/>
  <c r="GD12" i="1"/>
  <c r="GC15" i="1"/>
  <c r="GC14" i="1"/>
  <c r="GB15" i="1"/>
  <c r="GB14" i="1"/>
  <c r="EM59" i="1"/>
  <c r="EL59" i="1"/>
  <c r="EM16" i="1"/>
  <c r="EL16" i="1"/>
  <c r="EL107" i="1"/>
  <c r="GE12" i="1" l="1"/>
  <c r="GE106" i="1" s="1"/>
  <c r="GD106" i="1"/>
  <c r="GH15" i="1"/>
  <c r="GH14" i="1"/>
  <c r="GI15" i="1"/>
  <c r="GI14" i="1"/>
  <c r="GJ15" i="1"/>
  <c r="GJ14" i="1"/>
  <c r="GD15" i="1"/>
  <c r="GD14" i="1"/>
  <c r="EM17" i="1"/>
  <c r="EN17" i="1"/>
  <c r="EM60" i="1"/>
  <c r="EN60" i="1"/>
  <c r="GX69" i="1"/>
  <c r="GD108" i="1" l="1"/>
  <c r="GD109" i="1"/>
  <c r="GE108" i="1"/>
  <c r="GE109" i="1"/>
  <c r="GE14" i="1"/>
  <c r="GE15" i="1"/>
  <c r="GF15" i="1"/>
  <c r="GF14" i="1"/>
  <c r="EK59" i="1"/>
  <c r="EJ59" i="1"/>
  <c r="EI59" i="1"/>
  <c r="EH59" i="1"/>
  <c r="EG59" i="1"/>
  <c r="GK15" i="1" l="1"/>
  <c r="GK14" i="1"/>
  <c r="EH60" i="1"/>
  <c r="EI60" i="1"/>
  <c r="EJ60" i="1"/>
  <c r="EK60" i="1"/>
  <c r="EL60" i="1"/>
  <c r="EK56" i="1"/>
  <c r="EJ56" i="1"/>
  <c r="EI56" i="1"/>
  <c r="EH56" i="1"/>
  <c r="EG56" i="1"/>
  <c r="EK16" i="1"/>
  <c r="EJ16" i="1"/>
  <c r="EI16" i="1"/>
  <c r="EH16" i="1"/>
  <c r="GT15" i="1" l="1"/>
  <c r="GT14" i="1"/>
  <c r="EK17" i="1"/>
  <c r="EL17" i="1"/>
  <c r="EI17" i="1"/>
  <c r="EJ17" i="1"/>
  <c r="GX13" i="1"/>
  <c r="GX11" i="1"/>
  <c r="EG71" i="1" l="1"/>
  <c r="EF59" i="1" l="1"/>
  <c r="EE59" i="1"/>
  <c r="EF16" i="1"/>
  <c r="EE16" i="1"/>
  <c r="EG16" i="1"/>
  <c r="EB56" i="1"/>
  <c r="EC56" i="1"/>
  <c r="ED56" i="1"/>
  <c r="EE56" i="1"/>
  <c r="EF56" i="1"/>
  <c r="EG17" i="1" l="1"/>
  <c r="EH17" i="1"/>
  <c r="EF17" i="1"/>
  <c r="EF60" i="1"/>
  <c r="EG60" i="1"/>
  <c r="ED59" i="1"/>
  <c r="EC59" i="1"/>
  <c r="ED16" i="1"/>
  <c r="EC16" i="1"/>
  <c r="ED17" i="1" l="1"/>
  <c r="ED60" i="1"/>
  <c r="EE60" i="1"/>
  <c r="EE17" i="1"/>
  <c r="EF163" i="1"/>
  <c r="EF112" i="1"/>
  <c r="EF110" i="1"/>
  <c r="EF107" i="1"/>
  <c r="EF105" i="1"/>
  <c r="EF70" i="1"/>
  <c r="EF66" i="1"/>
  <c r="EF62" i="1"/>
  <c r="EF19" i="1"/>
  <c r="EG163" i="1"/>
  <c r="EG112" i="1"/>
  <c r="EG110" i="1"/>
  <c r="EG107" i="1"/>
  <c r="EG105" i="1"/>
  <c r="EG70" i="1"/>
  <c r="EG66" i="1"/>
  <c r="EG62" i="1"/>
  <c r="EG19" i="1"/>
  <c r="EG113" i="1" s="1"/>
  <c r="EH163" i="1"/>
  <c r="EH112" i="1"/>
  <c r="EH110" i="1"/>
  <c r="EH107" i="1"/>
  <c r="EH105" i="1"/>
  <c r="EH70" i="1"/>
  <c r="EH66" i="1"/>
  <c r="EH62" i="1"/>
  <c r="EH19" i="1"/>
  <c r="EH113" i="1" s="1"/>
  <c r="EI163" i="1"/>
  <c r="EI112" i="1"/>
  <c r="EI110" i="1"/>
  <c r="EI111" i="1" s="1"/>
  <c r="EI107" i="1"/>
  <c r="EI105" i="1"/>
  <c r="EI70" i="1"/>
  <c r="EI66" i="1"/>
  <c r="EI62" i="1"/>
  <c r="EI19" i="1"/>
  <c r="EJ163" i="1"/>
  <c r="EJ112" i="1"/>
  <c r="EJ110" i="1"/>
  <c r="EJ107" i="1"/>
  <c r="EJ105" i="1"/>
  <c r="EJ70" i="1"/>
  <c r="EJ66" i="1"/>
  <c r="EJ62" i="1"/>
  <c r="EJ19" i="1"/>
  <c r="EK163" i="1"/>
  <c r="EK112" i="1"/>
  <c r="EK110" i="1"/>
  <c r="EK107" i="1"/>
  <c r="EK105" i="1"/>
  <c r="EK70" i="1"/>
  <c r="EK66" i="1"/>
  <c r="EK62" i="1"/>
  <c r="EK19" i="1"/>
  <c r="EL163" i="1"/>
  <c r="EL112" i="1"/>
  <c r="EL110" i="1"/>
  <c r="EL70" i="1"/>
  <c r="EL66" i="1"/>
  <c r="EL62" i="1"/>
  <c r="EL19" i="1"/>
  <c r="EM163" i="1"/>
  <c r="EM112" i="1"/>
  <c r="EM110" i="1"/>
  <c r="EM70" i="1"/>
  <c r="EM66" i="1"/>
  <c r="EM62" i="1"/>
  <c r="EM19" i="1"/>
  <c r="EM113" i="1" s="1"/>
  <c r="EK113" i="1" l="1"/>
  <c r="EI113" i="1"/>
  <c r="EL113" i="1"/>
  <c r="EJ113" i="1"/>
  <c r="EF113" i="1"/>
  <c r="EM111" i="1"/>
  <c r="EN111" i="1"/>
  <c r="EL111" i="1"/>
  <c r="EK111" i="1"/>
  <c r="EJ111" i="1"/>
  <c r="EG111" i="1"/>
  <c r="EH111" i="1"/>
  <c r="EB59" i="1" l="1"/>
  <c r="EB16" i="1"/>
  <c r="EC163" i="1"/>
  <c r="EC112" i="1"/>
  <c r="EC110" i="1"/>
  <c r="EC107" i="1"/>
  <c r="EC105" i="1"/>
  <c r="EC70" i="1"/>
  <c r="EC66" i="1"/>
  <c r="EC62" i="1"/>
  <c r="EC19" i="1"/>
  <c r="ED163" i="1"/>
  <c r="ED112" i="1"/>
  <c r="ED110" i="1"/>
  <c r="ED107" i="1"/>
  <c r="ED105" i="1"/>
  <c r="ED70" i="1"/>
  <c r="ED66" i="1"/>
  <c r="ED62" i="1"/>
  <c r="ED19" i="1"/>
  <c r="EE163" i="1"/>
  <c r="EE112" i="1"/>
  <c r="EE110" i="1"/>
  <c r="EE107" i="1"/>
  <c r="EE105" i="1"/>
  <c r="EE70" i="1"/>
  <c r="EE66" i="1"/>
  <c r="EE62" i="1"/>
  <c r="EE19" i="1"/>
  <c r="EE113" i="1" s="1"/>
  <c r="EB163" i="1"/>
  <c r="EB112" i="1"/>
  <c r="EB107" i="1"/>
  <c r="EB105" i="1"/>
  <c r="EB70" i="1"/>
  <c r="EB66" i="1"/>
  <c r="EA56" i="1"/>
  <c r="ED113" i="1" l="1"/>
  <c r="EC113" i="1"/>
  <c r="EE111" i="1"/>
  <c r="EF111" i="1"/>
  <c r="ED111" i="1"/>
  <c r="EC17" i="1"/>
  <c r="EB62" i="1"/>
  <c r="EC60" i="1"/>
  <c r="EB110" i="1"/>
  <c r="EB19" i="1"/>
  <c r="EB113" i="1" s="1"/>
  <c r="EC111" i="1" l="1"/>
  <c r="EA59" i="1"/>
  <c r="EA16" i="1"/>
  <c r="DZ56" i="1"/>
  <c r="EB17" i="1" l="1"/>
  <c r="EB60" i="1"/>
  <c r="DZ59" i="1"/>
  <c r="DZ16" i="1"/>
  <c r="DY56" i="1"/>
  <c r="EA60" i="1" l="1"/>
  <c r="EA17" i="1"/>
  <c r="DY59" i="1"/>
  <c r="DX59" i="1"/>
  <c r="DW59" i="1"/>
  <c r="DV59" i="1"/>
  <c r="DU16" i="1"/>
  <c r="DV16" i="1"/>
  <c r="DV17" i="1" s="1"/>
  <c r="DW16" i="1"/>
  <c r="DW17" i="1" s="1"/>
  <c r="DX16" i="1"/>
  <c r="DY16" i="1"/>
  <c r="DX17" i="1" l="1"/>
  <c r="DW60" i="1"/>
  <c r="DX60" i="1"/>
  <c r="DY60" i="1"/>
  <c r="DZ60" i="1"/>
  <c r="DY17" i="1"/>
  <c r="DZ17" i="1"/>
  <c r="DX56" i="1"/>
  <c r="DX107" i="1" s="1"/>
  <c r="DW56" i="1"/>
  <c r="DV56" i="1"/>
  <c r="DU56" i="1"/>
  <c r="DX163" i="1"/>
  <c r="DX112" i="1"/>
  <c r="DX110" i="1"/>
  <c r="DX105" i="1"/>
  <c r="DX70" i="1"/>
  <c r="DX66" i="1"/>
  <c r="DX62" i="1"/>
  <c r="DX19" i="1"/>
  <c r="DX113" i="1" s="1"/>
  <c r="DY163" i="1"/>
  <c r="DY112" i="1"/>
  <c r="DY110" i="1"/>
  <c r="DY111" i="1" s="1"/>
  <c r="DY107" i="1"/>
  <c r="DY105" i="1"/>
  <c r="DY70" i="1"/>
  <c r="DY66" i="1"/>
  <c r="DY62" i="1"/>
  <c r="DY19" i="1"/>
  <c r="DY113" i="1" s="1"/>
  <c r="DZ163" i="1"/>
  <c r="DZ112" i="1"/>
  <c r="DZ110" i="1"/>
  <c r="DZ107" i="1"/>
  <c r="DZ105" i="1"/>
  <c r="DZ70" i="1"/>
  <c r="DZ66" i="1"/>
  <c r="DZ62" i="1"/>
  <c r="DZ19" i="1"/>
  <c r="DZ113" i="1" l="1"/>
  <c r="DZ111" i="1"/>
  <c r="DU59" i="1" l="1"/>
  <c r="DT56" i="1"/>
  <c r="DV60" i="1" l="1"/>
  <c r="DT59" i="1"/>
  <c r="DT16" i="1"/>
  <c r="DS56" i="1"/>
  <c r="DU17" i="1" l="1"/>
  <c r="DU60" i="1"/>
  <c r="DU163" i="1"/>
  <c r="DU112" i="1"/>
  <c r="DU110" i="1"/>
  <c r="DU107" i="1"/>
  <c r="DU105" i="1"/>
  <c r="DU70" i="1"/>
  <c r="DU66" i="1"/>
  <c r="DU62" i="1"/>
  <c r="DU19" i="1"/>
  <c r="DV163" i="1"/>
  <c r="DV112" i="1"/>
  <c r="DV110" i="1"/>
  <c r="DV107" i="1"/>
  <c r="DV105" i="1"/>
  <c r="DV70" i="1"/>
  <c r="DV66" i="1"/>
  <c r="DV62" i="1"/>
  <c r="DV19" i="1"/>
  <c r="DW163" i="1"/>
  <c r="DW112" i="1"/>
  <c r="DW110" i="1"/>
  <c r="DW107" i="1"/>
  <c r="DW105" i="1"/>
  <c r="DW70" i="1"/>
  <c r="DW66" i="1"/>
  <c r="DW62" i="1"/>
  <c r="DW19" i="1"/>
  <c r="DW113" i="1" s="1"/>
  <c r="DS163" i="1"/>
  <c r="DS112" i="1"/>
  <c r="DS107" i="1"/>
  <c r="DS105" i="1"/>
  <c r="DS70" i="1"/>
  <c r="DS66" i="1"/>
  <c r="DS59" i="1"/>
  <c r="DT60" i="1" s="1"/>
  <c r="DS16" i="1"/>
  <c r="DT163" i="1"/>
  <c r="DT112" i="1"/>
  <c r="DT110" i="1"/>
  <c r="DT107" i="1"/>
  <c r="DT105" i="1"/>
  <c r="DT70" i="1"/>
  <c r="DT66" i="1"/>
  <c r="DT62" i="1"/>
  <c r="DT19" i="1"/>
  <c r="DT113" i="1" s="1"/>
  <c r="DR56" i="1"/>
  <c r="DU111" i="1" l="1"/>
  <c r="DU113" i="1"/>
  <c r="DV113" i="1"/>
  <c r="DV111" i="1"/>
  <c r="DS19" i="1"/>
  <c r="DS62" i="1"/>
  <c r="DW111" i="1"/>
  <c r="DX111" i="1"/>
  <c r="DT17" i="1"/>
  <c r="DS110" i="1"/>
  <c r="DS113" i="1" l="1"/>
  <c r="DT111" i="1"/>
  <c r="DR59" i="1"/>
  <c r="DR16" i="1"/>
  <c r="DQ56" i="1"/>
  <c r="DQ59" i="1"/>
  <c r="DP59" i="1"/>
  <c r="DO59" i="1"/>
  <c r="DP60" i="1" l="1"/>
  <c r="DQ60" i="1"/>
  <c r="DS17" i="1"/>
  <c r="DR60" i="1"/>
  <c r="DS60" i="1"/>
  <c r="DQ16" i="1"/>
  <c r="DP16" i="1"/>
  <c r="DO16" i="1"/>
  <c r="DP56" i="1"/>
  <c r="DO56" i="1"/>
  <c r="DN56" i="1"/>
  <c r="DP17" i="1" l="1"/>
  <c r="DQ17" i="1"/>
  <c r="DR17" i="1"/>
  <c r="DN59" i="1"/>
  <c r="DN16" i="1"/>
  <c r="DM56" i="1"/>
  <c r="DO60" i="1" l="1"/>
  <c r="DO17" i="1"/>
  <c r="DM59" i="1"/>
  <c r="DM16" i="1"/>
  <c r="DL56" i="1"/>
  <c r="DN60" i="1" l="1"/>
  <c r="DN17" i="1"/>
  <c r="GY13" i="1"/>
  <c r="DL59" i="1"/>
  <c r="DL16" i="1"/>
  <c r="DK56" i="1"/>
  <c r="DM60" i="1" l="1"/>
  <c r="DM17" i="1"/>
  <c r="DK59" i="1"/>
  <c r="DK16" i="1"/>
  <c r="DO163" i="1"/>
  <c r="DO112" i="1"/>
  <c r="DO110" i="1"/>
  <c r="DO111" i="1" s="1"/>
  <c r="DO107" i="1"/>
  <c r="DO105" i="1"/>
  <c r="DO70" i="1"/>
  <c r="DO66" i="1"/>
  <c r="DO62" i="1"/>
  <c r="DO19" i="1"/>
  <c r="DP163" i="1"/>
  <c r="DP112" i="1"/>
  <c r="DP110" i="1"/>
  <c r="DP107" i="1"/>
  <c r="DP105" i="1"/>
  <c r="DP70" i="1"/>
  <c r="DP66" i="1"/>
  <c r="DP62" i="1"/>
  <c r="DP19" i="1"/>
  <c r="DP113" i="1" s="1"/>
  <c r="DN163" i="1"/>
  <c r="DN112" i="1"/>
  <c r="DN110" i="1"/>
  <c r="DN107" i="1"/>
  <c r="DN105" i="1"/>
  <c r="DN70" i="1"/>
  <c r="DN66" i="1"/>
  <c r="DN62" i="1"/>
  <c r="DN19" i="1"/>
  <c r="DN113" i="1" s="1"/>
  <c r="DQ163" i="1"/>
  <c r="DQ112" i="1"/>
  <c r="DQ110" i="1"/>
  <c r="DQ111" i="1" s="1"/>
  <c r="DQ107" i="1"/>
  <c r="DQ105" i="1"/>
  <c r="DQ70" i="1"/>
  <c r="DQ66" i="1"/>
  <c r="DQ62" i="1"/>
  <c r="DQ19" i="1"/>
  <c r="DQ113" i="1" s="1"/>
  <c r="DM163" i="1"/>
  <c r="DM112" i="1"/>
  <c r="DM110" i="1"/>
  <c r="DM111" i="1" s="1"/>
  <c r="DM107" i="1"/>
  <c r="DM105" i="1"/>
  <c r="DM70" i="1"/>
  <c r="DM66" i="1"/>
  <c r="DM62" i="1"/>
  <c r="DM19" i="1"/>
  <c r="DL163" i="1"/>
  <c r="DL112" i="1"/>
  <c r="DL110" i="1"/>
  <c r="DL107" i="1"/>
  <c r="DL105" i="1"/>
  <c r="DL70" i="1"/>
  <c r="DL66" i="1"/>
  <c r="DL62" i="1"/>
  <c r="DL19" i="1"/>
  <c r="DL113" i="1" s="1"/>
  <c r="DR163" i="1"/>
  <c r="DR112" i="1"/>
  <c r="DR110" i="1"/>
  <c r="DR107" i="1"/>
  <c r="DR105" i="1"/>
  <c r="DR70" i="1"/>
  <c r="DR66" i="1"/>
  <c r="DR62" i="1"/>
  <c r="DR19" i="1"/>
  <c r="DR113" i="1" s="1"/>
  <c r="DM113" i="1" l="1"/>
  <c r="DO113" i="1"/>
  <c r="DP111" i="1"/>
  <c r="DR111" i="1"/>
  <c r="DS111" i="1"/>
  <c r="DN111" i="1"/>
  <c r="DL60" i="1"/>
  <c r="DL17" i="1"/>
  <c r="DP57" i="1"/>
  <c r="DP58" i="1" l="1"/>
  <c r="DJ56" i="1" l="1"/>
  <c r="GX68" i="1" l="1"/>
  <c r="GX67" i="1"/>
  <c r="GX72" i="1"/>
  <c r="GX71" i="1"/>
  <c r="DI56" i="1" l="1"/>
  <c r="DH56" i="1"/>
  <c r="DG56" i="1"/>
  <c r="DJ59" i="1"/>
  <c r="DJ16" i="1"/>
  <c r="DK17" i="1" l="1"/>
  <c r="DK60" i="1"/>
  <c r="DI59" i="1"/>
  <c r="DH59" i="1"/>
  <c r="DJ62" i="1"/>
  <c r="DI16" i="1"/>
  <c r="DH16" i="1"/>
  <c r="DI105" i="1"/>
  <c r="DK163" i="1"/>
  <c r="DK112" i="1"/>
  <c r="DK110" i="1"/>
  <c r="DK107" i="1"/>
  <c r="DK105" i="1"/>
  <c r="DK70" i="1"/>
  <c r="DK66" i="1"/>
  <c r="DK62" i="1"/>
  <c r="DK19" i="1"/>
  <c r="DK113" i="1" s="1"/>
  <c r="DH163" i="1"/>
  <c r="DH112" i="1"/>
  <c r="DH107" i="1"/>
  <c r="DH105" i="1"/>
  <c r="DH70" i="1"/>
  <c r="DH66" i="1"/>
  <c r="DI163" i="1"/>
  <c r="DI112" i="1"/>
  <c r="DI107" i="1"/>
  <c r="DI70" i="1"/>
  <c r="DI66" i="1"/>
  <c r="DJ163" i="1"/>
  <c r="DJ112" i="1"/>
  <c r="DJ110" i="1"/>
  <c r="DJ107" i="1"/>
  <c r="DJ105" i="1"/>
  <c r="DJ70" i="1"/>
  <c r="DJ66" i="1"/>
  <c r="DJ19" i="1"/>
  <c r="DJ113" i="1" s="1"/>
  <c r="DH19" i="1" l="1"/>
  <c r="DI17" i="1"/>
  <c r="DH62" i="1"/>
  <c r="DI62" i="1"/>
  <c r="DI60" i="1"/>
  <c r="DJ60" i="1"/>
  <c r="DK111" i="1"/>
  <c r="DL111" i="1"/>
  <c r="DJ17" i="1"/>
  <c r="DI110" i="1"/>
  <c r="DH110" i="1"/>
  <c r="DI19" i="1"/>
  <c r="DI113" i="1" s="1"/>
  <c r="DH106" i="1"/>
  <c r="DH113" i="1" l="1"/>
  <c r="DI111" i="1"/>
  <c r="DJ111" i="1"/>
  <c r="DI106" i="1"/>
  <c r="DG59" i="1" l="1"/>
  <c r="DG16" i="1"/>
  <c r="DH17" i="1" l="1"/>
  <c r="DH60" i="1"/>
  <c r="DF59" i="1"/>
  <c r="DF16" i="1"/>
  <c r="DG60" i="1" l="1"/>
  <c r="DG17" i="1"/>
  <c r="DE59" i="1"/>
  <c r="DE16" i="1"/>
  <c r="DG163" i="1"/>
  <c r="DG112" i="1"/>
  <c r="DG110" i="1"/>
  <c r="DG107" i="1"/>
  <c r="DG105" i="1"/>
  <c r="DG70" i="1"/>
  <c r="DG66" i="1"/>
  <c r="DG62" i="1"/>
  <c r="DG19" i="1"/>
  <c r="DF163" i="1"/>
  <c r="DF112" i="1"/>
  <c r="DF110" i="1"/>
  <c r="DF107" i="1"/>
  <c r="DF105" i="1"/>
  <c r="DF70" i="1"/>
  <c r="DF66" i="1"/>
  <c r="DF62" i="1"/>
  <c r="DF19" i="1"/>
  <c r="DE163" i="1"/>
  <c r="DE112" i="1"/>
  <c r="DE107" i="1"/>
  <c r="DE105" i="1"/>
  <c r="DE70" i="1"/>
  <c r="DE66" i="1"/>
  <c r="DE62" i="1"/>
  <c r="DF113" i="1" l="1"/>
  <c r="DG113" i="1"/>
  <c r="DG111" i="1"/>
  <c r="DH111" i="1"/>
  <c r="DE110" i="1"/>
  <c r="DF60" i="1"/>
  <c r="DF17" i="1"/>
  <c r="DE19" i="1"/>
  <c r="DE113" i="1" s="1"/>
  <c r="DF111" i="1" l="1"/>
  <c r="DD59" i="1"/>
  <c r="DD16" i="1"/>
  <c r="DE17" i="1" l="1"/>
  <c r="DE60" i="1"/>
  <c r="DC59" i="1"/>
  <c r="DB59" i="1"/>
  <c r="DA59" i="1"/>
  <c r="CZ59" i="1"/>
  <c r="DB16" i="1"/>
  <c r="DA16" i="1"/>
  <c r="DA17" i="1" s="1"/>
  <c r="DC16" i="1"/>
  <c r="DC163" i="1"/>
  <c r="DC112" i="1"/>
  <c r="DC107" i="1"/>
  <c r="DC105" i="1"/>
  <c r="DC70" i="1"/>
  <c r="DC66" i="1"/>
  <c r="DD163" i="1"/>
  <c r="DD112" i="1"/>
  <c r="DD110" i="1"/>
  <c r="DD107" i="1"/>
  <c r="DD105" i="1"/>
  <c r="DD70" i="1"/>
  <c r="DD66" i="1"/>
  <c r="DD62" i="1"/>
  <c r="DD19" i="1"/>
  <c r="CZ16" i="1"/>
  <c r="DD113" i="1" l="1"/>
  <c r="DC19" i="1"/>
  <c r="DC17" i="1"/>
  <c r="DB17" i="1"/>
  <c r="DE111" i="1"/>
  <c r="DA60" i="1"/>
  <c r="DB60" i="1"/>
  <c r="DC62" i="1"/>
  <c r="DC60" i="1"/>
  <c r="DD60" i="1"/>
  <c r="DD17" i="1"/>
  <c r="DC110" i="1"/>
  <c r="DD111" i="1" s="1"/>
  <c r="DC113" i="1" l="1"/>
  <c r="DD163" i="5"/>
  <c r="DC163" i="5"/>
  <c r="DB163" i="5"/>
  <c r="DA163" i="5"/>
  <c r="CZ163" i="5"/>
  <c r="CY163" i="5"/>
  <c r="CX163" i="5"/>
  <c r="CW163" i="5"/>
  <c r="CV163" i="5"/>
  <c r="CU163" i="5"/>
  <c r="CT163" i="5"/>
  <c r="CS163" i="5"/>
  <c r="CR163" i="5"/>
  <c r="CQ163" i="5"/>
  <c r="CP163" i="5"/>
  <c r="CO163" i="5"/>
  <c r="CN163" i="5"/>
  <c r="CM163" i="5"/>
  <c r="CL163" i="5"/>
  <c r="CK163" i="5"/>
  <c r="CJ163" i="5"/>
  <c r="CI163" i="5"/>
  <c r="CH163" i="5"/>
  <c r="CG163" i="5"/>
  <c r="CF163" i="5"/>
  <c r="CE163" i="5"/>
  <c r="CD163" i="5"/>
  <c r="CC163" i="5"/>
  <c r="CB163" i="5"/>
  <c r="CA163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D163" i="5"/>
  <c r="BC163" i="5"/>
  <c r="BB163" i="5"/>
  <c r="BA163" i="5"/>
  <c r="AZ163" i="5"/>
  <c r="AY163" i="5"/>
  <c r="AX163" i="5"/>
  <c r="AW163" i="5"/>
  <c r="AV163" i="5"/>
  <c r="AU163" i="5"/>
  <c r="AT163" i="5"/>
  <c r="AS163" i="5"/>
  <c r="AR163" i="5"/>
  <c r="AQ163" i="5"/>
  <c r="AP163" i="5"/>
  <c r="AO163" i="5"/>
  <c r="AN163" i="5"/>
  <c r="AM163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DD114" i="5"/>
  <c r="DC114" i="5"/>
  <c r="DB114" i="5"/>
  <c r="DA114" i="5"/>
  <c r="CZ114" i="5"/>
  <c r="CY114" i="5"/>
  <c r="CX114" i="5"/>
  <c r="CW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DD112" i="5"/>
  <c r="CZ112" i="5"/>
  <c r="BY112" i="5"/>
  <c r="BQ112" i="5"/>
  <c r="J112" i="5"/>
  <c r="G112" i="5"/>
  <c r="DD111" i="5"/>
  <c r="DC111" i="5"/>
  <c r="DB111" i="5"/>
  <c r="DA111" i="5"/>
  <c r="CZ111" i="5"/>
  <c r="CY111" i="5"/>
  <c r="CX111" i="5"/>
  <c r="CW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CG111" i="5"/>
  <c r="CF111" i="5"/>
  <c r="CE111" i="5"/>
  <c r="CD111" i="5"/>
  <c r="CD112" i="5" s="1"/>
  <c r="CC111" i="5"/>
  <c r="CB111" i="5"/>
  <c r="CA111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J112" i="5" s="1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F112" i="5" s="1"/>
  <c r="I110" i="5"/>
  <c r="DD109" i="5"/>
  <c r="DC109" i="5"/>
  <c r="DB109" i="5"/>
  <c r="DA109" i="5"/>
  <c r="CZ109" i="5"/>
  <c r="CT109" i="5"/>
  <c r="CT112" i="5" s="1"/>
  <c r="BQ109" i="5"/>
  <c r="BQ110" i="5" s="1"/>
  <c r="BO109" i="5"/>
  <c r="BO110" i="5" s="1"/>
  <c r="BL109" i="5"/>
  <c r="AT109" i="5"/>
  <c r="AP109" i="5"/>
  <c r="AO109" i="5"/>
  <c r="AO110" i="5" s="1"/>
  <c r="AH109" i="5"/>
  <c r="AG109" i="5"/>
  <c r="AB109" i="5"/>
  <c r="P109" i="5"/>
  <c r="J109" i="5"/>
  <c r="I109" i="5"/>
  <c r="H109" i="5"/>
  <c r="H110" i="5" s="1"/>
  <c r="G109" i="5"/>
  <c r="F109" i="5"/>
  <c r="G110" i="5" s="1"/>
  <c r="CR108" i="5"/>
  <c r="CI108" i="5"/>
  <c r="BS108" i="5"/>
  <c r="BR108" i="5"/>
  <c r="BE108" i="5"/>
  <c r="AZ108" i="5"/>
  <c r="AN108" i="5"/>
  <c r="AM108" i="5"/>
  <c r="AJ108" i="5"/>
  <c r="AI108" i="5"/>
  <c r="AC108" i="5"/>
  <c r="AB108" i="5"/>
  <c r="AA108" i="5"/>
  <c r="Z108" i="5"/>
  <c r="W108" i="5"/>
  <c r="V108" i="5"/>
  <c r="T108" i="5"/>
  <c r="Q108" i="5"/>
  <c r="O108" i="5"/>
  <c r="N108" i="5"/>
  <c r="CN107" i="5"/>
  <c r="CM107" i="5"/>
  <c r="CF107" i="5"/>
  <c r="BY107" i="5"/>
  <c r="BR107" i="5"/>
  <c r="BL107" i="5"/>
  <c r="AQ107" i="5"/>
  <c r="AP107" i="5"/>
  <c r="AM107" i="5"/>
  <c r="AC107" i="5"/>
  <c r="AB107" i="5"/>
  <c r="X107" i="5"/>
  <c r="U107" i="5"/>
  <c r="S107" i="5"/>
  <c r="R107" i="5"/>
  <c r="Q107" i="5"/>
  <c r="P107" i="5"/>
  <c r="M107" i="5"/>
  <c r="L107" i="5"/>
  <c r="K107" i="5"/>
  <c r="G107" i="5"/>
  <c r="CU106" i="5"/>
  <c r="CU108" i="5" s="1"/>
  <c r="CT106" i="5"/>
  <c r="CR106" i="5"/>
  <c r="CR107" i="5" s="1"/>
  <c r="CQ106" i="5"/>
  <c r="CN106" i="5"/>
  <c r="CN108" i="5" s="1"/>
  <c r="CM106" i="5"/>
  <c r="CM108" i="5" s="1"/>
  <c r="CI106" i="5"/>
  <c r="CH106" i="5"/>
  <c r="CG106" i="5"/>
  <c r="CF106" i="5"/>
  <c r="CF108" i="5" s="1"/>
  <c r="BZ106" i="5"/>
  <c r="BY106" i="5"/>
  <c r="BY108" i="5" s="1"/>
  <c r="BS106" i="5"/>
  <c r="BS107" i="5" s="1"/>
  <c r="BR106" i="5"/>
  <c r="BL106" i="5"/>
  <c r="BL108" i="5" s="1"/>
  <c r="BK106" i="5"/>
  <c r="BE106" i="5"/>
  <c r="BD106" i="5"/>
  <c r="AZ106" i="5"/>
  <c r="AZ107" i="5" s="1"/>
  <c r="AY106" i="5"/>
  <c r="AY108" i="5" s="1"/>
  <c r="AX106" i="5"/>
  <c r="AW106" i="5"/>
  <c r="AR106" i="5"/>
  <c r="AQ106" i="5"/>
  <c r="AQ108" i="5" s="1"/>
  <c r="AP106" i="5"/>
  <c r="AN106" i="5"/>
  <c r="AN107" i="5" s="1"/>
  <c r="AK106" i="5"/>
  <c r="AC106" i="5"/>
  <c r="AA106" i="5"/>
  <c r="AD106" i="5" s="1"/>
  <c r="DD105" i="5"/>
  <c r="DC105" i="5"/>
  <c r="DC112" i="5" s="1"/>
  <c r="DB105" i="5"/>
  <c r="DB112" i="5" s="1"/>
  <c r="DA105" i="5"/>
  <c r="DA112" i="5" s="1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G107" i="5" s="1"/>
  <c r="CF105" i="5"/>
  <c r="CE105" i="5"/>
  <c r="CD105" i="5"/>
  <c r="CC105" i="5"/>
  <c r="CB105" i="5"/>
  <c r="CA105" i="5"/>
  <c r="BZ105" i="5"/>
  <c r="BZ108" i="5" s="1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K108" i="5" s="1"/>
  <c r="BJ105" i="5"/>
  <c r="BI105" i="5"/>
  <c r="BH105" i="5"/>
  <c r="BG105" i="5"/>
  <c r="BF105" i="5"/>
  <c r="BE105" i="5"/>
  <c r="BE107" i="5" s="1"/>
  <c r="BD105" i="5"/>
  <c r="BD108" i="5" s="1"/>
  <c r="BC105" i="5"/>
  <c r="BB105" i="5"/>
  <c r="BA105" i="5"/>
  <c r="AZ105" i="5"/>
  <c r="AY105" i="5"/>
  <c r="AX105" i="5"/>
  <c r="AX108" i="5" s="1"/>
  <c r="AW105" i="5"/>
  <c r="AW108" i="5" s="1"/>
  <c r="AV105" i="5"/>
  <c r="AU105" i="5"/>
  <c r="AT105" i="5"/>
  <c r="AS105" i="5"/>
  <c r="AR105" i="5"/>
  <c r="AQ105" i="5"/>
  <c r="AP105" i="5"/>
  <c r="AP108" i="5" s="1"/>
  <c r="AO105" i="5"/>
  <c r="AN105" i="5"/>
  <c r="AM105" i="5"/>
  <c r="AL105" i="5"/>
  <c r="AK105" i="5"/>
  <c r="AK107" i="5" s="1"/>
  <c r="AJ105" i="5"/>
  <c r="AJ107" i="5" s="1"/>
  <c r="AI105" i="5"/>
  <c r="AI107" i="5" s="1"/>
  <c r="AH105" i="5"/>
  <c r="AG105" i="5"/>
  <c r="AF105" i="5"/>
  <c r="AE105" i="5"/>
  <c r="AD105" i="5"/>
  <c r="AC105" i="5"/>
  <c r="AB105" i="5"/>
  <c r="AA105" i="5"/>
  <c r="Z105" i="5"/>
  <c r="Z107" i="5" s="1"/>
  <c r="Y105" i="5"/>
  <c r="X105" i="5"/>
  <c r="X108" i="5" s="1"/>
  <c r="W105" i="5"/>
  <c r="W107" i="5" s="1"/>
  <c r="V105" i="5"/>
  <c r="V107" i="5" s="1"/>
  <c r="U105" i="5"/>
  <c r="U108" i="5" s="1"/>
  <c r="T105" i="5"/>
  <c r="T107" i="5" s="1"/>
  <c r="S105" i="5"/>
  <c r="S108" i="5" s="1"/>
  <c r="R105" i="5"/>
  <c r="R108" i="5" s="1"/>
  <c r="Q105" i="5"/>
  <c r="P105" i="5"/>
  <c r="P108" i="5" s="1"/>
  <c r="O105" i="5"/>
  <c r="O107" i="5" s="1"/>
  <c r="N105" i="5"/>
  <c r="N107" i="5" s="1"/>
  <c r="M105" i="5"/>
  <c r="M108" i="5" s="1"/>
  <c r="L105" i="5"/>
  <c r="L108" i="5" s="1"/>
  <c r="K105" i="5"/>
  <c r="K108" i="5" s="1"/>
  <c r="J105" i="5"/>
  <c r="J107" i="5" s="1"/>
  <c r="I105" i="5"/>
  <c r="I107" i="5" s="1"/>
  <c r="H105" i="5"/>
  <c r="H107" i="5" s="1"/>
  <c r="G105" i="5"/>
  <c r="G108" i="5" s="1"/>
  <c r="F105" i="5"/>
  <c r="F107" i="5" s="1"/>
  <c r="H104" i="5"/>
  <c r="I104" i="5" s="1"/>
  <c r="G104" i="5"/>
  <c r="H103" i="5"/>
  <c r="G103" i="5"/>
  <c r="F103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DD66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DE63" i="5"/>
  <c r="DD61" i="5"/>
  <c r="DC61" i="5"/>
  <c r="DB61" i="5"/>
  <c r="DA61" i="5"/>
  <c r="CZ61" i="5"/>
  <c r="CV61" i="5"/>
  <c r="CU61" i="5"/>
  <c r="CR61" i="5"/>
  <c r="CI61" i="5"/>
  <c r="CH61" i="5"/>
  <c r="CD61" i="5"/>
  <c r="BX61" i="5"/>
  <c r="BT61" i="5"/>
  <c r="BR61" i="5"/>
  <c r="BO61" i="5"/>
  <c r="BN61" i="5"/>
  <c r="BL61" i="5"/>
  <c r="AZ61" i="5"/>
  <c r="AV61" i="5"/>
  <c r="AU61" i="5"/>
  <c r="AR61" i="5"/>
  <c r="AM61" i="5"/>
  <c r="AJ61" i="5"/>
  <c r="AI61" i="5"/>
  <c r="AH61" i="5"/>
  <c r="X61" i="5"/>
  <c r="V61" i="5"/>
  <c r="U61" i="5"/>
  <c r="O61" i="5"/>
  <c r="L61" i="5"/>
  <c r="K61" i="5"/>
  <c r="J61" i="5"/>
  <c r="I61" i="5"/>
  <c r="H61" i="5"/>
  <c r="G61" i="5"/>
  <c r="F61" i="5"/>
  <c r="CZ59" i="5"/>
  <c r="CP59" i="5"/>
  <c r="CO59" i="5"/>
  <c r="CM59" i="5"/>
  <c r="CD59" i="5"/>
  <c r="BY59" i="5"/>
  <c r="BX59" i="5"/>
  <c r="BT59" i="5"/>
  <c r="BN59" i="5"/>
  <c r="BF59" i="5"/>
  <c r="BE59" i="5"/>
  <c r="BD59" i="5"/>
  <c r="BB59" i="5"/>
  <c r="AP59" i="5"/>
  <c r="AN59" i="5"/>
  <c r="AB59" i="5"/>
  <c r="X59" i="5"/>
  <c r="V59" i="5"/>
  <c r="T59" i="5"/>
  <c r="P59" i="5"/>
  <c r="N59" i="5"/>
  <c r="J59" i="5"/>
  <c r="I59" i="5"/>
  <c r="H59" i="5"/>
  <c r="G59" i="5"/>
  <c r="CY58" i="5"/>
  <c r="CX58" i="5"/>
  <c r="CW58" i="5"/>
  <c r="CV58" i="5"/>
  <c r="CU58" i="5"/>
  <c r="CT58" i="5"/>
  <c r="CS58" i="5"/>
  <c r="CR58" i="5"/>
  <c r="CQ58" i="5"/>
  <c r="CP58" i="5"/>
  <c r="CO58" i="5"/>
  <c r="CO61" i="5" s="1"/>
  <c r="CN58" i="5"/>
  <c r="CM58" i="5"/>
  <c r="CL58" i="5"/>
  <c r="CK58" i="5"/>
  <c r="CJ58" i="5"/>
  <c r="CJ61" i="5" s="1"/>
  <c r="CI58" i="5"/>
  <c r="CH58" i="5"/>
  <c r="CH59" i="5" s="1"/>
  <c r="CG58" i="5"/>
  <c r="CG61" i="5" s="1"/>
  <c r="CF58" i="5"/>
  <c r="CF61" i="5" s="1"/>
  <c r="CE58" i="5"/>
  <c r="CD58" i="5"/>
  <c r="CD109" i="5" s="1"/>
  <c r="CC58" i="5"/>
  <c r="CC61" i="5" s="1"/>
  <c r="CB58" i="5"/>
  <c r="CA58" i="5"/>
  <c r="BZ58" i="5"/>
  <c r="BY58" i="5"/>
  <c r="BY61" i="5" s="1"/>
  <c r="BX58" i="5"/>
  <c r="BW58" i="5"/>
  <c r="BW61" i="5" s="1"/>
  <c r="BV58" i="5"/>
  <c r="BU58" i="5"/>
  <c r="BT58" i="5"/>
  <c r="BS58" i="5"/>
  <c r="BR58" i="5"/>
  <c r="BR59" i="5" s="1"/>
  <c r="BQ58" i="5"/>
  <c r="BP58" i="5"/>
  <c r="BO58" i="5"/>
  <c r="BO59" i="5" s="1"/>
  <c r="BN58" i="5"/>
  <c r="BM58" i="5"/>
  <c r="BL58" i="5"/>
  <c r="BK58" i="5"/>
  <c r="BJ58" i="5"/>
  <c r="BJ109" i="5" s="1"/>
  <c r="BI58" i="5"/>
  <c r="BH58" i="5"/>
  <c r="BH61" i="5" s="1"/>
  <c r="BG58" i="5"/>
  <c r="BF58" i="5"/>
  <c r="BF61" i="5" s="1"/>
  <c r="BE58" i="5"/>
  <c r="BE61" i="5" s="1"/>
  <c r="BD58" i="5"/>
  <c r="BD61" i="5" s="1"/>
  <c r="BC58" i="5"/>
  <c r="BB58" i="5"/>
  <c r="BA58" i="5"/>
  <c r="AZ58" i="5"/>
  <c r="AY58" i="5"/>
  <c r="AY61" i="5" s="1"/>
  <c r="AX58" i="5"/>
  <c r="AX59" i="5" s="1"/>
  <c r="AW58" i="5"/>
  <c r="AW61" i="5" s="1"/>
  <c r="AV58" i="5"/>
  <c r="AU58" i="5"/>
  <c r="AT58" i="5"/>
  <c r="AS58" i="5"/>
  <c r="AR58" i="5"/>
  <c r="AQ58" i="5"/>
  <c r="AP58" i="5"/>
  <c r="AP61" i="5" s="1"/>
  <c r="AO58" i="5"/>
  <c r="AN58" i="5"/>
  <c r="AN61" i="5" s="1"/>
  <c r="AM58" i="5"/>
  <c r="AL58" i="5"/>
  <c r="AL61" i="5" s="1"/>
  <c r="AK58" i="5"/>
  <c r="AK61" i="5" s="1"/>
  <c r="AJ58" i="5"/>
  <c r="AI58" i="5"/>
  <c r="AH58" i="5"/>
  <c r="AH59" i="5" s="1"/>
  <c r="AG58" i="5"/>
  <c r="AF58" i="5"/>
  <c r="AE58" i="5"/>
  <c r="AD58" i="5"/>
  <c r="AC58" i="5"/>
  <c r="AB58" i="5"/>
  <c r="AB61" i="5" s="1"/>
  <c r="AA58" i="5"/>
  <c r="Z58" i="5"/>
  <c r="Y58" i="5"/>
  <c r="X58" i="5"/>
  <c r="W58" i="5"/>
  <c r="V58" i="5"/>
  <c r="U58" i="5"/>
  <c r="T58" i="5"/>
  <c r="S58" i="5"/>
  <c r="R58" i="5"/>
  <c r="Q58" i="5"/>
  <c r="P58" i="5"/>
  <c r="P61" i="5" s="1"/>
  <c r="O58" i="5"/>
  <c r="N58" i="5"/>
  <c r="N61" i="5" s="1"/>
  <c r="M58" i="5"/>
  <c r="L58" i="5"/>
  <c r="K58" i="5"/>
  <c r="CU57" i="5"/>
  <c r="CT57" i="5"/>
  <c r="CR57" i="5"/>
  <c r="CQ57" i="5"/>
  <c r="CN57" i="5"/>
  <c r="CM57" i="5"/>
  <c r="CK57" i="5"/>
  <c r="CJ57" i="5"/>
  <c r="CI57" i="5"/>
  <c r="CH57" i="5"/>
  <c r="CG57" i="5"/>
  <c r="CF57" i="5"/>
  <c r="BZ57" i="5"/>
  <c r="BY57" i="5"/>
  <c r="BS57" i="5"/>
  <c r="BR57" i="5"/>
  <c r="BL57" i="5"/>
  <c r="BK57" i="5"/>
  <c r="BE57" i="5"/>
  <c r="BD57" i="5"/>
  <c r="BA57" i="5"/>
  <c r="AZ57" i="5"/>
  <c r="AY57" i="5"/>
  <c r="AX57" i="5"/>
  <c r="AW57" i="5"/>
  <c r="AR57" i="5"/>
  <c r="AQ57" i="5"/>
  <c r="AP57" i="5"/>
  <c r="AK57" i="5"/>
  <c r="AJ57" i="5"/>
  <c r="AI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CU56" i="5"/>
  <c r="CT56" i="5"/>
  <c r="CR56" i="5"/>
  <c r="CQ56" i="5"/>
  <c r="CN56" i="5"/>
  <c r="CM56" i="5"/>
  <c r="CK56" i="5"/>
  <c r="CJ56" i="5"/>
  <c r="CI56" i="5"/>
  <c r="CH56" i="5"/>
  <c r="CG56" i="5"/>
  <c r="CF56" i="5"/>
  <c r="BZ56" i="5"/>
  <c r="BY56" i="5"/>
  <c r="BS56" i="5"/>
  <c r="BR56" i="5"/>
  <c r="BL56" i="5"/>
  <c r="BK56" i="5"/>
  <c r="BE56" i="5"/>
  <c r="BD56" i="5"/>
  <c r="AZ56" i="5"/>
  <c r="AY56" i="5"/>
  <c r="AX56" i="5"/>
  <c r="AW56" i="5"/>
  <c r="AR56" i="5"/>
  <c r="AQ56" i="5"/>
  <c r="AP56" i="5"/>
  <c r="AK56" i="5"/>
  <c r="AJ56" i="5"/>
  <c r="AI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CS55" i="5"/>
  <c r="CR55" i="5"/>
  <c r="CO55" i="5"/>
  <c r="CL55" i="5"/>
  <c r="CK55" i="5"/>
  <c r="CJ55" i="5"/>
  <c r="BA55" i="5"/>
  <c r="BB55" i="5" s="1"/>
  <c r="AN55" i="5"/>
  <c r="AM55" i="5"/>
  <c r="AL55" i="5"/>
  <c r="AE55" i="5"/>
  <c r="AA55" i="5"/>
  <c r="AD55" i="5" s="1"/>
  <c r="AD57" i="5" s="1"/>
  <c r="DE54" i="5"/>
  <c r="H53" i="5"/>
  <c r="G53" i="5"/>
  <c r="G52" i="5"/>
  <c r="F52" i="5"/>
  <c r="DE20" i="5"/>
  <c r="DD18" i="5"/>
  <c r="DC18" i="5"/>
  <c r="DB18" i="5"/>
  <c r="DA18" i="5"/>
  <c r="CZ18" i="5"/>
  <c r="CS18" i="5"/>
  <c r="CP18" i="5"/>
  <c r="CK18" i="5"/>
  <c r="CJ18" i="5"/>
  <c r="CG18" i="5"/>
  <c r="CF18" i="5"/>
  <c r="CD18" i="5"/>
  <c r="CB18" i="5"/>
  <c r="BU18" i="5"/>
  <c r="BR18" i="5"/>
  <c r="BQ18" i="5"/>
  <c r="BF18" i="5"/>
  <c r="BE18" i="5"/>
  <c r="BD18" i="5"/>
  <c r="BC18" i="5"/>
  <c r="AZ18" i="5"/>
  <c r="AW18" i="5"/>
  <c r="AV18" i="5"/>
  <c r="AT18" i="5"/>
  <c r="AO18" i="5"/>
  <c r="AN18" i="5"/>
  <c r="AK18" i="5"/>
  <c r="AJ18" i="5"/>
  <c r="AH18" i="5"/>
  <c r="AE18" i="5"/>
  <c r="Y18" i="5"/>
  <c r="V18" i="5"/>
  <c r="U18" i="5"/>
  <c r="M18" i="5"/>
  <c r="L18" i="5"/>
  <c r="J18" i="5"/>
  <c r="I18" i="5"/>
  <c r="H18" i="5"/>
  <c r="G18" i="5"/>
  <c r="F18" i="5"/>
  <c r="DD16" i="5"/>
  <c r="DC16" i="5"/>
  <c r="DB16" i="5"/>
  <c r="CX16" i="5"/>
  <c r="CW16" i="5"/>
  <c r="CP16" i="5"/>
  <c r="CM16" i="5"/>
  <c r="CK16" i="5"/>
  <c r="CE16" i="5"/>
  <c r="CD16" i="5"/>
  <c r="BZ16" i="5"/>
  <c r="BY16" i="5"/>
  <c r="BT16" i="5"/>
  <c r="BN16" i="5"/>
  <c r="BJ16" i="5"/>
  <c r="BH16" i="5"/>
  <c r="BF16" i="5"/>
  <c r="BC16" i="5"/>
  <c r="AY16" i="5"/>
  <c r="AX16" i="5"/>
  <c r="AR16" i="5"/>
  <c r="AQ16" i="5"/>
  <c r="AO16" i="5"/>
  <c r="AH16" i="5"/>
  <c r="Z16" i="5"/>
  <c r="V16" i="5"/>
  <c r="P16" i="5"/>
  <c r="J16" i="5"/>
  <c r="I16" i="5"/>
  <c r="H16" i="5"/>
  <c r="G16" i="5"/>
  <c r="CY15" i="5"/>
  <c r="CY18" i="5" s="1"/>
  <c r="CX15" i="5"/>
  <c r="CX18" i="5" s="1"/>
  <c r="CW15" i="5"/>
  <c r="CV15" i="5"/>
  <c r="CU15" i="5"/>
  <c r="CT15" i="5"/>
  <c r="CT18" i="5" s="1"/>
  <c r="CS15" i="5"/>
  <c r="CS16" i="5" s="1"/>
  <c r="CR15" i="5"/>
  <c r="CQ15" i="5"/>
  <c r="CP15" i="5"/>
  <c r="CO15" i="5"/>
  <c r="CO109" i="5" s="1"/>
  <c r="CN15" i="5"/>
  <c r="CM15" i="5"/>
  <c r="CL15" i="5"/>
  <c r="CK15" i="5"/>
  <c r="DA16" i="5" s="1"/>
  <c r="CJ15" i="5"/>
  <c r="CZ16" i="5" s="1"/>
  <c r="CI15" i="5"/>
  <c r="CH15" i="5"/>
  <c r="CG15" i="5"/>
  <c r="CG16" i="5" s="1"/>
  <c r="CF15" i="5"/>
  <c r="CF109" i="5" s="1"/>
  <c r="CE15" i="5"/>
  <c r="CD15" i="5"/>
  <c r="CC15" i="5"/>
  <c r="CB15" i="5"/>
  <c r="CA15" i="5"/>
  <c r="BZ15" i="5"/>
  <c r="BY15" i="5"/>
  <c r="BY109" i="5" s="1"/>
  <c r="BX15" i="5"/>
  <c r="BX18" i="5" s="1"/>
  <c r="BW15" i="5"/>
  <c r="BW16" i="5" s="1"/>
  <c r="BV15" i="5"/>
  <c r="BV18" i="5" s="1"/>
  <c r="BU15" i="5"/>
  <c r="BT15" i="5"/>
  <c r="BS15" i="5"/>
  <c r="BR15" i="5"/>
  <c r="BR109" i="5" s="1"/>
  <c r="BQ15" i="5"/>
  <c r="BQ16" i="5" s="1"/>
  <c r="BP15" i="5"/>
  <c r="BO15" i="5"/>
  <c r="BN15" i="5"/>
  <c r="BM15" i="5"/>
  <c r="BM16" i="5" s="1"/>
  <c r="BL15" i="5"/>
  <c r="BL18" i="5" s="1"/>
  <c r="BK15" i="5"/>
  <c r="BJ15" i="5"/>
  <c r="BJ18" i="5" s="1"/>
  <c r="BI15" i="5"/>
  <c r="BH15" i="5"/>
  <c r="BH109" i="5" s="1"/>
  <c r="BH110" i="5" s="1"/>
  <c r="BG15" i="5"/>
  <c r="BF15" i="5"/>
  <c r="BE15" i="5"/>
  <c r="BD15" i="5"/>
  <c r="BC15" i="5"/>
  <c r="BC109" i="5" s="1"/>
  <c r="BB15" i="5"/>
  <c r="BB18" i="5" s="1"/>
  <c r="BA15" i="5"/>
  <c r="AZ15" i="5"/>
  <c r="AZ109" i="5" s="1"/>
  <c r="AY15" i="5"/>
  <c r="AX15" i="5"/>
  <c r="AX18" i="5" s="1"/>
  <c r="AW15" i="5"/>
  <c r="AV15" i="5"/>
  <c r="AV109" i="5" s="1"/>
  <c r="AU15" i="5"/>
  <c r="AT15" i="5"/>
  <c r="AS15" i="5"/>
  <c r="AR15" i="5"/>
  <c r="AQ15" i="5"/>
  <c r="AP15" i="5"/>
  <c r="AP18" i="5" s="1"/>
  <c r="AO15" i="5"/>
  <c r="AN15" i="5"/>
  <c r="AN109" i="5" s="1"/>
  <c r="AM15" i="5"/>
  <c r="AL15" i="5"/>
  <c r="AK15" i="5"/>
  <c r="AJ15" i="5"/>
  <c r="AJ109" i="5" s="1"/>
  <c r="AJ112" i="5" s="1"/>
  <c r="AI15" i="5"/>
  <c r="AH15" i="5"/>
  <c r="AG15" i="5"/>
  <c r="AF15" i="5"/>
  <c r="AE15" i="5"/>
  <c r="AD15" i="5"/>
  <c r="AD18" i="5" s="1"/>
  <c r="AC15" i="5"/>
  <c r="AD16" i="5" s="1"/>
  <c r="AB15" i="5"/>
  <c r="AB18" i="5" s="1"/>
  <c r="AA15" i="5"/>
  <c r="Z15" i="5"/>
  <c r="Z18" i="5" s="1"/>
  <c r="Y15" i="5"/>
  <c r="X15" i="5"/>
  <c r="W15" i="5"/>
  <c r="W109" i="5" s="1"/>
  <c r="V15" i="5"/>
  <c r="V109" i="5" s="1"/>
  <c r="U15" i="5"/>
  <c r="T15" i="5"/>
  <c r="S15" i="5"/>
  <c r="R15" i="5"/>
  <c r="R18" i="5" s="1"/>
  <c r="Q15" i="5"/>
  <c r="Q18" i="5" s="1"/>
  <c r="P15" i="5"/>
  <c r="P18" i="5" s="1"/>
  <c r="O15" i="5"/>
  <c r="N15" i="5"/>
  <c r="N18" i="5" s="1"/>
  <c r="M15" i="5"/>
  <c r="L15" i="5"/>
  <c r="L109" i="5" s="1"/>
  <c r="K15" i="5"/>
  <c r="CU14" i="5"/>
  <c r="CT14" i="5"/>
  <c r="CQ14" i="5"/>
  <c r="CN14" i="5"/>
  <c r="CM14" i="5"/>
  <c r="CI14" i="5"/>
  <c r="CH14" i="5"/>
  <c r="CG14" i="5"/>
  <c r="CF14" i="5"/>
  <c r="BZ14" i="5"/>
  <c r="BY14" i="5"/>
  <c r="BS14" i="5"/>
  <c r="BR14" i="5"/>
  <c r="BP14" i="5"/>
  <c r="BO14" i="5"/>
  <c r="BL14" i="5"/>
  <c r="BK14" i="5"/>
  <c r="BG14" i="5"/>
  <c r="BE14" i="5"/>
  <c r="BD14" i="5"/>
  <c r="AZ14" i="5"/>
  <c r="AY14" i="5"/>
  <c r="AX14" i="5"/>
  <c r="AW14" i="5"/>
  <c r="AR14" i="5"/>
  <c r="AQ14" i="5"/>
  <c r="AP14" i="5"/>
  <c r="AM14" i="5"/>
  <c r="AK14" i="5"/>
  <c r="AJ14" i="5"/>
  <c r="AI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CU13" i="5"/>
  <c r="CT13" i="5"/>
  <c r="CQ13" i="5"/>
  <c r="CN13" i="5"/>
  <c r="CM13" i="5"/>
  <c r="CI13" i="5"/>
  <c r="CH13" i="5"/>
  <c r="CG13" i="5"/>
  <c r="CF13" i="5"/>
  <c r="BZ13" i="5"/>
  <c r="BY13" i="5"/>
  <c r="BS13" i="5"/>
  <c r="BR13" i="5"/>
  <c r="BP13" i="5"/>
  <c r="BO13" i="5"/>
  <c r="BL13" i="5"/>
  <c r="BK13" i="5"/>
  <c r="BG13" i="5"/>
  <c r="BE13" i="5"/>
  <c r="BD13" i="5"/>
  <c r="AZ13" i="5"/>
  <c r="AY13" i="5"/>
  <c r="AX13" i="5"/>
  <c r="AW13" i="5"/>
  <c r="AR13" i="5"/>
  <c r="AQ13" i="5"/>
  <c r="AP13" i="5"/>
  <c r="AN13" i="5"/>
  <c r="AM13" i="5"/>
  <c r="AL13" i="5"/>
  <c r="AK13" i="5"/>
  <c r="AJ13" i="5"/>
  <c r="AI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CR12" i="5"/>
  <c r="CJ12" i="5"/>
  <c r="BP12" i="5"/>
  <c r="BQ12" i="5" s="1"/>
  <c r="BN12" i="5"/>
  <c r="BH12" i="5"/>
  <c r="BH14" i="5" s="1"/>
  <c r="BA12" i="5"/>
  <c r="AU12" i="5"/>
  <c r="AU13" i="5" s="1"/>
  <c r="AN12" i="5"/>
  <c r="AL12" i="5"/>
  <c r="AL14" i="5" s="1"/>
  <c r="AF12" i="5"/>
  <c r="AF14" i="5" s="1"/>
  <c r="AE12" i="5"/>
  <c r="DE11" i="5"/>
  <c r="I10" i="5"/>
  <c r="G10" i="5"/>
  <c r="H10" i="5" s="1"/>
  <c r="H9" i="5"/>
  <c r="G9" i="5"/>
  <c r="F9" i="5"/>
  <c r="BB12" i="5" l="1"/>
  <c r="BA106" i="5"/>
  <c r="BA14" i="5"/>
  <c r="CO110" i="5"/>
  <c r="AO55" i="5"/>
  <c r="AN56" i="5"/>
  <c r="AN57" i="5"/>
  <c r="W110" i="5"/>
  <c r="W112" i="5"/>
  <c r="AU16" i="5"/>
  <c r="AU109" i="5"/>
  <c r="CN16" i="5"/>
  <c r="BS16" i="5"/>
  <c r="BS109" i="5"/>
  <c r="BS18" i="5"/>
  <c r="Y59" i="5"/>
  <c r="Y61" i="5"/>
  <c r="BU61" i="5"/>
  <c r="BU109" i="5"/>
  <c r="BU110" i="5" s="1"/>
  <c r="BU59" i="5"/>
  <c r="CS61" i="5"/>
  <c r="CS59" i="5"/>
  <c r="CS109" i="5"/>
  <c r="CS110" i="5" s="1"/>
  <c r="BN14" i="5"/>
  <c r="BN13" i="5"/>
  <c r="BT12" i="5"/>
  <c r="BQ14" i="5"/>
  <c r="BQ13" i="5"/>
  <c r="AG110" i="5"/>
  <c r="BA13" i="5"/>
  <c r="AH110" i="5"/>
  <c r="O18" i="5"/>
  <c r="O16" i="5"/>
  <c r="O109" i="5"/>
  <c r="AM109" i="5"/>
  <c r="AM18" i="5"/>
  <c r="AM16" i="5"/>
  <c r="AN16" i="5"/>
  <c r="BK109" i="5"/>
  <c r="BK16" i="5"/>
  <c r="BK18" i="5"/>
  <c r="CI18" i="5"/>
  <c r="CI109" i="5"/>
  <c r="CI110" i="5" s="1"/>
  <c r="CI16" i="5"/>
  <c r="X16" i="5"/>
  <c r="AZ110" i="5"/>
  <c r="W18" i="5"/>
  <c r="AK59" i="5"/>
  <c r="J10" i="5"/>
  <c r="I9" i="5"/>
  <c r="AR107" i="5"/>
  <c r="AR108" i="5"/>
  <c r="T61" i="5"/>
  <c r="U59" i="5"/>
  <c r="AF61" i="5"/>
  <c r="AF59" i="5"/>
  <c r="BP59" i="5"/>
  <c r="BP61" i="5"/>
  <c r="BP109" i="5"/>
  <c r="CB61" i="5"/>
  <c r="CB59" i="5"/>
  <c r="DD59" i="5"/>
  <c r="CN61" i="5"/>
  <c r="CO56" i="5"/>
  <c r="CO57" i="5"/>
  <c r="AG59" i="5"/>
  <c r="CN59" i="5"/>
  <c r="BR110" i="5"/>
  <c r="K109" i="5"/>
  <c r="K18" i="5"/>
  <c r="K16" i="5"/>
  <c r="AI109" i="5"/>
  <c r="AI16" i="5"/>
  <c r="BG109" i="5"/>
  <c r="BG18" i="5"/>
  <c r="CE18" i="5"/>
  <c r="CE109" i="5"/>
  <c r="CQ109" i="5"/>
  <c r="CQ16" i="5"/>
  <c r="CQ18" i="5"/>
  <c r="M61" i="5"/>
  <c r="M59" i="5"/>
  <c r="BI61" i="5"/>
  <c r="BI59" i="5"/>
  <c r="CG109" i="5"/>
  <c r="CG110" i="5" s="1"/>
  <c r="CG59" i="5"/>
  <c r="CF110" i="5"/>
  <c r="BG16" i="5"/>
  <c r="W16" i="5"/>
  <c r="AU18" i="5"/>
  <c r="CQ108" i="5"/>
  <c r="CQ107" i="5"/>
  <c r="AG112" i="5"/>
  <c r="AA109" i="5"/>
  <c r="AA18" i="5"/>
  <c r="AA16" i="5"/>
  <c r="AY18" i="5"/>
  <c r="AY109" i="5"/>
  <c r="BW109" i="5"/>
  <c r="BW18" i="5"/>
  <c r="CU109" i="5"/>
  <c r="CU18" i="5"/>
  <c r="CU16" i="5"/>
  <c r="AP110" i="5"/>
  <c r="AL59" i="5"/>
  <c r="AV59" i="5"/>
  <c r="AR59" i="5"/>
  <c r="BL110" i="5"/>
  <c r="AI18" i="5"/>
  <c r="I53" i="5"/>
  <c r="H52" i="5"/>
  <c r="CP55" i="5"/>
  <c r="AW59" i="5"/>
  <c r="AO112" i="5"/>
  <c r="BY110" i="5"/>
  <c r="S109" i="5"/>
  <c r="S16" i="5"/>
  <c r="AE109" i="5"/>
  <c r="AE16" i="5"/>
  <c r="AQ109" i="5"/>
  <c r="AQ110" i="5" s="1"/>
  <c r="AQ18" i="5"/>
  <c r="BO18" i="5"/>
  <c r="BO16" i="5"/>
  <c r="CM109" i="5"/>
  <c r="CM18" i="5"/>
  <c r="Q59" i="5"/>
  <c r="Q61" i="5"/>
  <c r="Q109" i="5"/>
  <c r="AO61" i="5"/>
  <c r="AO59" i="5"/>
  <c r="BA61" i="5"/>
  <c r="BA59" i="5"/>
  <c r="BM61" i="5"/>
  <c r="BM59" i="5"/>
  <c r="CK61" i="5"/>
  <c r="CK59" i="5"/>
  <c r="DA59" i="5"/>
  <c r="CV59" i="5"/>
  <c r="CR59" i="5"/>
  <c r="CW61" i="5"/>
  <c r="CW59" i="5"/>
  <c r="CK109" i="5"/>
  <c r="T16" i="5"/>
  <c r="T109" i="5"/>
  <c r="AF16" i="5"/>
  <c r="AF109" i="5"/>
  <c r="AF18" i="5"/>
  <c r="AR109" i="5"/>
  <c r="AR18" i="5"/>
  <c r="CH16" i="5"/>
  <c r="BB16" i="5"/>
  <c r="BD16" i="5"/>
  <c r="BD109" i="5"/>
  <c r="BP18" i="5"/>
  <c r="BP16" i="5"/>
  <c r="CB109" i="5"/>
  <c r="CB16" i="5"/>
  <c r="CN109" i="5"/>
  <c r="CN112" i="5" s="1"/>
  <c r="CN18" i="5"/>
  <c r="S18" i="5"/>
  <c r="AL57" i="5"/>
  <c r="AL56" i="5"/>
  <c r="R109" i="5"/>
  <c r="R61" i="5"/>
  <c r="R59" i="5"/>
  <c r="AD109" i="5"/>
  <c r="AD110" i="5" s="1"/>
  <c r="AD59" i="5"/>
  <c r="AD61" i="5"/>
  <c r="BB61" i="5"/>
  <c r="BB109" i="5"/>
  <c r="BB110" i="5" s="1"/>
  <c r="BZ61" i="5"/>
  <c r="BZ59" i="5"/>
  <c r="CL61" i="5"/>
  <c r="CL59" i="5"/>
  <c r="DB59" i="5"/>
  <c r="CX59" i="5"/>
  <c r="CX61" i="5"/>
  <c r="CX109" i="5"/>
  <c r="BB112" i="5"/>
  <c r="AG12" i="5"/>
  <c r="AF13" i="5"/>
  <c r="CT107" i="5"/>
  <c r="CT108" i="5"/>
  <c r="J110" i="5"/>
  <c r="BC110" i="5"/>
  <c r="CA109" i="5"/>
  <c r="CA110" i="5" s="1"/>
  <c r="CA18" i="5"/>
  <c r="CA16" i="5"/>
  <c r="CY16" i="5"/>
  <c r="CY109" i="5"/>
  <c r="AE57" i="5"/>
  <c r="AF55" i="5"/>
  <c r="AC59" i="5"/>
  <c r="AC61" i="5"/>
  <c r="CQ112" i="5"/>
  <c r="AU14" i="5"/>
  <c r="U16" i="5"/>
  <c r="U109" i="5"/>
  <c r="U110" i="5" s="1"/>
  <c r="AG16" i="5"/>
  <c r="AG18" i="5"/>
  <c r="AS16" i="5"/>
  <c r="AS109" i="5"/>
  <c r="BR16" i="5"/>
  <c r="CF16" i="5"/>
  <c r="AS18" i="5"/>
  <c r="AT16" i="5"/>
  <c r="BE16" i="5"/>
  <c r="BE109" i="5"/>
  <c r="BE110" i="5" s="1"/>
  <c r="CC16" i="5"/>
  <c r="CC109" i="5"/>
  <c r="CC110" i="5" s="1"/>
  <c r="CC18" i="5"/>
  <c r="CO16" i="5"/>
  <c r="CO18" i="5"/>
  <c r="BV16" i="5"/>
  <c r="T18" i="5"/>
  <c r="AM57" i="5"/>
  <c r="AM56" i="5"/>
  <c r="CL57" i="5"/>
  <c r="CL56" i="5"/>
  <c r="S61" i="5"/>
  <c r="S59" i="5"/>
  <c r="AE59" i="5"/>
  <c r="AE61" i="5"/>
  <c r="AQ61" i="5"/>
  <c r="BL59" i="5"/>
  <c r="AQ59" i="5"/>
  <c r="BC61" i="5"/>
  <c r="BC59" i="5"/>
  <c r="CA61" i="5"/>
  <c r="CA59" i="5"/>
  <c r="DC59" i="5"/>
  <c r="CM61" i="5"/>
  <c r="CY61" i="5"/>
  <c r="CY59" i="5"/>
  <c r="I103" i="5"/>
  <c r="J104" i="5"/>
  <c r="Y108" i="5"/>
  <c r="Y107" i="5"/>
  <c r="DE105" i="5"/>
  <c r="BC112" i="5"/>
  <c r="CS56" i="5"/>
  <c r="CS57" i="5"/>
  <c r="AS61" i="5"/>
  <c r="AS59" i="5"/>
  <c r="CF59" i="5"/>
  <c r="BQ61" i="5"/>
  <c r="BQ59" i="5"/>
  <c r="AD108" i="5"/>
  <c r="CJ106" i="5"/>
  <c r="CJ14" i="5"/>
  <c r="CJ13" i="5"/>
  <c r="X109" i="5"/>
  <c r="X110" i="5" s="1"/>
  <c r="X18" i="5"/>
  <c r="AV110" i="5"/>
  <c r="BT109" i="5"/>
  <c r="BT110" i="5" s="1"/>
  <c r="BT18" i="5"/>
  <c r="CR109" i="5"/>
  <c r="CR18" i="5"/>
  <c r="AC16" i="5"/>
  <c r="CR16" i="5"/>
  <c r="BB57" i="5"/>
  <c r="BB56" i="5"/>
  <c r="CV55" i="5"/>
  <c r="AT61" i="5"/>
  <c r="BH59" i="5"/>
  <c r="CJ59" i="5"/>
  <c r="CD110" i="5"/>
  <c r="CP61" i="5"/>
  <c r="CP109" i="5"/>
  <c r="CP110" i="5" s="1"/>
  <c r="BJ59" i="5"/>
  <c r="AX61" i="5"/>
  <c r="CU107" i="5"/>
  <c r="AP112" i="5"/>
  <c r="BI12" i="5"/>
  <c r="CK12" i="5"/>
  <c r="M109" i="5"/>
  <c r="M16" i="5"/>
  <c r="N16" i="5"/>
  <c r="Y16" i="5"/>
  <c r="Y109" i="5"/>
  <c r="AK16" i="5"/>
  <c r="AK109" i="5"/>
  <c r="AW16" i="5"/>
  <c r="BI16" i="5"/>
  <c r="BU16" i="5"/>
  <c r="L16" i="5"/>
  <c r="AV16" i="5"/>
  <c r="BL16" i="5"/>
  <c r="CT16" i="5"/>
  <c r="BH18" i="5"/>
  <c r="BY18" i="5"/>
  <c r="DF20" i="5"/>
  <c r="BC55" i="5"/>
  <c r="BA56" i="5"/>
  <c r="K59" i="5"/>
  <c r="L59" i="5"/>
  <c r="W59" i="5"/>
  <c r="W61" i="5"/>
  <c r="AI59" i="5"/>
  <c r="AU59" i="5"/>
  <c r="BG59" i="5"/>
  <c r="BG61" i="5"/>
  <c r="BS61" i="5"/>
  <c r="BS59" i="5"/>
  <c r="CE61" i="5"/>
  <c r="CE59" i="5"/>
  <c r="CQ59" i="5"/>
  <c r="AT59" i="5"/>
  <c r="CQ61" i="5"/>
  <c r="AY107" i="5"/>
  <c r="AW109" i="5"/>
  <c r="AQ112" i="5"/>
  <c r="BO112" i="5"/>
  <c r="CA112" i="5"/>
  <c r="AE13" i="5"/>
  <c r="AE14" i="5"/>
  <c r="BH13" i="5"/>
  <c r="BI18" i="5"/>
  <c r="CC59" i="5"/>
  <c r="AG61" i="5"/>
  <c r="CG108" i="5"/>
  <c r="AX109" i="5"/>
  <c r="AX110" i="5" s="1"/>
  <c r="AK108" i="5"/>
  <c r="CH107" i="5"/>
  <c r="CH108" i="5"/>
  <c r="I112" i="5"/>
  <c r="AS112" i="5"/>
  <c r="CR14" i="5"/>
  <c r="CS12" i="5"/>
  <c r="CR13" i="5"/>
  <c r="AB16" i="5"/>
  <c r="AN110" i="5"/>
  <c r="BX16" i="5"/>
  <c r="BX109" i="5"/>
  <c r="BX110" i="5" s="1"/>
  <c r="CV109" i="5"/>
  <c r="CV16" i="5"/>
  <c r="Q16" i="5"/>
  <c r="AZ16" i="5"/>
  <c r="Z61" i="5"/>
  <c r="Z59" i="5"/>
  <c r="BJ110" i="5"/>
  <c r="BV61" i="5"/>
  <c r="BV59" i="5"/>
  <c r="BV109" i="5"/>
  <c r="BV110" i="5" s="1"/>
  <c r="CT61" i="5"/>
  <c r="CT59" i="5"/>
  <c r="AL106" i="5"/>
  <c r="F108" i="5"/>
  <c r="DC110" i="5"/>
  <c r="V112" i="5"/>
  <c r="AH112" i="5"/>
  <c r="AT112" i="5"/>
  <c r="BR112" i="5"/>
  <c r="AC109" i="5"/>
  <c r="AC18" i="5"/>
  <c r="BA109" i="5"/>
  <c r="BA110" i="5" s="1"/>
  <c r="BA18" i="5"/>
  <c r="BM109" i="5"/>
  <c r="CW109" i="5"/>
  <c r="CW18" i="5"/>
  <c r="AJ16" i="5"/>
  <c r="BA16" i="5"/>
  <c r="BM18" i="5"/>
  <c r="O59" i="5"/>
  <c r="AA59" i="5"/>
  <c r="AA61" i="5"/>
  <c r="AM59" i="5"/>
  <c r="AY59" i="5"/>
  <c r="BK59" i="5"/>
  <c r="BW59" i="5"/>
  <c r="CI59" i="5"/>
  <c r="CU59" i="5"/>
  <c r="AZ59" i="5"/>
  <c r="BJ61" i="5"/>
  <c r="H108" i="5"/>
  <c r="BF109" i="5"/>
  <c r="BF110" i="5" s="1"/>
  <c r="DE114" i="5"/>
  <c r="DF114" i="5" s="1"/>
  <c r="AN14" i="5"/>
  <c r="AO12" i="5"/>
  <c r="AL16" i="5"/>
  <c r="CJ16" i="5"/>
  <c r="CV18" i="5"/>
  <c r="AJ59" i="5"/>
  <c r="BK61" i="5"/>
  <c r="CO112" i="5"/>
  <c r="AO106" i="5"/>
  <c r="I108" i="5"/>
  <c r="BI109" i="5"/>
  <c r="BI110" i="5" s="1"/>
  <c r="CJ109" i="5"/>
  <c r="L112" i="5"/>
  <c r="X112" i="5"/>
  <c r="CF112" i="5"/>
  <c r="BD107" i="5"/>
  <c r="J108" i="5"/>
  <c r="AV112" i="5"/>
  <c r="BH112" i="5"/>
  <c r="AL109" i="5"/>
  <c r="AL110" i="5" s="1"/>
  <c r="CH109" i="5"/>
  <c r="CH110" i="5" s="1"/>
  <c r="AP16" i="5"/>
  <c r="BI112" i="5"/>
  <c r="BU112" i="5"/>
  <c r="DF63" i="5"/>
  <c r="AE106" i="5"/>
  <c r="AD107" i="5"/>
  <c r="AA107" i="5"/>
  <c r="BN109" i="5"/>
  <c r="BN110" i="5" s="1"/>
  <c r="BN18" i="5"/>
  <c r="BZ109" i="5"/>
  <c r="BZ110" i="5" s="1"/>
  <c r="BZ18" i="5"/>
  <c r="CL109" i="5"/>
  <c r="CL110" i="5" s="1"/>
  <c r="CL18" i="5"/>
  <c r="R16" i="5"/>
  <c r="CL16" i="5"/>
  <c r="CI107" i="5"/>
  <c r="CU112" i="5"/>
  <c r="AW107" i="5"/>
  <c r="BK107" i="5"/>
  <c r="BZ107" i="5"/>
  <c r="AL18" i="5"/>
  <c r="CH18" i="5"/>
  <c r="N109" i="5"/>
  <c r="N110" i="5" s="1"/>
  <c r="Z109" i="5"/>
  <c r="Z110" i="5" s="1"/>
  <c r="CJ112" i="5"/>
  <c r="H112" i="5"/>
  <c r="AX107" i="5"/>
  <c r="P112" i="5"/>
  <c r="AB112" i="5"/>
  <c r="AN112" i="5"/>
  <c r="AZ112" i="5"/>
  <c r="BL112" i="5"/>
  <c r="BX112" i="5"/>
  <c r="AS12" i="5" l="1"/>
  <c r="AV12" i="5"/>
  <c r="AO13" i="5"/>
  <c r="AO14" i="5"/>
  <c r="CR110" i="5"/>
  <c r="CR112" i="5"/>
  <c r="K104" i="5"/>
  <c r="J103" i="5"/>
  <c r="DA110" i="5"/>
  <c r="CK110" i="5"/>
  <c r="CK112" i="5"/>
  <c r="AI112" i="5"/>
  <c r="AI110" i="5"/>
  <c r="BD112" i="5"/>
  <c r="BD110" i="5"/>
  <c r="AC112" i="5"/>
  <c r="AC110" i="5"/>
  <c r="CL112" i="5"/>
  <c r="M112" i="5"/>
  <c r="M110" i="5"/>
  <c r="Q110" i="5"/>
  <c r="Q112" i="5"/>
  <c r="CC112" i="5"/>
  <c r="CS106" i="5"/>
  <c r="CV12" i="5"/>
  <c r="CS14" i="5"/>
  <c r="CS13" i="5"/>
  <c r="AW110" i="5"/>
  <c r="AW112" i="5"/>
  <c r="CK14" i="5"/>
  <c r="CK106" i="5"/>
  <c r="CK13" i="5"/>
  <c r="CL12" i="5"/>
  <c r="R110" i="5"/>
  <c r="R112" i="5"/>
  <c r="K112" i="5"/>
  <c r="K110" i="5"/>
  <c r="CG112" i="5"/>
  <c r="V110" i="5"/>
  <c r="BT112" i="5"/>
  <c r="BJ12" i="5"/>
  <c r="BI14" i="5"/>
  <c r="BI13" i="5"/>
  <c r="AO107" i="5"/>
  <c r="AO108" i="5"/>
  <c r="AS106" i="5"/>
  <c r="BE112" i="5"/>
  <c r="BZ112" i="5"/>
  <c r="CT110" i="5"/>
  <c r="BK112" i="5"/>
  <c r="BK110" i="5"/>
  <c r="BN112" i="5"/>
  <c r="CW55" i="5"/>
  <c r="CV56" i="5"/>
  <c r="CV57" i="5"/>
  <c r="L110" i="5"/>
  <c r="AR110" i="5"/>
  <c r="AR112" i="5"/>
  <c r="CM110" i="5"/>
  <c r="CM112" i="5"/>
  <c r="CP57" i="5"/>
  <c r="CP56" i="5"/>
  <c r="CU110" i="5"/>
  <c r="CQ110" i="5"/>
  <c r="BV112" i="5"/>
  <c r="J9" i="5"/>
  <c r="K10" i="5"/>
  <c r="BT14" i="5"/>
  <c r="BU12" i="5"/>
  <c r="BT13" i="5"/>
  <c r="AO56" i="5"/>
  <c r="AS55" i="5"/>
  <c r="AO57" i="5"/>
  <c r="CY110" i="5"/>
  <c r="CY112" i="5"/>
  <c r="AU112" i="5"/>
  <c r="AU110" i="5"/>
  <c r="CX110" i="5"/>
  <c r="CX112" i="5"/>
  <c r="AE110" i="5"/>
  <c r="AJ110" i="5"/>
  <c r="AA110" i="5"/>
  <c r="AA112" i="5"/>
  <c r="CZ110" i="5"/>
  <c r="CJ110" i="5"/>
  <c r="AE112" i="5"/>
  <c r="S112" i="5"/>
  <c r="S110" i="5"/>
  <c r="U112" i="5"/>
  <c r="CE110" i="5"/>
  <c r="CE112" i="5"/>
  <c r="AX112" i="5"/>
  <c r="AE108" i="5"/>
  <c r="AE107" i="5"/>
  <c r="AF106" i="5"/>
  <c r="AK112" i="5"/>
  <c r="AK110" i="5"/>
  <c r="AD112" i="5"/>
  <c r="AF56" i="5"/>
  <c r="AG55" i="5"/>
  <c r="AF57" i="5"/>
  <c r="DD110" i="5"/>
  <c r="CN110" i="5"/>
  <c r="AF112" i="5"/>
  <c r="AF110" i="5"/>
  <c r="I52" i="5"/>
  <c r="J53" i="5"/>
  <c r="BW110" i="5"/>
  <c r="BW112" i="5"/>
  <c r="AL112" i="5"/>
  <c r="BP110" i="5"/>
  <c r="BP112" i="5"/>
  <c r="BS112" i="5"/>
  <c r="BS110" i="5"/>
  <c r="CI112" i="5"/>
  <c r="CH112" i="5"/>
  <c r="CP112" i="5"/>
  <c r="CW112" i="5"/>
  <c r="CW110" i="5"/>
  <c r="AL107" i="5"/>
  <c r="AL108" i="5"/>
  <c r="CV110" i="5"/>
  <c r="DB110" i="5"/>
  <c r="BC57" i="5"/>
  <c r="BC56" i="5"/>
  <c r="BF55" i="5"/>
  <c r="CJ107" i="5"/>
  <c r="CJ108" i="5"/>
  <c r="CS112" i="5"/>
  <c r="AY112" i="5"/>
  <c r="AY110" i="5"/>
  <c r="Z112" i="5"/>
  <c r="AM112" i="5"/>
  <c r="AM110" i="5"/>
  <c r="BA108" i="5"/>
  <c r="BA107" i="5"/>
  <c r="CV112" i="5"/>
  <c r="BM112" i="5"/>
  <c r="BM110" i="5"/>
  <c r="AB110" i="5"/>
  <c r="Y110" i="5"/>
  <c r="BA112" i="5"/>
  <c r="AS110" i="5"/>
  <c r="AT110" i="5"/>
  <c r="AH12" i="5"/>
  <c r="AG13" i="5"/>
  <c r="AG14" i="5"/>
  <c r="CB110" i="5"/>
  <c r="CB112" i="5"/>
  <c r="T112" i="5"/>
  <c r="T110" i="5"/>
  <c r="Y112" i="5"/>
  <c r="BG110" i="5"/>
  <c r="BG112" i="5"/>
  <c r="N112" i="5"/>
  <c r="BF112" i="5"/>
  <c r="O110" i="5"/>
  <c r="O112" i="5"/>
  <c r="P110" i="5"/>
  <c r="BB106" i="5"/>
  <c r="BB13" i="5"/>
  <c r="BC12" i="5"/>
  <c r="BB14" i="5"/>
  <c r="BU13" i="5" l="1"/>
  <c r="BU14" i="5"/>
  <c r="BV12" i="5"/>
  <c r="AT106" i="5"/>
  <c r="AS107" i="5"/>
  <c r="AS108" i="5"/>
  <c r="BC13" i="5"/>
  <c r="BF12" i="5"/>
  <c r="BC106" i="5"/>
  <c r="BC14" i="5"/>
  <c r="BF56" i="5"/>
  <c r="BF57" i="5"/>
  <c r="BG55" i="5"/>
  <c r="CL106" i="5"/>
  <c r="CL13" i="5"/>
  <c r="CO12" i="5"/>
  <c r="CL14" i="5"/>
  <c r="BB108" i="5"/>
  <c r="BB107" i="5"/>
  <c r="L10" i="5"/>
  <c r="K9" i="5"/>
  <c r="AG56" i="5"/>
  <c r="AH55" i="5"/>
  <c r="AG57" i="5"/>
  <c r="CK107" i="5"/>
  <c r="CK108" i="5"/>
  <c r="L104" i="5"/>
  <c r="K103" i="5"/>
  <c r="CW57" i="5"/>
  <c r="CW56" i="5"/>
  <c r="CX55" i="5"/>
  <c r="BM12" i="5"/>
  <c r="BJ14" i="5"/>
  <c r="BJ13" i="5"/>
  <c r="AH13" i="5"/>
  <c r="AH14" i="5"/>
  <c r="CS108" i="5"/>
  <c r="CS107" i="5"/>
  <c r="K53" i="5"/>
  <c r="J52" i="5"/>
  <c r="AF108" i="5"/>
  <c r="AF107" i="5"/>
  <c r="AG106" i="5"/>
  <c r="AS56" i="5"/>
  <c r="AS57" i="5"/>
  <c r="AT55" i="5"/>
  <c r="AV14" i="5"/>
  <c r="AV13" i="5"/>
  <c r="CV106" i="5"/>
  <c r="CV14" i="5"/>
  <c r="CV13" i="5"/>
  <c r="CW12" i="5"/>
  <c r="AT12" i="5"/>
  <c r="AS13" i="5"/>
  <c r="AS14" i="5"/>
  <c r="AH56" i="5" l="1"/>
  <c r="AH57" i="5"/>
  <c r="L9" i="5"/>
  <c r="M10" i="5"/>
  <c r="CX57" i="5"/>
  <c r="CX56" i="5"/>
  <c r="CY55" i="5"/>
  <c r="CV107" i="5"/>
  <c r="CV108" i="5"/>
  <c r="K52" i="5"/>
  <c r="L53" i="5"/>
  <c r="CO106" i="5"/>
  <c r="CP12" i="5"/>
  <c r="CO13" i="5"/>
  <c r="CO14" i="5"/>
  <c r="AT107" i="5"/>
  <c r="AU106" i="5"/>
  <c r="AT108" i="5"/>
  <c r="AT13" i="5"/>
  <c r="AT14" i="5"/>
  <c r="AH106" i="5"/>
  <c r="AG107" i="5"/>
  <c r="AG108" i="5"/>
  <c r="BC108" i="5"/>
  <c r="BC107" i="5"/>
  <c r="CW106" i="5"/>
  <c r="CX12" i="5"/>
  <c r="CW14" i="5"/>
  <c r="CW13" i="5"/>
  <c r="BM13" i="5"/>
  <c r="BM14" i="5"/>
  <c r="BF106" i="5"/>
  <c r="BF13" i="5"/>
  <c r="BF14" i="5"/>
  <c r="M104" i="5"/>
  <c r="L103" i="5"/>
  <c r="BV13" i="5"/>
  <c r="BW12" i="5"/>
  <c r="BV14" i="5"/>
  <c r="CL108" i="5"/>
  <c r="CL107" i="5"/>
  <c r="BG56" i="5"/>
  <c r="BH55" i="5"/>
  <c r="BG57" i="5"/>
  <c r="BG106" i="5"/>
  <c r="AT56" i="5"/>
  <c r="AU55" i="5"/>
  <c r="AT57" i="5"/>
  <c r="M53" i="5" l="1"/>
  <c r="L52" i="5"/>
  <c r="AH108" i="5"/>
  <c r="AH107" i="5"/>
  <c r="CY57" i="5"/>
  <c r="CY56" i="5"/>
  <c r="CZ55" i="5"/>
  <c r="BX12" i="5"/>
  <c r="BW14" i="5"/>
  <c r="BW13" i="5"/>
  <c r="AV106" i="5"/>
  <c r="AU108" i="5"/>
  <c r="AU107" i="5"/>
  <c r="N10" i="5"/>
  <c r="M9" i="5"/>
  <c r="BH56" i="5"/>
  <c r="BI55" i="5"/>
  <c r="BH106" i="5"/>
  <c r="BH57" i="5"/>
  <c r="BF107" i="5"/>
  <c r="BF108" i="5"/>
  <c r="AV55" i="5"/>
  <c r="AU56" i="5"/>
  <c r="AU57" i="5"/>
  <c r="CY12" i="5"/>
  <c r="CX14" i="5"/>
  <c r="CX13" i="5"/>
  <c r="CX106" i="5"/>
  <c r="CW107" i="5"/>
  <c r="CW108" i="5"/>
  <c r="BG107" i="5"/>
  <c r="BG108" i="5"/>
  <c r="M103" i="5"/>
  <c r="N104" i="5"/>
  <c r="CP106" i="5"/>
  <c r="CP14" i="5"/>
  <c r="CP13" i="5"/>
  <c r="CO107" i="5"/>
  <c r="CO108" i="5"/>
  <c r="CP107" i="5" l="1"/>
  <c r="CP108" i="5"/>
  <c r="AV107" i="5"/>
  <c r="AV108" i="5"/>
  <c r="BX14" i="5"/>
  <c r="CA12" i="5"/>
  <c r="BX13" i="5"/>
  <c r="BI56" i="5"/>
  <c r="BJ55" i="5"/>
  <c r="BI57" i="5"/>
  <c r="BI106" i="5"/>
  <c r="N103" i="5"/>
  <c r="O104" i="5"/>
  <c r="AV57" i="5"/>
  <c r="AV56" i="5"/>
  <c r="BH107" i="5"/>
  <c r="BH108" i="5"/>
  <c r="DA55" i="5"/>
  <c r="CZ56" i="5"/>
  <c r="CZ57" i="5"/>
  <c r="CX107" i="5"/>
  <c r="CX108" i="5"/>
  <c r="N9" i="5"/>
  <c r="O10" i="5"/>
  <c r="CY106" i="5"/>
  <c r="CY13" i="5"/>
  <c r="CY14" i="5"/>
  <c r="CZ12" i="5"/>
  <c r="M52" i="5"/>
  <c r="N53" i="5"/>
  <c r="BJ57" i="5" l="1"/>
  <c r="BM55" i="5"/>
  <c r="BJ56" i="5"/>
  <c r="BJ106" i="5"/>
  <c r="O53" i="5"/>
  <c r="N52" i="5"/>
  <c r="DA56" i="5"/>
  <c r="DB55" i="5"/>
  <c r="DA57" i="5"/>
  <c r="CZ13" i="5"/>
  <c r="CZ106" i="5"/>
  <c r="CZ14" i="5"/>
  <c r="DA12" i="5"/>
  <c r="CA13" i="5"/>
  <c r="CA14" i="5"/>
  <c r="CB12" i="5"/>
  <c r="CY108" i="5"/>
  <c r="CY107" i="5"/>
  <c r="O103" i="5"/>
  <c r="P104" i="5"/>
  <c r="P10" i="5"/>
  <c r="O9" i="5"/>
  <c r="BI107" i="5"/>
  <c r="BI108" i="5"/>
  <c r="Q10" i="5" l="1"/>
  <c r="P9" i="5"/>
  <c r="DB56" i="5"/>
  <c r="DC55" i="5"/>
  <c r="DB57" i="5"/>
  <c r="CB14" i="5"/>
  <c r="CC12" i="5"/>
  <c r="CB13" i="5"/>
  <c r="O52" i="5"/>
  <c r="P53" i="5"/>
  <c r="CZ108" i="5"/>
  <c r="CZ107" i="5"/>
  <c r="Q104" i="5"/>
  <c r="P103" i="5"/>
  <c r="BJ107" i="5"/>
  <c r="BJ108" i="5"/>
  <c r="BM57" i="5"/>
  <c r="BM56" i="5"/>
  <c r="BN55" i="5"/>
  <c r="BM106" i="5"/>
  <c r="DA106" i="5"/>
  <c r="DA13" i="5"/>
  <c r="DA14" i="5"/>
  <c r="DB12" i="5"/>
  <c r="P52" i="5" l="1"/>
  <c r="Q53" i="5"/>
  <c r="DA108" i="5"/>
  <c r="DA107" i="5"/>
  <c r="BM107" i="5"/>
  <c r="BM108" i="5"/>
  <c r="BN57" i="5"/>
  <c r="BO55" i="5"/>
  <c r="BN56" i="5"/>
  <c r="BN106" i="5"/>
  <c r="CD12" i="5"/>
  <c r="CC14" i="5"/>
  <c r="CC13" i="5"/>
  <c r="DD55" i="5"/>
  <c r="DC56" i="5"/>
  <c r="DC57" i="5"/>
  <c r="R104" i="5"/>
  <c r="Q103" i="5"/>
  <c r="DB106" i="5"/>
  <c r="DB13" i="5"/>
  <c r="DB14" i="5"/>
  <c r="DC12" i="5"/>
  <c r="R10" i="5"/>
  <c r="Q9" i="5"/>
  <c r="R9" i="5" l="1"/>
  <c r="S10" i="5"/>
  <c r="DC13" i="5"/>
  <c r="DC106" i="5"/>
  <c r="DC14" i="5"/>
  <c r="DD12" i="5"/>
  <c r="CD14" i="5"/>
  <c r="CD13" i="5"/>
  <c r="CE12" i="5"/>
  <c r="BN107" i="5"/>
  <c r="BN108" i="5"/>
  <c r="DB108" i="5"/>
  <c r="DB107" i="5"/>
  <c r="BP55" i="5"/>
  <c r="BO56" i="5"/>
  <c r="BO106" i="5"/>
  <c r="BO57" i="5"/>
  <c r="R103" i="5"/>
  <c r="R152" i="5"/>
  <c r="S104" i="5"/>
  <c r="DD57" i="5"/>
  <c r="DD56" i="5"/>
  <c r="Q52" i="5"/>
  <c r="R53" i="5"/>
  <c r="CE13" i="5" l="1"/>
  <c r="CE14" i="5"/>
  <c r="S103" i="5"/>
  <c r="T104" i="5"/>
  <c r="R151" i="5"/>
  <c r="S152" i="5"/>
  <c r="DD14" i="5"/>
  <c r="DD13" i="5"/>
  <c r="DD106" i="5"/>
  <c r="DE12" i="5"/>
  <c r="BO108" i="5"/>
  <c r="BO107" i="5"/>
  <c r="DC108" i="5"/>
  <c r="DC107" i="5"/>
  <c r="BP106" i="5"/>
  <c r="BP57" i="5"/>
  <c r="BP56" i="5"/>
  <c r="BQ55" i="5"/>
  <c r="S53" i="5"/>
  <c r="R52" i="5"/>
  <c r="T10" i="5"/>
  <c r="S9" i="5"/>
  <c r="U10" i="5" l="1"/>
  <c r="T9" i="5"/>
  <c r="DD107" i="5"/>
  <c r="DD108" i="5"/>
  <c r="S52" i="5"/>
  <c r="T53" i="5"/>
  <c r="BQ56" i="5"/>
  <c r="BQ57" i="5"/>
  <c r="BT55" i="5"/>
  <c r="BQ106" i="5"/>
  <c r="S151" i="5"/>
  <c r="T152" i="5"/>
  <c r="U104" i="5"/>
  <c r="T103" i="5"/>
  <c r="BP108" i="5"/>
  <c r="BP107" i="5"/>
  <c r="BQ108" i="5" l="1"/>
  <c r="BQ107" i="5"/>
  <c r="BT56" i="5"/>
  <c r="BT57" i="5"/>
  <c r="BU55" i="5"/>
  <c r="BT106" i="5"/>
  <c r="T52" i="5"/>
  <c r="U53" i="5"/>
  <c r="U103" i="5"/>
  <c r="V104" i="5"/>
  <c r="U152" i="5"/>
  <c r="T151" i="5"/>
  <c r="V10" i="5"/>
  <c r="U9" i="5"/>
  <c r="V9" i="5" l="1"/>
  <c r="W10" i="5"/>
  <c r="V152" i="5"/>
  <c r="U151" i="5"/>
  <c r="W104" i="5"/>
  <c r="V103" i="5"/>
  <c r="U52" i="5"/>
  <c r="V53" i="5"/>
  <c r="BT108" i="5"/>
  <c r="BT107" i="5"/>
  <c r="BU56" i="5"/>
  <c r="BV55" i="5"/>
  <c r="BU57" i="5"/>
  <c r="BU106" i="5"/>
  <c r="BV57" i="5" l="1"/>
  <c r="BW55" i="5"/>
  <c r="BV56" i="5"/>
  <c r="BV106" i="5"/>
  <c r="W53" i="5"/>
  <c r="V52" i="5"/>
  <c r="X104" i="5"/>
  <c r="W103" i="5"/>
  <c r="V151" i="5"/>
  <c r="W152" i="5"/>
  <c r="BU108" i="5"/>
  <c r="BU107" i="5"/>
  <c r="W9" i="5"/>
  <c r="X10" i="5"/>
  <c r="X152" i="5" l="1"/>
  <c r="W151" i="5"/>
  <c r="Y104" i="5"/>
  <c r="X103" i="5"/>
  <c r="X53" i="5"/>
  <c r="W52" i="5"/>
  <c r="X9" i="5"/>
  <c r="Y10" i="5"/>
  <c r="BV107" i="5"/>
  <c r="BV108" i="5"/>
  <c r="BW56" i="5"/>
  <c r="BX55" i="5"/>
  <c r="BW57" i="5"/>
  <c r="BW106" i="5"/>
  <c r="Z10" i="5" l="1"/>
  <c r="Y9" i="5"/>
  <c r="Y53" i="5"/>
  <c r="X52" i="5"/>
  <c r="BW107" i="5"/>
  <c r="BW108" i="5"/>
  <c r="Z104" i="5"/>
  <c r="Y103" i="5"/>
  <c r="BX57" i="5"/>
  <c r="BX56" i="5"/>
  <c r="CA55" i="5"/>
  <c r="BX106" i="5"/>
  <c r="X151" i="5"/>
  <c r="Y152" i="5"/>
  <c r="BX107" i="5" l="1"/>
  <c r="BX108" i="5"/>
  <c r="CB55" i="5"/>
  <c r="CA57" i="5"/>
  <c r="CA56" i="5"/>
  <c r="CA106" i="5"/>
  <c r="AA104" i="5"/>
  <c r="Z103" i="5"/>
  <c r="Y151" i="5"/>
  <c r="Z152" i="5"/>
  <c r="Y52" i="5"/>
  <c r="Z53" i="5"/>
  <c r="Z9" i="5"/>
  <c r="AA10" i="5"/>
  <c r="CY59" i="1"/>
  <c r="CY16" i="1"/>
  <c r="CZ17" i="1" l="1"/>
  <c r="CZ60" i="1"/>
  <c r="AA53" i="5"/>
  <c r="Z52" i="5"/>
  <c r="AA152" i="5"/>
  <c r="Z151" i="5"/>
  <c r="AB104" i="5"/>
  <c r="AA103" i="5"/>
  <c r="CA108" i="5"/>
  <c r="CA107" i="5"/>
  <c r="CC55" i="5"/>
  <c r="CB57" i="5"/>
  <c r="CB56" i="5"/>
  <c r="CB106" i="5"/>
  <c r="AB10" i="5"/>
  <c r="AA9" i="5"/>
  <c r="CZ163" i="1"/>
  <c r="CZ107" i="1"/>
  <c r="CZ112" i="1"/>
  <c r="CZ110" i="1"/>
  <c r="CZ105" i="1"/>
  <c r="CZ70" i="1"/>
  <c r="CZ66" i="1"/>
  <c r="CZ19" i="1"/>
  <c r="DA163" i="1"/>
  <c r="DA107" i="1"/>
  <c r="DA112" i="1"/>
  <c r="DA110" i="1"/>
  <c r="DA105" i="1"/>
  <c r="DA70" i="1"/>
  <c r="DA66" i="1"/>
  <c r="DA62" i="1"/>
  <c r="DA19" i="1"/>
  <c r="DA113" i="1" s="1"/>
  <c r="DB163" i="1"/>
  <c r="DB107" i="1"/>
  <c r="DB112" i="1"/>
  <c r="DB110" i="1"/>
  <c r="DB105" i="1"/>
  <c r="DB70" i="1"/>
  <c r="DB66" i="1"/>
  <c r="DB19" i="1"/>
  <c r="CX163" i="1"/>
  <c r="CX107" i="1"/>
  <c r="CX112" i="1"/>
  <c r="CX105" i="1"/>
  <c r="CX70" i="1"/>
  <c r="CX66" i="1"/>
  <c r="CX59" i="1"/>
  <c r="CY60" i="1" s="1"/>
  <c r="CX16" i="1"/>
  <c r="CY163" i="1"/>
  <c r="CY107" i="1"/>
  <c r="CY112" i="1"/>
  <c r="CY105" i="1"/>
  <c r="CY70" i="1"/>
  <c r="CY66" i="1"/>
  <c r="CY62" i="1"/>
  <c r="CY19" i="1"/>
  <c r="CY113" i="1" s="1"/>
  <c r="DA111" i="1" l="1"/>
  <c r="CX19" i="1"/>
  <c r="DB111" i="1"/>
  <c r="DC111" i="1"/>
  <c r="CX62" i="1"/>
  <c r="CY17" i="1"/>
  <c r="CB108" i="5"/>
  <c r="CB107" i="5"/>
  <c r="CC56" i="5"/>
  <c r="CC57" i="5"/>
  <c r="CD55" i="5"/>
  <c r="CC106" i="5"/>
  <c r="AB103" i="5"/>
  <c r="AC104" i="5"/>
  <c r="AB152" i="5"/>
  <c r="AA151" i="5"/>
  <c r="AC10" i="5"/>
  <c r="AB9" i="5"/>
  <c r="AA52" i="5"/>
  <c r="AB53" i="5"/>
  <c r="CZ62" i="1"/>
  <c r="CZ113" i="1" s="1"/>
  <c r="DB62" i="1"/>
  <c r="DB113" i="1" s="1"/>
  <c r="CY110" i="1"/>
  <c r="CX110" i="1"/>
  <c r="CX113" i="1" l="1"/>
  <c r="CY111" i="1"/>
  <c r="CZ111" i="1"/>
  <c r="AC9" i="5"/>
  <c r="AD10" i="5"/>
  <c r="AC152" i="5"/>
  <c r="AB151" i="5"/>
  <c r="AD104" i="5"/>
  <c r="AC103" i="5"/>
  <c r="CC108" i="5"/>
  <c r="CC107" i="5"/>
  <c r="CD56" i="5"/>
  <c r="CE55" i="5"/>
  <c r="CD57" i="5"/>
  <c r="CD106" i="5"/>
  <c r="AB52" i="5"/>
  <c r="AC53" i="5"/>
  <c r="AC151" i="5" l="1"/>
  <c r="AD152" i="5"/>
  <c r="AC52" i="5"/>
  <c r="AD53" i="5"/>
  <c r="AE10" i="5"/>
  <c r="AD9" i="5"/>
  <c r="CD107" i="5"/>
  <c r="CD108" i="5"/>
  <c r="CE57" i="5"/>
  <c r="CE56" i="5"/>
  <c r="CE106" i="5"/>
  <c r="DE55" i="5"/>
  <c r="AD103" i="5"/>
  <c r="AE104" i="5"/>
  <c r="CW59" i="1"/>
  <c r="CV59" i="1"/>
  <c r="CU59" i="1"/>
  <c r="CT59" i="1"/>
  <c r="CS59" i="1"/>
  <c r="CW16" i="1"/>
  <c r="CV16" i="1"/>
  <c r="CT16" i="1"/>
  <c r="CU16" i="1"/>
  <c r="CU17" i="1" s="1"/>
  <c r="CS16" i="1"/>
  <c r="CS17" i="1" s="1"/>
  <c r="CR16" i="1"/>
  <c r="CQ16" i="1"/>
  <c r="CT17" i="1" l="1"/>
  <c r="CV17" i="1"/>
  <c r="CW17" i="1"/>
  <c r="CX17" i="1"/>
  <c r="CT60" i="1"/>
  <c r="CU60" i="1"/>
  <c r="CV60" i="1"/>
  <c r="CW60" i="1"/>
  <c r="CX60" i="1"/>
  <c r="CR17" i="1"/>
  <c r="CE107" i="5"/>
  <c r="CE108" i="5"/>
  <c r="DE106" i="5"/>
  <c r="AF10" i="5"/>
  <c r="AE9" i="5"/>
  <c r="AE53" i="5"/>
  <c r="AD52" i="5"/>
  <c r="AE103" i="5"/>
  <c r="AF104" i="5"/>
  <c r="AD151" i="5"/>
  <c r="AE152" i="5"/>
  <c r="CV163" i="1"/>
  <c r="CV107" i="1"/>
  <c r="CV112" i="1"/>
  <c r="CV110" i="1"/>
  <c r="CV105" i="1"/>
  <c r="CV70" i="1"/>
  <c r="CV66" i="1"/>
  <c r="CV62" i="1"/>
  <c r="CV19" i="1"/>
  <c r="CW163" i="1"/>
  <c r="CW107" i="1"/>
  <c r="CW112" i="1"/>
  <c r="CW110" i="1"/>
  <c r="CW105" i="1"/>
  <c r="CW70" i="1"/>
  <c r="CW66" i="1"/>
  <c r="CW62" i="1"/>
  <c r="CW19" i="1"/>
  <c r="CW113" i="1" s="1"/>
  <c r="CV113" i="1" l="1"/>
  <c r="CW111" i="1"/>
  <c r="CX111" i="1"/>
  <c r="AF9" i="5"/>
  <c r="AG10" i="5"/>
  <c r="AF152" i="5"/>
  <c r="AE151" i="5"/>
  <c r="AG104" i="5"/>
  <c r="AF103" i="5"/>
  <c r="AF53" i="5"/>
  <c r="AE52" i="5"/>
  <c r="AG152" i="5" l="1"/>
  <c r="AF151" i="5"/>
  <c r="AG9" i="5"/>
  <c r="AH10" i="5"/>
  <c r="AG53" i="5"/>
  <c r="AF52" i="5"/>
  <c r="AG103" i="5"/>
  <c r="AH104" i="5"/>
  <c r="CT15" i="1"/>
  <c r="CU15" i="1"/>
  <c r="AH9" i="5" l="1"/>
  <c r="AI10" i="5"/>
  <c r="AG151" i="5"/>
  <c r="AH152" i="5"/>
  <c r="AI104" i="5"/>
  <c r="AH103" i="5"/>
  <c r="AG52" i="5"/>
  <c r="AH53" i="5"/>
  <c r="CT14" i="1"/>
  <c r="CQ14" i="1"/>
  <c r="CR59" i="1"/>
  <c r="CR19" i="1"/>
  <c r="CS19" i="1"/>
  <c r="CT19" i="1"/>
  <c r="CU19" i="1"/>
  <c r="EA19" i="1"/>
  <c r="EA113" i="1" s="1"/>
  <c r="CR55" i="1"/>
  <c r="CR12" i="1"/>
  <c r="CT163" i="1"/>
  <c r="CT107" i="1"/>
  <c r="CT112" i="1"/>
  <c r="CT110" i="1"/>
  <c r="CT105" i="1"/>
  <c r="CT70" i="1"/>
  <c r="CT66" i="1"/>
  <c r="CT62" i="1"/>
  <c r="CU163" i="1"/>
  <c r="CU107" i="1"/>
  <c r="CU112" i="1"/>
  <c r="CU110" i="1"/>
  <c r="CU105" i="1"/>
  <c r="CU70" i="1"/>
  <c r="CU66" i="1"/>
  <c r="CU62" i="1"/>
  <c r="CR163" i="1"/>
  <c r="CR107" i="1"/>
  <c r="CR112" i="1"/>
  <c r="CR105" i="1"/>
  <c r="CR70" i="1"/>
  <c r="CR66" i="1"/>
  <c r="CS163" i="1"/>
  <c r="CS107" i="1"/>
  <c r="CS112" i="1"/>
  <c r="CS110" i="1"/>
  <c r="CS105" i="1"/>
  <c r="CS70" i="1"/>
  <c r="CS66" i="1"/>
  <c r="CS62" i="1"/>
  <c r="CQ59" i="1"/>
  <c r="CQ19" i="1"/>
  <c r="EA62" i="1"/>
  <c r="CP59" i="1"/>
  <c r="CP16" i="1"/>
  <c r="CP163" i="1"/>
  <c r="CP107" i="1"/>
  <c r="CP112" i="1"/>
  <c r="CP105" i="1"/>
  <c r="CP70" i="1"/>
  <c r="CP66" i="1"/>
  <c r="CQ163" i="1"/>
  <c r="CQ107" i="1"/>
  <c r="CQ112" i="1"/>
  <c r="CQ105" i="1"/>
  <c r="CQ70" i="1"/>
  <c r="CQ66" i="1"/>
  <c r="CT111" i="1" l="1"/>
  <c r="CU113" i="1"/>
  <c r="CT113" i="1"/>
  <c r="CS113" i="1"/>
  <c r="CP19" i="1"/>
  <c r="CQ17" i="1"/>
  <c r="CR62" i="1"/>
  <c r="CR113" i="1" s="1"/>
  <c r="CR60" i="1"/>
  <c r="CS60" i="1"/>
  <c r="CU111" i="1"/>
  <c r="CV111" i="1"/>
  <c r="CP62" i="1"/>
  <c r="CQ62" i="1"/>
  <c r="CQ113" i="1" s="1"/>
  <c r="CQ60" i="1"/>
  <c r="AI53" i="5"/>
  <c r="AH52" i="5"/>
  <c r="AJ104" i="5"/>
  <c r="AI103" i="5"/>
  <c r="AH151" i="5"/>
  <c r="AI152" i="5"/>
  <c r="AJ10" i="5"/>
  <c r="AI9" i="5"/>
  <c r="CS12" i="1"/>
  <c r="CV12" i="1" s="1"/>
  <c r="CS55" i="1"/>
  <c r="CV55" i="1" s="1"/>
  <c r="CR110" i="1"/>
  <c r="CQ110" i="1"/>
  <c r="CP110" i="1"/>
  <c r="CQ57" i="1"/>
  <c r="CQ58" i="1"/>
  <c r="CQ15" i="1"/>
  <c r="CQ106" i="1"/>
  <c r="CP113" i="1" l="1"/>
  <c r="CQ111" i="1"/>
  <c r="CR111" i="1"/>
  <c r="CS111" i="1"/>
  <c r="AK104" i="5"/>
  <c r="AJ103" i="5"/>
  <c r="AI52" i="5"/>
  <c r="AJ53" i="5"/>
  <c r="AJ9" i="5"/>
  <c r="AK10" i="5"/>
  <c r="AJ152" i="5"/>
  <c r="AI151" i="5"/>
  <c r="CW55" i="1"/>
  <c r="CX55" i="1" s="1"/>
  <c r="CV57" i="1"/>
  <c r="CV58" i="1"/>
  <c r="CW12" i="1"/>
  <c r="CW15" i="1" s="1"/>
  <c r="CV15" i="1"/>
  <c r="CV106" i="1"/>
  <c r="CV14" i="1"/>
  <c r="CS15" i="1"/>
  <c r="CU14" i="1"/>
  <c r="CQ109" i="1"/>
  <c r="CQ108" i="1"/>
  <c r="CY55" i="1" l="1"/>
  <c r="CZ55" i="1" s="1"/>
  <c r="DC55" i="1" s="1"/>
  <c r="DD55" i="1" s="1"/>
  <c r="DE55" i="1" s="1"/>
  <c r="DF55" i="1" s="1"/>
  <c r="DG55" i="1" s="1"/>
  <c r="CX58" i="1"/>
  <c r="CX57" i="1"/>
  <c r="AK103" i="5"/>
  <c r="AL104" i="5"/>
  <c r="AK152" i="5"/>
  <c r="AJ151" i="5"/>
  <c r="AK9" i="5"/>
  <c r="AL10" i="5"/>
  <c r="AK53" i="5"/>
  <c r="AJ52" i="5"/>
  <c r="CW14" i="1"/>
  <c r="CX12" i="1"/>
  <c r="CY12" i="1" s="1"/>
  <c r="CZ12" i="1" s="1"/>
  <c r="DC12" i="1" s="1"/>
  <c r="DD12" i="1" s="1"/>
  <c r="CW106" i="1"/>
  <c r="CW109" i="1" s="1"/>
  <c r="CV109" i="1"/>
  <c r="CV108" i="1"/>
  <c r="CY58" i="1"/>
  <c r="CY57" i="1"/>
  <c r="CW57" i="1"/>
  <c r="CW58" i="1"/>
  <c r="CO59" i="1"/>
  <c r="CN59" i="1"/>
  <c r="CM59" i="1"/>
  <c r="CM16" i="1"/>
  <c r="CN16" i="1"/>
  <c r="CO16" i="1"/>
  <c r="CL59" i="1"/>
  <c r="GR60" i="1" s="1"/>
  <c r="CL16" i="1"/>
  <c r="GR17" i="1" s="1"/>
  <c r="GK60" i="1" l="1"/>
  <c r="GS60" i="1"/>
  <c r="GK17" i="1"/>
  <c r="GS17" i="1"/>
  <c r="GJ17" i="1"/>
  <c r="GO17" i="1"/>
  <c r="GJ60" i="1"/>
  <c r="GO60" i="1"/>
  <c r="GE17" i="1"/>
  <c r="GF17" i="1"/>
  <c r="GE60" i="1"/>
  <c r="GF60" i="1"/>
  <c r="FX17" i="1"/>
  <c r="GA17" i="1"/>
  <c r="FX60" i="1"/>
  <c r="GA60" i="1"/>
  <c r="CO62" i="1"/>
  <c r="CO60" i="1"/>
  <c r="CP60" i="1"/>
  <c r="FT60" i="1"/>
  <c r="GB60" i="1"/>
  <c r="CM60" i="1"/>
  <c r="CN62" i="1"/>
  <c r="CN60" i="1"/>
  <c r="CO19" i="1"/>
  <c r="CO17" i="1"/>
  <c r="CP17" i="1"/>
  <c r="GB17" i="1"/>
  <c r="CM17" i="1"/>
  <c r="CN17" i="1"/>
  <c r="CN19" i="1"/>
  <c r="FT17" i="1"/>
  <c r="FS17" i="1"/>
  <c r="FS60" i="1"/>
  <c r="CM19" i="1"/>
  <c r="CM62" i="1"/>
  <c r="DJ55" i="1"/>
  <c r="DK55" i="1" s="1"/>
  <c r="DL55" i="1" s="1"/>
  <c r="DE12" i="1"/>
  <c r="DC15" i="1"/>
  <c r="DC14" i="1"/>
  <c r="DC106" i="1"/>
  <c r="DC58" i="1"/>
  <c r="DC57" i="1"/>
  <c r="CX106" i="1"/>
  <c r="CX109" i="1" s="1"/>
  <c r="CX14" i="1"/>
  <c r="CX15" i="1"/>
  <c r="CZ106" i="1"/>
  <c r="CZ15" i="1"/>
  <c r="CZ14" i="1"/>
  <c r="CZ58" i="1"/>
  <c r="CZ57" i="1"/>
  <c r="AK151" i="5"/>
  <c r="AL152" i="5"/>
  <c r="AM104" i="5"/>
  <c r="AL103" i="5"/>
  <c r="AL53" i="5"/>
  <c r="AK52" i="5"/>
  <c r="AL9" i="5"/>
  <c r="AM10" i="5"/>
  <c r="CW108" i="1"/>
  <c r="CY15" i="1"/>
  <c r="CY14" i="1"/>
  <c r="CY106" i="1"/>
  <c r="CY108" i="1" s="1"/>
  <c r="CL62" i="1"/>
  <c r="CL19" i="1"/>
  <c r="CL113" i="1" s="1"/>
  <c r="CK59" i="1"/>
  <c r="CK16" i="1"/>
  <c r="CJ55" i="1"/>
  <c r="CK55" i="1" s="1"/>
  <c r="CK57" i="1" s="1"/>
  <c r="EA163" i="1"/>
  <c r="EA107" i="1"/>
  <c r="GX107" i="1" s="1"/>
  <c r="EA112" i="1"/>
  <c r="EA110" i="1"/>
  <c r="EA105" i="1"/>
  <c r="GX105" i="1" s="1"/>
  <c r="EA70" i="1"/>
  <c r="GX70" i="1" s="1"/>
  <c r="EA66" i="1"/>
  <c r="GX66" i="1" s="1"/>
  <c r="CO163" i="1"/>
  <c r="CO107" i="1"/>
  <c r="CO112" i="1"/>
  <c r="CO110" i="1"/>
  <c r="CO105" i="1"/>
  <c r="CO70" i="1"/>
  <c r="CO66" i="1"/>
  <c r="CJ12" i="1"/>
  <c r="CK12" i="1" s="1"/>
  <c r="CL12" i="1" s="1"/>
  <c r="CO12" i="1" s="1"/>
  <c r="CM14" i="1"/>
  <c r="CL163" i="1"/>
  <c r="CL107" i="1"/>
  <c r="CL112" i="1"/>
  <c r="CL110" i="1"/>
  <c r="GR111" i="1" s="1"/>
  <c r="CL105" i="1"/>
  <c r="CL70" i="1"/>
  <c r="CL66" i="1"/>
  <c r="CM163" i="1"/>
  <c r="CM107" i="1"/>
  <c r="CM112" i="1"/>
  <c r="CM110" i="1"/>
  <c r="CM105" i="1"/>
  <c r="CM70" i="1"/>
  <c r="CM66" i="1"/>
  <c r="CM15" i="1"/>
  <c r="CK163" i="1"/>
  <c r="CK107" i="1"/>
  <c r="CK112" i="1"/>
  <c r="CK105" i="1"/>
  <c r="CK70" i="1"/>
  <c r="CK66" i="1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CL112" i="4"/>
  <c r="BN112" i="4"/>
  <c r="BK112" i="4"/>
  <c r="BB112" i="4"/>
  <c r="AD112" i="4"/>
  <c r="AC112" i="4"/>
  <c r="AB112" i="4"/>
  <c r="AA112" i="4"/>
  <c r="G112" i="4"/>
  <c r="CL111" i="4"/>
  <c r="CK111" i="4"/>
  <c r="CK112" i="4" s="1"/>
  <c r="CJ111" i="4"/>
  <c r="CJ112" i="4" s="1"/>
  <c r="CI111" i="4"/>
  <c r="CH111" i="4"/>
  <c r="CG111" i="4"/>
  <c r="CF111" i="4"/>
  <c r="CE111" i="4"/>
  <c r="CD111" i="4"/>
  <c r="CC111" i="4"/>
  <c r="CB111" i="4"/>
  <c r="CA111" i="4"/>
  <c r="BZ111" i="4"/>
  <c r="BY111" i="4"/>
  <c r="BY112" i="4" s="1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N112" i="4" s="1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R112" i="4" s="1"/>
  <c r="Q111" i="4"/>
  <c r="Q112" i="4" s="1"/>
  <c r="P111" i="4"/>
  <c r="O111" i="4"/>
  <c r="N111" i="4"/>
  <c r="M111" i="4"/>
  <c r="L111" i="4"/>
  <c r="K111" i="4"/>
  <c r="J111" i="4"/>
  <c r="I111" i="4"/>
  <c r="I112" i="4" s="1"/>
  <c r="H111" i="4"/>
  <c r="H112" i="4" s="1"/>
  <c r="G111" i="4"/>
  <c r="F111" i="4"/>
  <c r="F112" i="4" s="1"/>
  <c r="CL110" i="4"/>
  <c r="I110" i="4"/>
  <c r="H110" i="4"/>
  <c r="G110" i="4"/>
  <c r="CL109" i="4"/>
  <c r="CK109" i="4"/>
  <c r="CI109" i="4"/>
  <c r="CI112" i="4" s="1"/>
  <c r="CA109" i="4"/>
  <c r="BZ109" i="4"/>
  <c r="BY109" i="4"/>
  <c r="BW109" i="4"/>
  <c r="BW112" i="4" s="1"/>
  <c r="BV109" i="4"/>
  <c r="BU109" i="4"/>
  <c r="BU112" i="4" s="1"/>
  <c r="BT109" i="4"/>
  <c r="BN109" i="4"/>
  <c r="BK109" i="4"/>
  <c r="BJ109" i="4"/>
  <c r="BC109" i="4"/>
  <c r="BC112" i="4" s="1"/>
  <c r="BB109" i="4"/>
  <c r="AX109" i="4"/>
  <c r="AW109" i="4"/>
  <c r="AW112" i="4" s="1"/>
  <c r="AP109" i="4"/>
  <c r="AP112" i="4" s="1"/>
  <c r="AO109" i="4"/>
  <c r="AO110" i="4" s="1"/>
  <c r="AM109" i="4"/>
  <c r="AI109" i="4"/>
  <c r="AD109" i="4"/>
  <c r="AD110" i="4" s="1"/>
  <c r="AC109" i="4"/>
  <c r="AC110" i="4" s="1"/>
  <c r="Q109" i="4"/>
  <c r="O109" i="4"/>
  <c r="N109" i="4"/>
  <c r="N110" i="4" s="1"/>
  <c r="M109" i="4"/>
  <c r="L109" i="4"/>
  <c r="K109" i="4"/>
  <c r="K110" i="4" s="1"/>
  <c r="J109" i="4"/>
  <c r="J110" i="4" s="1"/>
  <c r="I109" i="4"/>
  <c r="H109" i="4"/>
  <c r="G109" i="4"/>
  <c r="F109" i="4"/>
  <c r="CI108" i="4"/>
  <c r="CH108" i="4"/>
  <c r="CG108" i="4"/>
  <c r="CF108" i="4"/>
  <c r="AW108" i="4"/>
  <c r="AP108" i="4"/>
  <c r="AN108" i="4"/>
  <c r="AM108" i="4"/>
  <c r="AJ108" i="4"/>
  <c r="Z108" i="4"/>
  <c r="W108" i="4"/>
  <c r="V108" i="4"/>
  <c r="U108" i="4"/>
  <c r="R108" i="4"/>
  <c r="N108" i="4"/>
  <c r="M108" i="4"/>
  <c r="I108" i="4"/>
  <c r="H108" i="4"/>
  <c r="F108" i="4"/>
  <c r="CI107" i="4"/>
  <c r="CH107" i="4"/>
  <c r="BY107" i="4"/>
  <c r="BL107" i="4"/>
  <c r="AX107" i="4"/>
  <c r="AW107" i="4"/>
  <c r="AC107" i="4"/>
  <c r="AB107" i="4"/>
  <c r="Z107" i="4"/>
  <c r="Y107" i="4"/>
  <c r="X107" i="4"/>
  <c r="U107" i="4"/>
  <c r="N107" i="4"/>
  <c r="M107" i="4"/>
  <c r="L107" i="4"/>
  <c r="K107" i="4"/>
  <c r="J107" i="4"/>
  <c r="I107" i="4"/>
  <c r="H107" i="4"/>
  <c r="CI106" i="4"/>
  <c r="CH106" i="4"/>
  <c r="CG106" i="4"/>
  <c r="CG107" i="4" s="1"/>
  <c r="CF106" i="4"/>
  <c r="CF107" i="4" s="1"/>
  <c r="BZ106" i="4"/>
  <c r="BY106" i="4"/>
  <c r="BS106" i="4"/>
  <c r="BR106" i="4"/>
  <c r="BL106" i="4"/>
  <c r="BK106" i="4"/>
  <c r="BE106" i="4"/>
  <c r="BE107" i="4" s="1"/>
  <c r="BD106" i="4"/>
  <c r="AZ106" i="4"/>
  <c r="AY106" i="4"/>
  <c r="AX106" i="4"/>
  <c r="AW106" i="4"/>
  <c r="AS106" i="4"/>
  <c r="AR106" i="4"/>
  <c r="AQ106" i="4"/>
  <c r="AP106" i="4"/>
  <c r="AP107" i="4" s="1"/>
  <c r="AN106" i="4"/>
  <c r="AO106" i="4" s="1"/>
  <c r="AO108" i="4" s="1"/>
  <c r="AK106" i="4"/>
  <c r="AC106" i="4"/>
  <c r="AC108" i="4" s="1"/>
  <c r="AA106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S108" i="4" s="1"/>
  <c r="BR105" i="4"/>
  <c r="BR108" i="4" s="1"/>
  <c r="BQ105" i="4"/>
  <c r="BP105" i="4"/>
  <c r="BO105" i="4"/>
  <c r="BN105" i="4"/>
  <c r="BM105" i="4"/>
  <c r="BL105" i="4"/>
  <c r="BK105" i="4"/>
  <c r="BK107" i="4" s="1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Q108" i="4" s="1"/>
  <c r="AP105" i="4"/>
  <c r="AO105" i="4"/>
  <c r="AN105" i="4"/>
  <c r="AN107" i="4" s="1"/>
  <c r="AM105" i="4"/>
  <c r="AM107" i="4" s="1"/>
  <c r="AL105" i="4"/>
  <c r="AK105" i="4"/>
  <c r="AJ105" i="4"/>
  <c r="AJ107" i="4" s="1"/>
  <c r="AI105" i="4"/>
  <c r="AI107" i="4" s="1"/>
  <c r="AH105" i="4"/>
  <c r="AG105" i="4"/>
  <c r="AF105" i="4"/>
  <c r="AE105" i="4"/>
  <c r="AD105" i="4"/>
  <c r="AC105" i="4"/>
  <c r="AB105" i="4"/>
  <c r="AB108" i="4" s="1"/>
  <c r="AA105" i="4"/>
  <c r="Z105" i="4"/>
  <c r="Y105" i="4"/>
  <c r="Y108" i="4" s="1"/>
  <c r="X105" i="4"/>
  <c r="X108" i="4" s="1"/>
  <c r="W105" i="4"/>
  <c r="W107" i="4" s="1"/>
  <c r="V105" i="4"/>
  <c r="V107" i="4" s="1"/>
  <c r="U105" i="4"/>
  <c r="T105" i="4"/>
  <c r="T107" i="4" s="1"/>
  <c r="S105" i="4"/>
  <c r="S107" i="4" s="1"/>
  <c r="R105" i="4"/>
  <c r="R107" i="4" s="1"/>
  <c r="Q105" i="4"/>
  <c r="Q108" i="4" s="1"/>
  <c r="P105" i="4"/>
  <c r="O105" i="4"/>
  <c r="N105" i="4"/>
  <c r="M105" i="4"/>
  <c r="L105" i="4"/>
  <c r="L108" i="4" s="1"/>
  <c r="K105" i="4"/>
  <c r="K108" i="4" s="1"/>
  <c r="J105" i="4"/>
  <c r="J108" i="4" s="1"/>
  <c r="I105" i="4"/>
  <c r="H105" i="4"/>
  <c r="G105" i="4"/>
  <c r="G107" i="4" s="1"/>
  <c r="F105" i="4"/>
  <c r="F107" i="4" s="1"/>
  <c r="H104" i="4"/>
  <c r="I104" i="4" s="1"/>
  <c r="G104" i="4"/>
  <c r="H103" i="4"/>
  <c r="G103" i="4"/>
  <c r="F103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CM63" i="4"/>
  <c r="CN63" i="4" s="1"/>
  <c r="CL61" i="4"/>
  <c r="CK61" i="4"/>
  <c r="CJ61" i="4"/>
  <c r="CH61" i="4"/>
  <c r="CG61" i="4"/>
  <c r="CF61" i="4"/>
  <c r="CE61" i="4"/>
  <c r="CD61" i="4"/>
  <c r="CA61" i="4"/>
  <c r="BZ61" i="4"/>
  <c r="BX61" i="4"/>
  <c r="BV61" i="4"/>
  <c r="BO61" i="4"/>
  <c r="BN61" i="4"/>
  <c r="BM61" i="4"/>
  <c r="BL61" i="4"/>
  <c r="BJ61" i="4"/>
  <c r="BI61" i="4"/>
  <c r="AZ61" i="4"/>
  <c r="AX61" i="4"/>
  <c r="AW61" i="4"/>
  <c r="AV61" i="4"/>
  <c r="AQ61" i="4"/>
  <c r="AN61" i="4"/>
  <c r="AL61" i="4"/>
  <c r="AE61" i="4"/>
  <c r="AD61" i="4"/>
  <c r="Z61" i="4"/>
  <c r="W61" i="4"/>
  <c r="S61" i="4"/>
  <c r="R61" i="4"/>
  <c r="Q61" i="4"/>
  <c r="N61" i="4"/>
  <c r="M61" i="4"/>
  <c r="J61" i="4"/>
  <c r="I61" i="4"/>
  <c r="H61" i="4"/>
  <c r="G61" i="4"/>
  <c r="F61" i="4"/>
  <c r="CL59" i="4"/>
  <c r="BK59" i="4"/>
  <c r="BF59" i="4"/>
  <c r="BE59" i="4"/>
  <c r="BD59" i="4"/>
  <c r="AQ59" i="4"/>
  <c r="AP59" i="4"/>
  <c r="AO59" i="4"/>
  <c r="AM59" i="4"/>
  <c r="AL59" i="4"/>
  <c r="AK59" i="4"/>
  <c r="AE59" i="4"/>
  <c r="AD59" i="4"/>
  <c r="AC59" i="4"/>
  <c r="AA59" i="4"/>
  <c r="S59" i="4"/>
  <c r="O59" i="4"/>
  <c r="N59" i="4"/>
  <c r="M59" i="4"/>
  <c r="L59" i="4"/>
  <c r="K59" i="4"/>
  <c r="J59" i="4"/>
  <c r="I59" i="4"/>
  <c r="H59" i="4"/>
  <c r="G59" i="4"/>
  <c r="CJ58" i="4"/>
  <c r="CI58" i="4"/>
  <c r="CH58" i="4"/>
  <c r="CG58" i="4"/>
  <c r="CF58" i="4"/>
  <c r="CE58" i="4"/>
  <c r="CE59" i="4" s="1"/>
  <c r="CD58" i="4"/>
  <c r="CC58" i="4"/>
  <c r="CB58" i="4"/>
  <c r="CA58" i="4"/>
  <c r="BZ58" i="4"/>
  <c r="BY58" i="4"/>
  <c r="BY61" i="4" s="1"/>
  <c r="BX58" i="4"/>
  <c r="BW58" i="4"/>
  <c r="BW61" i="4" s="1"/>
  <c r="BV58" i="4"/>
  <c r="BU58" i="4"/>
  <c r="BT58" i="4"/>
  <c r="BT61" i="4" s="1"/>
  <c r="BS58" i="4"/>
  <c r="BS61" i="4" s="1"/>
  <c r="BR58" i="4"/>
  <c r="BR61" i="4" s="1"/>
  <c r="BQ58" i="4"/>
  <c r="BQ59" i="4" s="1"/>
  <c r="BP58" i="4"/>
  <c r="BO58" i="4"/>
  <c r="BN58" i="4"/>
  <c r="BM58" i="4"/>
  <c r="BL58" i="4"/>
  <c r="BL59" i="4" s="1"/>
  <c r="BK58" i="4"/>
  <c r="BK61" i="4" s="1"/>
  <c r="BJ58" i="4"/>
  <c r="BI58" i="4"/>
  <c r="BH58" i="4"/>
  <c r="BG58" i="4"/>
  <c r="BG109" i="4" s="1"/>
  <c r="BF58" i="4"/>
  <c r="BF61" i="4" s="1"/>
  <c r="BE58" i="4"/>
  <c r="BE61" i="4" s="1"/>
  <c r="BD58" i="4"/>
  <c r="BD61" i="4" s="1"/>
  <c r="BC58" i="4"/>
  <c r="BC61" i="4" s="1"/>
  <c r="BB58" i="4"/>
  <c r="BB61" i="4" s="1"/>
  <c r="BA58" i="4"/>
  <c r="BA61" i="4" s="1"/>
  <c r="AZ58" i="4"/>
  <c r="AY58" i="4"/>
  <c r="AY61" i="4" s="1"/>
  <c r="AX58" i="4"/>
  <c r="AW58" i="4"/>
  <c r="AV58" i="4"/>
  <c r="AU58" i="4"/>
  <c r="AT58" i="4"/>
  <c r="BA59" i="4" s="1"/>
  <c r="AS58" i="4"/>
  <c r="AS61" i="4" s="1"/>
  <c r="AR58" i="4"/>
  <c r="AQ58" i="4"/>
  <c r="AP58" i="4"/>
  <c r="AP61" i="4" s="1"/>
  <c r="AO58" i="4"/>
  <c r="AO61" i="4" s="1"/>
  <c r="AN58" i="4"/>
  <c r="AM58" i="4"/>
  <c r="AM61" i="4" s="1"/>
  <c r="AL58" i="4"/>
  <c r="AK58" i="4"/>
  <c r="AK61" i="4" s="1"/>
  <c r="AJ58" i="4"/>
  <c r="AI58" i="4"/>
  <c r="AH58" i="4"/>
  <c r="AG58" i="4"/>
  <c r="AF58" i="4"/>
  <c r="AF59" i="4" s="1"/>
  <c r="AE58" i="4"/>
  <c r="AD58" i="4"/>
  <c r="AC58" i="4"/>
  <c r="AC61" i="4" s="1"/>
  <c r="AB58" i="4"/>
  <c r="AA58" i="4"/>
  <c r="AA61" i="4" s="1"/>
  <c r="Z58" i="4"/>
  <c r="Y58" i="4"/>
  <c r="X58" i="4"/>
  <c r="W58" i="4"/>
  <c r="V58" i="4"/>
  <c r="U58" i="4"/>
  <c r="T58" i="4"/>
  <c r="T61" i="4" s="1"/>
  <c r="S58" i="4"/>
  <c r="R58" i="4"/>
  <c r="Q58" i="4"/>
  <c r="P58" i="4"/>
  <c r="O58" i="4"/>
  <c r="O61" i="4" s="1"/>
  <c r="N58" i="4"/>
  <c r="M58" i="4"/>
  <c r="L58" i="4"/>
  <c r="L61" i="4" s="1"/>
  <c r="K58" i="4"/>
  <c r="K61" i="4" s="1"/>
  <c r="CJ57" i="4"/>
  <c r="CI57" i="4"/>
  <c r="CH57" i="4"/>
  <c r="CG57" i="4"/>
  <c r="CF57" i="4"/>
  <c r="BZ57" i="4"/>
  <c r="BY57" i="4"/>
  <c r="BS57" i="4"/>
  <c r="BR57" i="4"/>
  <c r="BL57" i="4"/>
  <c r="BK57" i="4"/>
  <c r="BE57" i="4"/>
  <c r="BD57" i="4"/>
  <c r="AZ57" i="4"/>
  <c r="AY57" i="4"/>
  <c r="AX57" i="4"/>
  <c r="AW57" i="4"/>
  <c r="AR57" i="4"/>
  <c r="AQ57" i="4"/>
  <c r="AP57" i="4"/>
  <c r="AK57" i="4"/>
  <c r="AJ57" i="4"/>
  <c r="AI57" i="4"/>
  <c r="AC57" i="4"/>
  <c r="AB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CI56" i="4"/>
  <c r="CH56" i="4"/>
  <c r="CG56" i="4"/>
  <c r="CF56" i="4"/>
  <c r="BZ56" i="4"/>
  <c r="BY56" i="4"/>
  <c r="BS56" i="4"/>
  <c r="BR56" i="4"/>
  <c r="BL56" i="4"/>
  <c r="BK56" i="4"/>
  <c r="BE56" i="4"/>
  <c r="BD56" i="4"/>
  <c r="BB56" i="4"/>
  <c r="BA56" i="4"/>
  <c r="AZ56" i="4"/>
  <c r="AY56" i="4"/>
  <c r="AX56" i="4"/>
  <c r="AW56" i="4"/>
  <c r="AR56" i="4"/>
  <c r="AQ56" i="4"/>
  <c r="AP56" i="4"/>
  <c r="AK56" i="4"/>
  <c r="AJ56" i="4"/>
  <c r="AI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CJ55" i="4"/>
  <c r="CK55" i="4" s="1"/>
  <c r="BA55" i="4"/>
  <c r="BB55" i="4" s="1"/>
  <c r="BB57" i="4" s="1"/>
  <c r="AL55" i="4"/>
  <c r="AA55" i="4"/>
  <c r="AA57" i="4" s="1"/>
  <c r="CM54" i="4"/>
  <c r="H53" i="4"/>
  <c r="H52" i="4" s="1"/>
  <c r="G53" i="4"/>
  <c r="G52" i="4"/>
  <c r="F52" i="4"/>
  <c r="CM20" i="4"/>
  <c r="CL18" i="4"/>
  <c r="CK18" i="4"/>
  <c r="CJ18" i="4"/>
  <c r="CI18" i="4"/>
  <c r="CH18" i="4"/>
  <c r="CG18" i="4"/>
  <c r="CD18" i="4"/>
  <c r="CC18" i="4"/>
  <c r="BZ18" i="4"/>
  <c r="BX18" i="4"/>
  <c r="BW18" i="4"/>
  <c r="BV18" i="4"/>
  <c r="BU18" i="4"/>
  <c r="BN18" i="4"/>
  <c r="BL18" i="4"/>
  <c r="BK18" i="4"/>
  <c r="BJ18" i="4"/>
  <c r="BI18" i="4"/>
  <c r="BG18" i="4"/>
  <c r="BB18" i="4"/>
  <c r="BA18" i="4"/>
  <c r="AZ18" i="4"/>
  <c r="AY18" i="4"/>
  <c r="AX18" i="4"/>
  <c r="AU18" i="4"/>
  <c r="AT18" i="4"/>
  <c r="AP18" i="4"/>
  <c r="AO18" i="4"/>
  <c r="AN18" i="4"/>
  <c r="AM18" i="4"/>
  <c r="AL18" i="4"/>
  <c r="AK18" i="4"/>
  <c r="AI18" i="4"/>
  <c r="AH18" i="4"/>
  <c r="AG18" i="4"/>
  <c r="AD18" i="4"/>
  <c r="AB18" i="4"/>
  <c r="AA18" i="4"/>
  <c r="Z18" i="4"/>
  <c r="Y18" i="4"/>
  <c r="W18" i="4"/>
  <c r="V18" i="4"/>
  <c r="U18" i="4"/>
  <c r="R18" i="4"/>
  <c r="K18" i="4"/>
  <c r="J18" i="4"/>
  <c r="I18" i="4"/>
  <c r="H18" i="4"/>
  <c r="G18" i="4"/>
  <c r="F18" i="4"/>
  <c r="CL16" i="4"/>
  <c r="CK16" i="4"/>
  <c r="CJ16" i="4"/>
  <c r="CI16" i="4"/>
  <c r="CG16" i="4"/>
  <c r="CD16" i="4"/>
  <c r="CC16" i="4"/>
  <c r="CA16" i="4"/>
  <c r="BW16" i="4"/>
  <c r="BV16" i="4"/>
  <c r="BS16" i="4"/>
  <c r="BR16" i="4"/>
  <c r="BQ16" i="4"/>
  <c r="BO16" i="4"/>
  <c r="BN16" i="4"/>
  <c r="BJ16" i="4"/>
  <c r="BI16" i="4"/>
  <c r="BH16" i="4"/>
  <c r="BG16" i="4"/>
  <c r="BF16" i="4"/>
  <c r="BE16" i="4"/>
  <c r="AW16" i="4"/>
  <c r="AU16" i="4"/>
  <c r="AT16" i="4"/>
  <c r="AQ16" i="4"/>
  <c r="AP16" i="4"/>
  <c r="AO16" i="4"/>
  <c r="AI16" i="4"/>
  <c r="AH16" i="4"/>
  <c r="AB16" i="4"/>
  <c r="AA16" i="4"/>
  <c r="W16" i="4"/>
  <c r="V16" i="4"/>
  <c r="P16" i="4"/>
  <c r="O16" i="4"/>
  <c r="N16" i="4"/>
  <c r="K16" i="4"/>
  <c r="J16" i="4"/>
  <c r="I16" i="4"/>
  <c r="H16" i="4"/>
  <c r="G16" i="4"/>
  <c r="CJ15" i="4"/>
  <c r="CJ109" i="4" s="1"/>
  <c r="CI15" i="4"/>
  <c r="CH15" i="4"/>
  <c r="CH109" i="4" s="1"/>
  <c r="CG15" i="4"/>
  <c r="CF15" i="4"/>
  <c r="CE15" i="4"/>
  <c r="CE18" i="4" s="1"/>
  <c r="CD15" i="4"/>
  <c r="CC15" i="4"/>
  <c r="CB15" i="4"/>
  <c r="CA15" i="4"/>
  <c r="CA18" i="4" s="1"/>
  <c r="BZ15" i="4"/>
  <c r="BY15" i="4"/>
  <c r="BX15" i="4"/>
  <c r="BW15" i="4"/>
  <c r="BV15" i="4"/>
  <c r="BU15" i="4"/>
  <c r="BT15" i="4"/>
  <c r="BT16" i="4" s="1"/>
  <c r="BS15" i="4"/>
  <c r="BR15" i="4"/>
  <c r="BQ15" i="4"/>
  <c r="BQ109" i="4" s="1"/>
  <c r="BP15" i="4"/>
  <c r="BO15" i="4"/>
  <c r="BN15" i="4"/>
  <c r="BM15" i="4"/>
  <c r="BL15" i="4"/>
  <c r="BK15" i="4"/>
  <c r="BK16" i="4" s="1"/>
  <c r="BJ15" i="4"/>
  <c r="BI15" i="4"/>
  <c r="BH15" i="4"/>
  <c r="BH109" i="4" s="1"/>
  <c r="BG15" i="4"/>
  <c r="BF15" i="4"/>
  <c r="BE15" i="4"/>
  <c r="BD15" i="4"/>
  <c r="BC15" i="4"/>
  <c r="BB15" i="4"/>
  <c r="BA15" i="4"/>
  <c r="AZ15" i="4"/>
  <c r="AY15" i="4"/>
  <c r="AX15" i="4"/>
  <c r="AX16" i="4" s="1"/>
  <c r="AW15" i="4"/>
  <c r="AW18" i="4" s="1"/>
  <c r="AV15" i="4"/>
  <c r="AV16" i="4" s="1"/>
  <c r="AU15" i="4"/>
  <c r="AT15" i="4"/>
  <c r="AS15" i="4"/>
  <c r="AR15" i="4"/>
  <c r="AQ15" i="4"/>
  <c r="AP15" i="4"/>
  <c r="AO15" i="4"/>
  <c r="AN15" i="4"/>
  <c r="AN109" i="4" s="1"/>
  <c r="AM15" i="4"/>
  <c r="AL15" i="4"/>
  <c r="AK15" i="4"/>
  <c r="AJ15" i="4"/>
  <c r="AI15" i="4"/>
  <c r="AH15" i="4"/>
  <c r="AG15" i="4"/>
  <c r="AF15" i="4"/>
  <c r="AE15" i="4"/>
  <c r="AD15" i="4"/>
  <c r="AC15" i="4"/>
  <c r="AC18" i="4" s="1"/>
  <c r="AB15" i="4"/>
  <c r="AB109" i="4" s="1"/>
  <c r="AA15" i="4"/>
  <c r="AA109" i="4" s="1"/>
  <c r="Z15" i="4"/>
  <c r="Y15" i="4"/>
  <c r="X15" i="4"/>
  <c r="W15" i="4"/>
  <c r="W109" i="4" s="1"/>
  <c r="V15" i="4"/>
  <c r="V109" i="4" s="1"/>
  <c r="U15" i="4"/>
  <c r="U109" i="4" s="1"/>
  <c r="T15" i="4"/>
  <c r="S15" i="4"/>
  <c r="R15" i="4"/>
  <c r="R109" i="4" s="1"/>
  <c r="Q15" i="4"/>
  <c r="P15" i="4"/>
  <c r="O15" i="4"/>
  <c r="O18" i="4" s="1"/>
  <c r="N15" i="4"/>
  <c r="N18" i="4" s="1"/>
  <c r="M15" i="4"/>
  <c r="L15" i="4"/>
  <c r="L16" i="4" s="1"/>
  <c r="K15" i="4"/>
  <c r="CK14" i="4"/>
  <c r="CJ14" i="4"/>
  <c r="CI14" i="4"/>
  <c r="CH14" i="4"/>
  <c r="CG14" i="4"/>
  <c r="CF14" i="4"/>
  <c r="BZ14" i="4"/>
  <c r="BY14" i="4"/>
  <c r="BS14" i="4"/>
  <c r="BR14" i="4"/>
  <c r="BP14" i="4"/>
  <c r="BO14" i="4"/>
  <c r="BL14" i="4"/>
  <c r="BK14" i="4"/>
  <c r="BG14" i="4"/>
  <c r="BE14" i="4"/>
  <c r="BD14" i="4"/>
  <c r="AZ14" i="4"/>
  <c r="AY14" i="4"/>
  <c r="AX14" i="4"/>
  <c r="AW14" i="4"/>
  <c r="AU14" i="4"/>
  <c r="AR14" i="4"/>
  <c r="AQ14" i="4"/>
  <c r="AP14" i="4"/>
  <c r="AM14" i="4"/>
  <c r="AK14" i="4"/>
  <c r="AJ14" i="4"/>
  <c r="AI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CI13" i="4"/>
  <c r="CH13" i="4"/>
  <c r="CG13" i="4"/>
  <c r="CF13" i="4"/>
  <c r="BZ13" i="4"/>
  <c r="BY13" i="4"/>
  <c r="BS13" i="4"/>
  <c r="BR13" i="4"/>
  <c r="BP13" i="4"/>
  <c r="BO13" i="4"/>
  <c r="BN13" i="4"/>
  <c r="BL13" i="4"/>
  <c r="BK13" i="4"/>
  <c r="BG13" i="4"/>
  <c r="BE13" i="4"/>
  <c r="BD13" i="4"/>
  <c r="AZ13" i="4"/>
  <c r="AY13" i="4"/>
  <c r="AX13" i="4"/>
  <c r="AW13" i="4"/>
  <c r="AU13" i="4"/>
  <c r="AR13" i="4"/>
  <c r="AQ13" i="4"/>
  <c r="AP13" i="4"/>
  <c r="AM13" i="4"/>
  <c r="AK13" i="4"/>
  <c r="AJ13" i="4"/>
  <c r="AI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CJ12" i="4"/>
  <c r="CK12" i="4" s="1"/>
  <c r="CK13" i="4" s="1"/>
  <c r="BP12" i="4"/>
  <c r="BN12" i="4"/>
  <c r="BN14" i="4" s="1"/>
  <c r="BH12" i="4"/>
  <c r="BH13" i="4" s="1"/>
  <c r="BA12" i="4"/>
  <c r="AN12" i="4"/>
  <c r="AU12" i="4" s="1"/>
  <c r="AL12" i="4"/>
  <c r="AE12" i="4"/>
  <c r="AF12" i="4" s="1"/>
  <c r="CM11" i="4"/>
  <c r="CN20" i="4" s="1"/>
  <c r="G10" i="4"/>
  <c r="H10" i="4" s="1"/>
  <c r="G9" i="4"/>
  <c r="F9" i="4"/>
  <c r="CJ59" i="1"/>
  <c r="CJ16" i="1"/>
  <c r="CI59" i="1"/>
  <c r="GL60" i="1" s="1"/>
  <c r="CH59" i="1"/>
  <c r="CG59" i="1"/>
  <c r="CF59" i="1"/>
  <c r="CI16" i="1"/>
  <c r="CH16" i="1"/>
  <c r="CG16" i="1"/>
  <c r="CF16" i="1"/>
  <c r="GM17" i="1" l="1"/>
  <c r="GP17" i="1"/>
  <c r="GN17" i="1"/>
  <c r="GQ17" i="1"/>
  <c r="GM60" i="1"/>
  <c r="GP60" i="1"/>
  <c r="GN60" i="1"/>
  <c r="GQ60" i="1"/>
  <c r="GK111" i="1"/>
  <c r="GS111" i="1"/>
  <c r="GJ111" i="1"/>
  <c r="GO111" i="1"/>
  <c r="GG17" i="1"/>
  <c r="GL17" i="1"/>
  <c r="GD17" i="1"/>
  <c r="GI17" i="1"/>
  <c r="GD60" i="1"/>
  <c r="GI60" i="1"/>
  <c r="GC60" i="1"/>
  <c r="GH60" i="1"/>
  <c r="FU60" i="1"/>
  <c r="GG60" i="1"/>
  <c r="GC17" i="1"/>
  <c r="GH17" i="1"/>
  <c r="GE111" i="1"/>
  <c r="GF111" i="1"/>
  <c r="CL60" i="1"/>
  <c r="FV17" i="1"/>
  <c r="FY17" i="1"/>
  <c r="FV60" i="1"/>
  <c r="FY60" i="1"/>
  <c r="FW17" i="1"/>
  <c r="FZ17" i="1"/>
  <c r="CN113" i="1"/>
  <c r="FW60" i="1"/>
  <c r="FZ60" i="1"/>
  <c r="FX111" i="1"/>
  <c r="GA111" i="1"/>
  <c r="CO113" i="1"/>
  <c r="CL17" i="1"/>
  <c r="CM113" i="1"/>
  <c r="CH60" i="1"/>
  <c r="CI17" i="1"/>
  <c r="FU17" i="1"/>
  <c r="CI60" i="1"/>
  <c r="CJ60" i="1"/>
  <c r="CG17" i="1"/>
  <c r="CH17" i="1"/>
  <c r="CG60" i="1"/>
  <c r="EA111" i="1"/>
  <c r="EB111" i="1"/>
  <c r="GB111" i="1"/>
  <c r="CM111" i="1"/>
  <c r="CJ17" i="1"/>
  <c r="CP111" i="1"/>
  <c r="CK17" i="1"/>
  <c r="FR60" i="1"/>
  <c r="CK60" i="1"/>
  <c r="FQ17" i="1"/>
  <c r="FR17" i="1"/>
  <c r="FQ60" i="1"/>
  <c r="FS111" i="1"/>
  <c r="FT111" i="1"/>
  <c r="CH62" i="1"/>
  <c r="CH19" i="1"/>
  <c r="DL58" i="1"/>
  <c r="DM55" i="1"/>
  <c r="DL57" i="1"/>
  <c r="CI19" i="1"/>
  <c r="DO57" i="1"/>
  <c r="DO58" i="1"/>
  <c r="CI62" i="1"/>
  <c r="DH57" i="1"/>
  <c r="DH58" i="1"/>
  <c r="DF12" i="1"/>
  <c r="DG12" i="1" s="1"/>
  <c r="DH15" i="1"/>
  <c r="DH14" i="1"/>
  <c r="CY109" i="1"/>
  <c r="DE15" i="1"/>
  <c r="DE14" i="1"/>
  <c r="DE106" i="1"/>
  <c r="DD106" i="1"/>
  <c r="DD58" i="1"/>
  <c r="DD57" i="1"/>
  <c r="DE58" i="1"/>
  <c r="DE57" i="1"/>
  <c r="DD15" i="1"/>
  <c r="DD14" i="1"/>
  <c r="DC109" i="1"/>
  <c r="DC108" i="1"/>
  <c r="DA14" i="1"/>
  <c r="DA15" i="1"/>
  <c r="DA106" i="1"/>
  <c r="DA109" i="1" s="1"/>
  <c r="CX108" i="1"/>
  <c r="DB14" i="1"/>
  <c r="DB15" i="1"/>
  <c r="DA57" i="1"/>
  <c r="DA58" i="1"/>
  <c r="CZ108" i="1"/>
  <c r="CZ109" i="1"/>
  <c r="AN10" i="5"/>
  <c r="AM9" i="5"/>
  <c r="AM53" i="5"/>
  <c r="AL52" i="5"/>
  <c r="AM103" i="5"/>
  <c r="AN104" i="5"/>
  <c r="AM152" i="5"/>
  <c r="AL151" i="5"/>
  <c r="CJ62" i="1"/>
  <c r="CJ19" i="1"/>
  <c r="CK62" i="1"/>
  <c r="CP12" i="1"/>
  <c r="CP15" i="1" s="1"/>
  <c r="CK19" i="1"/>
  <c r="CK110" i="1"/>
  <c r="CO14" i="1"/>
  <c r="CL55" i="1"/>
  <c r="CO55" i="1" s="1"/>
  <c r="CO15" i="1"/>
  <c r="CL14" i="1"/>
  <c r="CL15" i="1"/>
  <c r="CK58" i="1"/>
  <c r="CK106" i="1"/>
  <c r="CK108" i="1" s="1"/>
  <c r="CK14" i="1"/>
  <c r="CK15" i="1"/>
  <c r="CK56" i="4"/>
  <c r="CK57" i="4"/>
  <c r="CL55" i="4"/>
  <c r="J104" i="4"/>
  <c r="I103" i="4"/>
  <c r="BT110" i="4"/>
  <c r="AI110" i="4"/>
  <c r="BH110" i="4"/>
  <c r="AG12" i="4"/>
  <c r="AF14" i="4"/>
  <c r="AF13" i="4"/>
  <c r="AC16" i="4"/>
  <c r="T59" i="4"/>
  <c r="BZ59" i="4"/>
  <c r="O108" i="4"/>
  <c r="O107" i="4"/>
  <c r="AS107" i="4"/>
  <c r="AS108" i="4"/>
  <c r="K112" i="4"/>
  <c r="T16" i="4"/>
  <c r="U16" i="4"/>
  <c r="T109" i="4"/>
  <c r="BD16" i="4"/>
  <c r="BD18" i="4"/>
  <c r="BH112" i="4"/>
  <c r="U110" i="4"/>
  <c r="BI112" i="4"/>
  <c r="CH59" i="4"/>
  <c r="AR61" i="4"/>
  <c r="AR59" i="4"/>
  <c r="AR107" i="4"/>
  <c r="AR108" i="4"/>
  <c r="AA108" i="4"/>
  <c r="AD106" i="4"/>
  <c r="BA106" i="4"/>
  <c r="BA14" i="4"/>
  <c r="BA13" i="4"/>
  <c r="W110" i="4"/>
  <c r="AG59" i="4"/>
  <c r="BV59" i="4"/>
  <c r="BN59" i="4"/>
  <c r="AS59" i="4"/>
  <c r="CC61" i="4"/>
  <c r="CC59" i="4"/>
  <c r="CC109" i="4"/>
  <c r="L110" i="4"/>
  <c r="BB12" i="4"/>
  <c r="X16" i="4"/>
  <c r="X109" i="4"/>
  <c r="X110" i="4" s="1"/>
  <c r="AV109" i="4"/>
  <c r="AV18" i="4"/>
  <c r="CF109" i="4"/>
  <c r="CF18" i="4"/>
  <c r="L18" i="4"/>
  <c r="V59" i="4"/>
  <c r="BO59" i="4"/>
  <c r="AX59" i="4"/>
  <c r="BJ59" i="4"/>
  <c r="AT109" i="4"/>
  <c r="BR59" i="4"/>
  <c r="AF61" i="4"/>
  <c r="BU16" i="4"/>
  <c r="BT18" i="4"/>
  <c r="W59" i="4"/>
  <c r="AU59" i="4"/>
  <c r="AU109" i="4"/>
  <c r="CK59" i="4"/>
  <c r="BS59" i="4"/>
  <c r="AO112" i="4"/>
  <c r="I10" i="4"/>
  <c r="H9" i="4"/>
  <c r="AJ59" i="4"/>
  <c r="AJ61" i="4"/>
  <c r="BT59" i="4"/>
  <c r="T108" i="4"/>
  <c r="O110" i="4"/>
  <c r="O112" i="4"/>
  <c r="BH14" i="4"/>
  <c r="BI59" i="4"/>
  <c r="BI109" i="4"/>
  <c r="BW59" i="4"/>
  <c r="BE108" i="4"/>
  <c r="BZ112" i="4"/>
  <c r="BI12" i="4"/>
  <c r="AT59" i="4"/>
  <c r="CA110" i="4"/>
  <c r="CA112" i="4"/>
  <c r="J112" i="4"/>
  <c r="Q18" i="4"/>
  <c r="R16" i="4"/>
  <c r="Q16" i="4"/>
  <c r="BY16" i="4"/>
  <c r="R110" i="4"/>
  <c r="AD16" i="4"/>
  <c r="X18" i="4"/>
  <c r="BH18" i="4"/>
  <c r="BY18" i="4"/>
  <c r="BB59" i="4"/>
  <c r="CA59" i="4"/>
  <c r="AT61" i="4"/>
  <c r="BQ61" i="4"/>
  <c r="P108" i="4"/>
  <c r="P107" i="4"/>
  <c r="AZ107" i="4"/>
  <c r="AZ108" i="4"/>
  <c r="AT106" i="4"/>
  <c r="BL108" i="4"/>
  <c r="AG109" i="4"/>
  <c r="V112" i="4"/>
  <c r="AH112" i="4"/>
  <c r="BF112" i="4"/>
  <c r="BR112" i="4"/>
  <c r="L112" i="4"/>
  <c r="AF109" i="4"/>
  <c r="AF16" i="4"/>
  <c r="AF18" i="4"/>
  <c r="AR16" i="4"/>
  <c r="AR109" i="4"/>
  <c r="AR18" i="4"/>
  <c r="BB16" i="4"/>
  <c r="CH16" i="4"/>
  <c r="BP16" i="4"/>
  <c r="BP109" i="4"/>
  <c r="CB16" i="4"/>
  <c r="CB18" i="4"/>
  <c r="CB109" i="4"/>
  <c r="AG16" i="4"/>
  <c r="BQ112" i="4"/>
  <c r="BQ110" i="4"/>
  <c r="CM105" i="4"/>
  <c r="AM112" i="4"/>
  <c r="CM114" i="4"/>
  <c r="CN114" i="4" s="1"/>
  <c r="V110" i="4"/>
  <c r="I53" i="4"/>
  <c r="BP61" i="4"/>
  <c r="BP59" i="4"/>
  <c r="CB61" i="4"/>
  <c r="CB59" i="4"/>
  <c r="BD108" i="4"/>
  <c r="BD107" i="4"/>
  <c r="CE16" i="4"/>
  <c r="U59" i="4"/>
  <c r="U61" i="4"/>
  <c r="AQ107" i="4"/>
  <c r="AJ109" i="4"/>
  <c r="AJ110" i="4" s="1"/>
  <c r="AJ16" i="4"/>
  <c r="CF16" i="4"/>
  <c r="BP18" i="4"/>
  <c r="AH59" i="4"/>
  <c r="AH61" i="4"/>
  <c r="CD59" i="4"/>
  <c r="CD109" i="4"/>
  <c r="CD110" i="4" s="1"/>
  <c r="M110" i="4"/>
  <c r="M112" i="4"/>
  <c r="P112" i="4"/>
  <c r="BX112" i="4"/>
  <c r="AI59" i="4"/>
  <c r="AI61" i="4"/>
  <c r="BG61" i="4"/>
  <c r="BG59" i="4"/>
  <c r="AG61" i="4"/>
  <c r="S108" i="4"/>
  <c r="AS16" i="4"/>
  <c r="T18" i="4"/>
  <c r="AM55" i="4"/>
  <c r="AL57" i="4"/>
  <c r="AL56" i="4"/>
  <c r="X61" i="4"/>
  <c r="X59" i="4"/>
  <c r="AV59" i="4"/>
  <c r="BH59" i="4"/>
  <c r="BH61" i="4"/>
  <c r="CF59" i="4"/>
  <c r="AJ18" i="4"/>
  <c r="CJ56" i="4"/>
  <c r="CJ106" i="4"/>
  <c r="Y61" i="4"/>
  <c r="Z59" i="4"/>
  <c r="Y59" i="4"/>
  <c r="AW59" i="4"/>
  <c r="BU59" i="4"/>
  <c r="BU61" i="4"/>
  <c r="CG59" i="4"/>
  <c r="BY59" i="4"/>
  <c r="BD109" i="4"/>
  <c r="AE13" i="4"/>
  <c r="BA109" i="4"/>
  <c r="BA110" i="4" s="1"/>
  <c r="BA16" i="4"/>
  <c r="BM16" i="4"/>
  <c r="BM18" i="4"/>
  <c r="BM109" i="4"/>
  <c r="S109" i="4"/>
  <c r="S110" i="4" s="1"/>
  <c r="S18" i="4"/>
  <c r="S16" i="4"/>
  <c r="AE18" i="4"/>
  <c r="AE109" i="4"/>
  <c r="AQ18" i="4"/>
  <c r="AQ109" i="4"/>
  <c r="BC18" i="4"/>
  <c r="BC16" i="4"/>
  <c r="BO18" i="4"/>
  <c r="BO109" i="4"/>
  <c r="AE16" i="4"/>
  <c r="BC59" i="4"/>
  <c r="V61" i="4"/>
  <c r="AU61" i="4"/>
  <c r="AA107" i="4"/>
  <c r="G108" i="4"/>
  <c r="AH109" i="4"/>
  <c r="AI112" i="4"/>
  <c r="BG112" i="4"/>
  <c r="U112" i="4"/>
  <c r="AK108" i="4"/>
  <c r="AK107" i="4"/>
  <c r="BK110" i="4"/>
  <c r="Y16" i="4"/>
  <c r="CG109" i="4"/>
  <c r="CG110" i="4" s="1"/>
  <c r="BJ110" i="4"/>
  <c r="X112" i="4"/>
  <c r="BT112" i="4"/>
  <c r="Z16" i="4"/>
  <c r="AL109" i="4"/>
  <c r="AL16" i="4"/>
  <c r="Q59" i="4"/>
  <c r="R59" i="4"/>
  <c r="Y109" i="4"/>
  <c r="AL14" i="4"/>
  <c r="AL13" i="4"/>
  <c r="AM16" i="4"/>
  <c r="AY109" i="4"/>
  <c r="AY16" i="4"/>
  <c r="AL106" i="4"/>
  <c r="BR107" i="4"/>
  <c r="Z109" i="4"/>
  <c r="Z110" i="4" s="1"/>
  <c r="N112" i="4"/>
  <c r="Z112" i="4"/>
  <c r="AX112" i="4"/>
  <c r="BJ112" i="4"/>
  <c r="BV112" i="4"/>
  <c r="CH112" i="4"/>
  <c r="W112" i="4"/>
  <c r="M16" i="4"/>
  <c r="AK16" i="4"/>
  <c r="AK109" i="4"/>
  <c r="M18" i="4"/>
  <c r="AY108" i="4"/>
  <c r="AY107" i="4"/>
  <c r="AP110" i="4"/>
  <c r="BM59" i="4"/>
  <c r="P109" i="4"/>
  <c r="P110" i="4" s="1"/>
  <c r="P18" i="4"/>
  <c r="AB110" i="4"/>
  <c r="AN110" i="4"/>
  <c r="AZ109" i="4"/>
  <c r="AZ16" i="4"/>
  <c r="BL109" i="4"/>
  <c r="BL16" i="4"/>
  <c r="BX109" i="4"/>
  <c r="BX16" i="4"/>
  <c r="CJ110" i="4"/>
  <c r="AN16" i="4"/>
  <c r="BC55" i="4"/>
  <c r="BS107" i="4"/>
  <c r="AO107" i="4"/>
  <c r="AI108" i="4"/>
  <c r="AS109" i="4"/>
  <c r="BG110" i="4" s="1"/>
  <c r="BE109" i="4"/>
  <c r="BE110" i="4" s="1"/>
  <c r="BQ18" i="4"/>
  <c r="AO12" i="4"/>
  <c r="CJ13" i="4"/>
  <c r="AN14" i="4"/>
  <c r="BF109" i="4"/>
  <c r="BF110" i="4" s="1"/>
  <c r="BR109" i="4"/>
  <c r="BE18" i="4"/>
  <c r="BR18" i="4"/>
  <c r="BA57" i="4"/>
  <c r="CI61" i="4"/>
  <c r="CI59" i="4"/>
  <c r="CK106" i="4"/>
  <c r="AF112" i="4"/>
  <c r="S112" i="4"/>
  <c r="BQ12" i="4"/>
  <c r="CL12" i="4"/>
  <c r="AN13" i="4"/>
  <c r="BS109" i="4"/>
  <c r="BS110" i="4" s="1"/>
  <c r="CE109" i="4"/>
  <c r="CE110" i="4" s="1"/>
  <c r="BZ16" i="4"/>
  <c r="AS18" i="4"/>
  <c r="BF18" i="4"/>
  <c r="BS18" i="4"/>
  <c r="AD55" i="4"/>
  <c r="P59" i="4"/>
  <c r="P61" i="4"/>
  <c r="AB59" i="4"/>
  <c r="AB61" i="4"/>
  <c r="AN59" i="4"/>
  <c r="AZ59" i="4"/>
  <c r="BX59" i="4"/>
  <c r="CJ59" i="4"/>
  <c r="AY59" i="4"/>
  <c r="AX108" i="4"/>
  <c r="BK108" i="4"/>
  <c r="BY108" i="4"/>
  <c r="Q107" i="4"/>
  <c r="BZ107" i="4"/>
  <c r="BZ108" i="4"/>
  <c r="GN111" i="1" l="1"/>
  <c r="GQ111" i="1"/>
  <c r="CH113" i="1"/>
  <c r="CJ113" i="1"/>
  <c r="GD111" i="1"/>
  <c r="GI111" i="1"/>
  <c r="CK113" i="1"/>
  <c r="FW111" i="1"/>
  <c r="FZ111" i="1"/>
  <c r="CI113" i="1"/>
  <c r="FR111" i="1"/>
  <c r="CL111" i="1"/>
  <c r="DM58" i="1"/>
  <c r="DN55" i="1"/>
  <c r="DM57" i="1"/>
  <c r="DJ12" i="1"/>
  <c r="DK12" i="1" s="1"/>
  <c r="DK58" i="1"/>
  <c r="DK57" i="1"/>
  <c r="DH109" i="1"/>
  <c r="DH108" i="1"/>
  <c r="DG106" i="1"/>
  <c r="DJ106" i="1" s="1"/>
  <c r="DF15" i="1"/>
  <c r="DI14" i="1"/>
  <c r="DI15" i="1"/>
  <c r="DF57" i="1"/>
  <c r="DI58" i="1"/>
  <c r="DI57" i="1"/>
  <c r="DF14" i="1"/>
  <c r="DF106" i="1"/>
  <c r="DF58" i="1"/>
  <c r="DD108" i="1"/>
  <c r="DD109" i="1"/>
  <c r="DE109" i="1"/>
  <c r="DE108" i="1"/>
  <c r="DA108" i="1"/>
  <c r="DB58" i="1"/>
  <c r="DB57" i="1"/>
  <c r="DB106" i="1"/>
  <c r="AN152" i="5"/>
  <c r="AM151" i="5"/>
  <c r="AN103" i="5"/>
  <c r="AO104" i="5"/>
  <c r="AM52" i="5"/>
  <c r="AN53" i="5"/>
  <c r="AO10" i="5"/>
  <c r="AN9" i="5"/>
  <c r="CP14" i="1"/>
  <c r="CL57" i="1"/>
  <c r="CT57" i="1"/>
  <c r="CT58" i="1"/>
  <c r="CT106" i="1"/>
  <c r="CP55" i="1"/>
  <c r="CP57" i="1" s="1"/>
  <c r="CR14" i="1"/>
  <c r="CR15" i="1"/>
  <c r="CR106" i="1"/>
  <c r="CS14" i="1"/>
  <c r="CL58" i="1"/>
  <c r="CL106" i="1"/>
  <c r="CK109" i="1"/>
  <c r="I52" i="4"/>
  <c r="J53" i="4"/>
  <c r="BL110" i="4"/>
  <c r="BL112" i="4"/>
  <c r="AK110" i="4"/>
  <c r="AL110" i="4"/>
  <c r="AU110" i="4"/>
  <c r="AU112" i="4"/>
  <c r="CK110" i="4"/>
  <c r="AL108" i="4"/>
  <c r="AL107" i="4"/>
  <c r="CJ108" i="4"/>
  <c r="CJ107" i="4"/>
  <c r="AM110" i="4"/>
  <c r="AG110" i="4"/>
  <c r="AG112" i="4"/>
  <c r="CF110" i="4"/>
  <c r="AQ110" i="4"/>
  <c r="AQ112" i="4"/>
  <c r="BJ12" i="4"/>
  <c r="BI13" i="4"/>
  <c r="BI14" i="4"/>
  <c r="BR110" i="4"/>
  <c r="AV110" i="4"/>
  <c r="AV112" i="4"/>
  <c r="BQ14" i="4"/>
  <c r="BT12" i="4"/>
  <c r="BQ13" i="4"/>
  <c r="BC56" i="4"/>
  <c r="BC57" i="4"/>
  <c r="BF55" i="4"/>
  <c r="BA112" i="4"/>
  <c r="Q110" i="4"/>
  <c r="BE112" i="4"/>
  <c r="CF112" i="4"/>
  <c r="CE112" i="4"/>
  <c r="AT110" i="4"/>
  <c r="AT112" i="4"/>
  <c r="AX110" i="4"/>
  <c r="BW110" i="4"/>
  <c r="BB14" i="4"/>
  <c r="BB106" i="4"/>
  <c r="BB13" i="4"/>
  <c r="BC12" i="4"/>
  <c r="BA108" i="4"/>
  <c r="BA107" i="4"/>
  <c r="CL56" i="4"/>
  <c r="CL57" i="4"/>
  <c r="BP112" i="4"/>
  <c r="BP110" i="4"/>
  <c r="AH12" i="4"/>
  <c r="AG13" i="4"/>
  <c r="AG14" i="4"/>
  <c r="BN110" i="4"/>
  <c r="AY110" i="4"/>
  <c r="AY112" i="4"/>
  <c r="AR110" i="4"/>
  <c r="BB110" i="4"/>
  <c r="BU110" i="4"/>
  <c r="AE112" i="4"/>
  <c r="AE110" i="4"/>
  <c r="BY110" i="4"/>
  <c r="BZ110" i="4"/>
  <c r="J103" i="4"/>
  <c r="K104" i="4"/>
  <c r="AJ112" i="4"/>
  <c r="CH110" i="4"/>
  <c r="CD112" i="4"/>
  <c r="AS112" i="4"/>
  <c r="AD56" i="4"/>
  <c r="AD57" i="4"/>
  <c r="AE55" i="4"/>
  <c r="AR112" i="4"/>
  <c r="AO14" i="4"/>
  <c r="AS12" i="4"/>
  <c r="AV12" i="4"/>
  <c r="AO13" i="4"/>
  <c r="Y110" i="4"/>
  <c r="Y112" i="4"/>
  <c r="CG112" i="4"/>
  <c r="CB110" i="4"/>
  <c r="CB112" i="4"/>
  <c r="AF110" i="4"/>
  <c r="I9" i="4"/>
  <c r="J10" i="4"/>
  <c r="AD107" i="4"/>
  <c r="AD108" i="4"/>
  <c r="AE106" i="4"/>
  <c r="CK108" i="4"/>
  <c r="CK107" i="4"/>
  <c r="BM110" i="4"/>
  <c r="BM112" i="4"/>
  <c r="AS110" i="4"/>
  <c r="BC110" i="4"/>
  <c r="AW110" i="4"/>
  <c r="BV110" i="4"/>
  <c r="BO110" i="4"/>
  <c r="BO112" i="4"/>
  <c r="CI110" i="4"/>
  <c r="AZ110" i="4"/>
  <c r="AZ112" i="4"/>
  <c r="AN55" i="4"/>
  <c r="AM57" i="4"/>
  <c r="AM56" i="4"/>
  <c r="BS112" i="4"/>
  <c r="CL106" i="4"/>
  <c r="CL14" i="4"/>
  <c r="CL13" i="4"/>
  <c r="AH110" i="4"/>
  <c r="AT108" i="4"/>
  <c r="AU106" i="4"/>
  <c r="AT107" i="4"/>
  <c r="BD112" i="4"/>
  <c r="BD110" i="4"/>
  <c r="BX110" i="4"/>
  <c r="AL112" i="4"/>
  <c r="AK112" i="4"/>
  <c r="BI110" i="4"/>
  <c r="CC110" i="4"/>
  <c r="CC112" i="4"/>
  <c r="T112" i="4"/>
  <c r="T110" i="4"/>
  <c r="AA110" i="4"/>
  <c r="DK14" i="1" l="1"/>
  <c r="DL12" i="1"/>
  <c r="DN12" i="1" s="1"/>
  <c r="DN57" i="1"/>
  <c r="DQ55" i="1"/>
  <c r="DN58" i="1"/>
  <c r="DP106" i="1"/>
  <c r="DP15" i="1"/>
  <c r="DP14" i="1"/>
  <c r="DJ58" i="1"/>
  <c r="DJ57" i="1"/>
  <c r="DF108" i="1"/>
  <c r="DF109" i="1"/>
  <c r="DG58" i="1"/>
  <c r="DG57" i="1"/>
  <c r="DI109" i="1"/>
  <c r="DI108" i="1"/>
  <c r="DG15" i="1"/>
  <c r="DG14" i="1"/>
  <c r="DJ15" i="1"/>
  <c r="DJ14" i="1"/>
  <c r="DB109" i="1"/>
  <c r="DB108" i="1"/>
  <c r="AO9" i="5"/>
  <c r="AP10" i="5"/>
  <c r="AN52" i="5"/>
  <c r="AO53" i="5"/>
  <c r="AO103" i="5"/>
  <c r="AP104" i="5"/>
  <c r="AN151" i="5"/>
  <c r="AO152" i="5"/>
  <c r="CP58" i="1"/>
  <c r="CT108" i="1"/>
  <c r="CT109" i="1"/>
  <c r="CS58" i="1"/>
  <c r="CP106" i="1"/>
  <c r="CP109" i="1" s="1"/>
  <c r="CU57" i="1"/>
  <c r="CU58" i="1"/>
  <c r="CU106" i="1"/>
  <c r="CR58" i="1"/>
  <c r="CR57" i="1"/>
  <c r="CR109" i="1"/>
  <c r="CR108" i="1"/>
  <c r="CL109" i="1"/>
  <c r="CL108" i="1"/>
  <c r="CM58" i="1"/>
  <c r="CM106" i="1"/>
  <c r="CM57" i="1"/>
  <c r="BU12" i="4"/>
  <c r="BT14" i="4"/>
  <c r="BT13" i="4"/>
  <c r="BC106" i="4"/>
  <c r="BC13" i="4"/>
  <c r="BF12" i="4"/>
  <c r="BC14" i="4"/>
  <c r="BF57" i="4"/>
  <c r="BF56" i="4"/>
  <c r="BG55" i="4"/>
  <c r="BJ14" i="4"/>
  <c r="BJ13" i="4"/>
  <c r="BM12" i="4"/>
  <c r="AV14" i="4"/>
  <c r="AV13" i="4"/>
  <c r="AS13" i="4"/>
  <c r="AS14" i="4"/>
  <c r="AT12" i="4"/>
  <c r="K10" i="4"/>
  <c r="J9" i="4"/>
  <c r="CL107" i="4"/>
  <c r="CL108" i="4"/>
  <c r="K53" i="4"/>
  <c r="J52" i="4"/>
  <c r="AN57" i="4"/>
  <c r="AN56" i="4"/>
  <c r="AO55" i="4"/>
  <c r="AE107" i="4"/>
  <c r="AE108" i="4"/>
  <c r="AF106" i="4"/>
  <c r="L104" i="4"/>
  <c r="K103" i="4"/>
  <c r="BB107" i="4"/>
  <c r="BB108" i="4"/>
  <c r="AV106" i="4"/>
  <c r="AU108" i="4"/>
  <c r="AU107" i="4"/>
  <c r="AH13" i="4"/>
  <c r="AH14" i="4"/>
  <c r="AE56" i="4"/>
  <c r="AE57" i="4"/>
  <c r="AF55" i="4"/>
  <c r="CF19" i="1"/>
  <c r="CG19" i="1"/>
  <c r="CF62" i="1"/>
  <c r="CG62" i="1"/>
  <c r="CG113" i="1" l="1"/>
  <c r="CF113" i="1"/>
  <c r="DR55" i="1"/>
  <c r="DS55" i="1" s="1"/>
  <c r="DT55" i="1" s="1"/>
  <c r="DU55" i="1" s="1"/>
  <c r="DY55" i="1" s="1"/>
  <c r="DR12" i="1"/>
  <c r="DS12" i="1" s="1"/>
  <c r="DT12" i="1" s="1"/>
  <c r="DU12" i="1" s="1"/>
  <c r="DY12" i="1" s="1"/>
  <c r="DQ58" i="1"/>
  <c r="DQ57" i="1"/>
  <c r="DO15" i="1"/>
  <c r="DO14" i="1"/>
  <c r="DO106" i="1"/>
  <c r="DP109" i="1"/>
  <c r="DP108" i="1"/>
  <c r="DN106" i="1"/>
  <c r="DN15" i="1"/>
  <c r="DN14" i="1"/>
  <c r="DL15" i="1"/>
  <c r="DL14" i="1"/>
  <c r="DL106" i="1"/>
  <c r="DK106" i="1"/>
  <c r="DK15" i="1"/>
  <c r="DJ108" i="1"/>
  <c r="DJ109" i="1"/>
  <c r="DG108" i="1"/>
  <c r="DG109" i="1"/>
  <c r="AO52" i="5"/>
  <c r="AP53" i="5"/>
  <c r="AQ10" i="5"/>
  <c r="AP9" i="5"/>
  <c r="AO151" i="5"/>
  <c r="AP152" i="5"/>
  <c r="AP103" i="5"/>
  <c r="AQ104" i="5"/>
  <c r="CP108" i="1"/>
  <c r="CS106" i="1"/>
  <c r="CS109" i="1" s="1"/>
  <c r="CS57" i="1"/>
  <c r="CU109" i="1"/>
  <c r="CU108" i="1"/>
  <c r="CM109" i="1"/>
  <c r="CM108" i="1"/>
  <c r="CO58" i="1"/>
  <c r="CO57" i="1"/>
  <c r="CO106" i="1"/>
  <c r="BG56" i="4"/>
  <c r="BH55" i="4"/>
  <c r="BG106" i="4"/>
  <c r="BG57" i="4"/>
  <c r="K9" i="4"/>
  <c r="L10" i="4"/>
  <c r="M104" i="4"/>
  <c r="L103" i="4"/>
  <c r="AF56" i="4"/>
  <c r="AF57" i="4"/>
  <c r="AG55" i="4"/>
  <c r="AF107" i="4"/>
  <c r="AG106" i="4"/>
  <c r="AF108" i="4"/>
  <c r="AT14" i="4"/>
  <c r="AT13" i="4"/>
  <c r="BF13" i="4"/>
  <c r="BF106" i="4"/>
  <c r="BF14" i="4"/>
  <c r="AO56" i="4"/>
  <c r="AS55" i="4"/>
  <c r="AO57" i="4"/>
  <c r="BC107" i="4"/>
  <c r="BC108" i="4"/>
  <c r="BM14" i="4"/>
  <c r="BM13" i="4"/>
  <c r="AV107" i="4"/>
  <c r="AV108" i="4"/>
  <c r="K52" i="4"/>
  <c r="L53" i="4"/>
  <c r="BU13" i="4"/>
  <c r="BU14" i="4"/>
  <c r="BV12" i="4"/>
  <c r="CH163" i="1"/>
  <c r="CH107" i="1"/>
  <c r="CH112" i="1"/>
  <c r="CH110" i="1"/>
  <c r="CH105" i="1"/>
  <c r="CH70" i="1"/>
  <c r="CH66" i="1"/>
  <c r="CI163" i="1"/>
  <c r="CI107" i="1"/>
  <c r="CI112" i="1"/>
  <c r="CI105" i="1"/>
  <c r="CI70" i="1"/>
  <c r="CI66" i="1"/>
  <c r="CJ163" i="1"/>
  <c r="CJ107" i="1"/>
  <c r="CJ112" i="1"/>
  <c r="CJ105" i="1"/>
  <c r="CJ70" i="1"/>
  <c r="CJ66" i="1"/>
  <c r="CJ110" i="1"/>
  <c r="CE163" i="1"/>
  <c r="CE107" i="1"/>
  <c r="CE112" i="1"/>
  <c r="CE105" i="1"/>
  <c r="CE70" i="1"/>
  <c r="CE66" i="1"/>
  <c r="CE59" i="1"/>
  <c r="CE16" i="1"/>
  <c r="CF163" i="1"/>
  <c r="CF107" i="1"/>
  <c r="CF112" i="1"/>
  <c r="CF105" i="1"/>
  <c r="CF70" i="1"/>
  <c r="CF66" i="1"/>
  <c r="CG163" i="1"/>
  <c r="CG107" i="1"/>
  <c r="CG112" i="1"/>
  <c r="CG105" i="1"/>
  <c r="CG70" i="1"/>
  <c r="CG66" i="1"/>
  <c r="GM111" i="1" l="1"/>
  <c r="GP111" i="1"/>
  <c r="GC111" i="1"/>
  <c r="GH111" i="1"/>
  <c r="DS57" i="1"/>
  <c r="DS58" i="1"/>
  <c r="FV111" i="1"/>
  <c r="FY111" i="1"/>
  <c r="FQ111" i="1"/>
  <c r="CK111" i="1"/>
  <c r="CE19" i="1"/>
  <c r="CF17" i="1"/>
  <c r="CE62" i="1"/>
  <c r="CF60" i="1"/>
  <c r="DZ12" i="1"/>
  <c r="DZ55" i="1"/>
  <c r="DV106" i="1"/>
  <c r="DS106" i="1"/>
  <c r="DS109" i="1" s="1"/>
  <c r="DS14" i="1"/>
  <c r="DU15" i="1"/>
  <c r="DU14" i="1"/>
  <c r="DU106" i="1"/>
  <c r="DS15" i="1"/>
  <c r="DU58" i="1"/>
  <c r="DU57" i="1"/>
  <c r="DV15" i="1"/>
  <c r="DR57" i="1"/>
  <c r="DR58" i="1"/>
  <c r="DT14" i="1"/>
  <c r="DT106" i="1"/>
  <c r="DT15" i="1"/>
  <c r="DT58" i="1"/>
  <c r="DT57" i="1"/>
  <c r="DO109" i="1"/>
  <c r="DO108" i="1"/>
  <c r="DL108" i="1"/>
  <c r="DL109" i="1"/>
  <c r="DQ106" i="1"/>
  <c r="DQ15" i="1"/>
  <c r="DQ14" i="1"/>
  <c r="DM14" i="1"/>
  <c r="DM15" i="1"/>
  <c r="DM106" i="1"/>
  <c r="DN109" i="1"/>
  <c r="DN108" i="1"/>
  <c r="DK108" i="1"/>
  <c r="DK109" i="1"/>
  <c r="CS108" i="1"/>
  <c r="AR104" i="5"/>
  <c r="AQ103" i="5"/>
  <c r="AQ152" i="5"/>
  <c r="AP151" i="5"/>
  <c r="AR10" i="5"/>
  <c r="AQ9" i="5"/>
  <c r="AQ53" i="5"/>
  <c r="AP52" i="5"/>
  <c r="CO108" i="1"/>
  <c r="CO109" i="1"/>
  <c r="BV14" i="4"/>
  <c r="BV13" i="4"/>
  <c r="BW12" i="4"/>
  <c r="AS56" i="4"/>
  <c r="AS57" i="4"/>
  <c r="AT55" i="4"/>
  <c r="BF107" i="4"/>
  <c r="BF108" i="4"/>
  <c r="L9" i="4"/>
  <c r="M10" i="4"/>
  <c r="BG108" i="4"/>
  <c r="BG107" i="4"/>
  <c r="AG56" i="4"/>
  <c r="AH55" i="4"/>
  <c r="AG57" i="4"/>
  <c r="M53" i="4"/>
  <c r="L52" i="4"/>
  <c r="M103" i="4"/>
  <c r="N104" i="4"/>
  <c r="BI55" i="4"/>
  <c r="BH56" i="4"/>
  <c r="BH57" i="4"/>
  <c r="BH106" i="4"/>
  <c r="AH106" i="4"/>
  <c r="AG108" i="4"/>
  <c r="AG107" i="4"/>
  <c r="CI110" i="1"/>
  <c r="CE110" i="1"/>
  <c r="CF110" i="1"/>
  <c r="CG110" i="1"/>
  <c r="GG111" i="1" l="1"/>
  <c r="GL111" i="1"/>
  <c r="CG111" i="1"/>
  <c r="CE113" i="1"/>
  <c r="CI111" i="1"/>
  <c r="FU111" i="1"/>
  <c r="CH111" i="1"/>
  <c r="CJ111" i="1"/>
  <c r="CF111" i="1"/>
  <c r="EA55" i="1"/>
  <c r="EB55" i="1" s="1"/>
  <c r="EE55" i="1" s="1"/>
  <c r="EF55" i="1" s="1"/>
  <c r="EA12" i="1"/>
  <c r="EB12" i="1" s="1"/>
  <c r="EE12" i="1" s="1"/>
  <c r="EF12" i="1" s="1"/>
  <c r="DS108" i="1"/>
  <c r="DW58" i="1"/>
  <c r="DW57" i="1"/>
  <c r="DW14" i="1"/>
  <c r="DV58" i="1"/>
  <c r="DX58" i="1"/>
  <c r="DX57" i="1"/>
  <c r="DV57" i="1"/>
  <c r="DX14" i="1"/>
  <c r="DX15" i="1"/>
  <c r="DX106" i="1"/>
  <c r="DV14" i="1"/>
  <c r="DY58" i="1"/>
  <c r="DY57" i="1"/>
  <c r="DY106" i="1"/>
  <c r="DY15" i="1"/>
  <c r="DY14" i="1"/>
  <c r="DZ58" i="1"/>
  <c r="DZ57" i="1"/>
  <c r="DZ14" i="1"/>
  <c r="DZ106" i="1"/>
  <c r="DZ15" i="1"/>
  <c r="EA58" i="1"/>
  <c r="DW15" i="1"/>
  <c r="DU109" i="1"/>
  <c r="DU108" i="1"/>
  <c r="DW106" i="1"/>
  <c r="DW109" i="1" s="1"/>
  <c r="DV108" i="1"/>
  <c r="DV109" i="1"/>
  <c r="DT109" i="1"/>
  <c r="DT108" i="1"/>
  <c r="DR15" i="1"/>
  <c r="DR14" i="1"/>
  <c r="DR106" i="1"/>
  <c r="DM108" i="1"/>
  <c r="DM109" i="1"/>
  <c r="DQ109" i="1"/>
  <c r="DQ108" i="1"/>
  <c r="AR152" i="5"/>
  <c r="AQ151" i="5"/>
  <c r="AS104" i="5"/>
  <c r="AR103" i="5"/>
  <c r="AR53" i="5"/>
  <c r="AQ52" i="5"/>
  <c r="AS10" i="5"/>
  <c r="AR9" i="5"/>
  <c r="M9" i="4"/>
  <c r="N10" i="4"/>
  <c r="BI57" i="4"/>
  <c r="BI56" i="4"/>
  <c r="BJ55" i="4"/>
  <c r="BI106" i="4"/>
  <c r="AT57" i="4"/>
  <c r="AT56" i="4"/>
  <c r="AU55" i="4"/>
  <c r="N53" i="4"/>
  <c r="M52" i="4"/>
  <c r="O104" i="4"/>
  <c r="N103" i="4"/>
  <c r="AH57" i="4"/>
  <c r="AH56" i="4"/>
  <c r="BW13" i="4"/>
  <c r="BW14" i="4"/>
  <c r="BX12" i="4"/>
  <c r="AH108" i="4"/>
  <c r="AH107" i="4"/>
  <c r="BH108" i="4"/>
  <c r="BH107" i="4"/>
  <c r="EA57" i="1" l="1"/>
  <c r="EF106" i="1"/>
  <c r="EF15" i="1"/>
  <c r="EF14" i="1"/>
  <c r="EG12" i="1"/>
  <c r="EF58" i="1"/>
  <c r="EF57" i="1"/>
  <c r="EG55" i="1"/>
  <c r="EB106" i="1"/>
  <c r="EB15" i="1"/>
  <c r="EB14" i="1"/>
  <c r="DX109" i="1"/>
  <c r="DX108" i="1"/>
  <c r="DY109" i="1"/>
  <c r="DY108" i="1"/>
  <c r="DZ109" i="1"/>
  <c r="DZ108" i="1"/>
  <c r="DW108" i="1"/>
  <c r="DR108" i="1"/>
  <c r="DR109" i="1"/>
  <c r="EA14" i="1"/>
  <c r="EA15" i="1"/>
  <c r="EA106" i="1"/>
  <c r="AT104" i="5"/>
  <c r="AS103" i="5"/>
  <c r="AR151" i="5"/>
  <c r="AS152" i="5"/>
  <c r="AT10" i="5"/>
  <c r="AS9" i="5"/>
  <c r="AS53" i="5"/>
  <c r="AR52" i="5"/>
  <c r="BJ57" i="4"/>
  <c r="BJ56" i="4"/>
  <c r="BM55" i="4"/>
  <c r="BJ106" i="4"/>
  <c r="O53" i="4"/>
  <c r="N52" i="4"/>
  <c r="BI108" i="4"/>
  <c r="BI107" i="4"/>
  <c r="N9" i="4"/>
  <c r="O10" i="4"/>
  <c r="P104" i="4"/>
  <c r="O103" i="4"/>
  <c r="AU56" i="4"/>
  <c r="AV55" i="4"/>
  <c r="AU57" i="4"/>
  <c r="BX13" i="4"/>
  <c r="BX14" i="4"/>
  <c r="CA12" i="4"/>
  <c r="CD59" i="1"/>
  <c r="CD16" i="1"/>
  <c r="CD19" i="1" l="1"/>
  <c r="CE17" i="1"/>
  <c r="CE60" i="1"/>
  <c r="EG58" i="1"/>
  <c r="EG57" i="1"/>
  <c r="EH55" i="1"/>
  <c r="EH12" i="1"/>
  <c r="EG106" i="1"/>
  <c r="EG15" i="1"/>
  <c r="EG14" i="1"/>
  <c r="EF109" i="1"/>
  <c r="EF108" i="1"/>
  <c r="EJ58" i="1"/>
  <c r="EJ57" i="1"/>
  <c r="EB57" i="1"/>
  <c r="EB58" i="1"/>
  <c r="EJ106" i="1"/>
  <c r="EJ15" i="1"/>
  <c r="EJ14" i="1"/>
  <c r="EB109" i="1"/>
  <c r="EB108" i="1"/>
  <c r="EA109" i="1"/>
  <c r="EA108" i="1"/>
  <c r="AS151" i="5"/>
  <c r="AT152" i="5"/>
  <c r="AU104" i="5"/>
  <c r="AT103" i="5"/>
  <c r="AS52" i="5"/>
  <c r="AT53" i="5"/>
  <c r="AT9" i="5"/>
  <c r="AU10" i="5"/>
  <c r="O9" i="4"/>
  <c r="P10" i="4"/>
  <c r="Q104" i="4"/>
  <c r="P103" i="4"/>
  <c r="CA14" i="4"/>
  <c r="CB12" i="4"/>
  <c r="CA13" i="4"/>
  <c r="BM57" i="4"/>
  <c r="BN55" i="4"/>
  <c r="BM56" i="4"/>
  <c r="BM106" i="4"/>
  <c r="P53" i="4"/>
  <c r="O52" i="4"/>
  <c r="BJ107" i="4"/>
  <c r="BJ108" i="4"/>
  <c r="AV57" i="4"/>
  <c r="AV56" i="4"/>
  <c r="CC59" i="1"/>
  <c r="CD60" i="1" s="1"/>
  <c r="CB59" i="1"/>
  <c r="CB16" i="1"/>
  <c r="CC16" i="1"/>
  <c r="CC17" i="1" l="1"/>
  <c r="CD17" i="1"/>
  <c r="CC60" i="1"/>
  <c r="EG109" i="1"/>
  <c r="EG108" i="1"/>
  <c r="EI12" i="1"/>
  <c r="EH15" i="1"/>
  <c r="EH14" i="1"/>
  <c r="EH106" i="1"/>
  <c r="EI55" i="1"/>
  <c r="EH57" i="1"/>
  <c r="EH58" i="1"/>
  <c r="EC106" i="1"/>
  <c r="EC15" i="1"/>
  <c r="EC14" i="1"/>
  <c r="EJ109" i="1"/>
  <c r="EJ108" i="1"/>
  <c r="EK58" i="1"/>
  <c r="EK57" i="1"/>
  <c r="EC57" i="1"/>
  <c r="EC58" i="1"/>
  <c r="EK106" i="1"/>
  <c r="EK15" i="1"/>
  <c r="EK14" i="1"/>
  <c r="AV104" i="5"/>
  <c r="AU103" i="5"/>
  <c r="AT151" i="5"/>
  <c r="AU152" i="5"/>
  <c r="AU9" i="5"/>
  <c r="AV10" i="5"/>
  <c r="AU53" i="5"/>
  <c r="AT52" i="5"/>
  <c r="P52" i="4"/>
  <c r="Q53" i="4"/>
  <c r="CB14" i="4"/>
  <c r="CB13" i="4"/>
  <c r="CC12" i="4"/>
  <c r="BM108" i="4"/>
  <c r="BM107" i="4"/>
  <c r="BN106" i="4"/>
  <c r="BN57" i="4"/>
  <c r="BN56" i="4"/>
  <c r="BO55" i="4"/>
  <c r="Q103" i="4"/>
  <c r="R104" i="4"/>
  <c r="Q10" i="4"/>
  <c r="P9" i="4"/>
  <c r="CC163" i="1"/>
  <c r="CC107" i="1"/>
  <c r="CC112" i="1"/>
  <c r="CC110" i="1"/>
  <c r="CC105" i="1"/>
  <c r="CC70" i="1"/>
  <c r="CC66" i="1"/>
  <c r="CC62" i="1"/>
  <c r="CC19" i="1"/>
  <c r="CD163" i="1"/>
  <c r="CD107" i="1"/>
  <c r="CD112" i="1"/>
  <c r="CD110" i="1"/>
  <c r="CD105" i="1"/>
  <c r="CD70" i="1"/>
  <c r="CD66" i="1"/>
  <c r="CD62" i="1"/>
  <c r="CD113" i="1" s="1"/>
  <c r="CB163" i="1"/>
  <c r="CB107" i="1"/>
  <c r="CB112" i="1"/>
  <c r="CB110" i="1"/>
  <c r="CB105" i="1"/>
  <c r="CB70" i="1"/>
  <c r="CB66" i="1"/>
  <c r="CB62" i="1"/>
  <c r="CB19" i="1"/>
  <c r="CC113" i="1" l="1"/>
  <c r="CB113" i="1"/>
  <c r="CC111" i="1"/>
  <c r="CD111" i="1"/>
  <c r="CE111" i="1"/>
  <c r="EL55" i="1"/>
  <c r="EI58" i="1"/>
  <c r="EI57" i="1"/>
  <c r="EH108" i="1"/>
  <c r="EH109" i="1"/>
  <c r="EL12" i="1"/>
  <c r="EI106" i="1"/>
  <c r="EI15" i="1"/>
  <c r="EI14" i="1"/>
  <c r="ED58" i="1"/>
  <c r="ED57" i="1"/>
  <c r="ED14" i="1"/>
  <c r="ED106" i="1"/>
  <c r="ED15" i="1"/>
  <c r="EK109" i="1"/>
  <c r="EK108" i="1"/>
  <c r="EC109" i="1"/>
  <c r="EC108" i="1"/>
  <c r="EL15" i="1"/>
  <c r="AV152" i="5"/>
  <c r="AU151" i="5"/>
  <c r="AV103" i="5"/>
  <c r="AW104" i="5"/>
  <c r="AV53" i="5"/>
  <c r="AU52" i="5"/>
  <c r="AW10" i="5"/>
  <c r="AV9" i="5"/>
  <c r="BN107" i="4"/>
  <c r="BN108" i="4"/>
  <c r="CC14" i="4"/>
  <c r="CD12" i="4"/>
  <c r="CC13" i="4"/>
  <c r="Q9" i="4"/>
  <c r="R10" i="4"/>
  <c r="R53" i="4"/>
  <c r="Q52" i="4"/>
  <c r="R152" i="4"/>
  <c r="R103" i="4"/>
  <c r="S104" i="4"/>
  <c r="BO57" i="4"/>
  <c r="BO106" i="4"/>
  <c r="BO56" i="4"/>
  <c r="BP55" i="4"/>
  <c r="EM12" i="1" l="1"/>
  <c r="EL106" i="1"/>
  <c r="EL57" i="1"/>
  <c r="EM55" i="1"/>
  <c r="EN55" i="1" s="1"/>
  <c r="EL58" i="1"/>
  <c r="EI108" i="1"/>
  <c r="EI109" i="1"/>
  <c r="EL14" i="1"/>
  <c r="ED109" i="1"/>
  <c r="ED108" i="1"/>
  <c r="EE106" i="1"/>
  <c r="EE14" i="1"/>
  <c r="EE15" i="1"/>
  <c r="EE58" i="1"/>
  <c r="EE57" i="1"/>
  <c r="AX10" i="5"/>
  <c r="AW9" i="5"/>
  <c r="AW53" i="5"/>
  <c r="AV52" i="5"/>
  <c r="AX104" i="5"/>
  <c r="AW103" i="5"/>
  <c r="AW152" i="5"/>
  <c r="AV151" i="5"/>
  <c r="S10" i="4"/>
  <c r="R9" i="4"/>
  <c r="CE12" i="4"/>
  <c r="CD14" i="4"/>
  <c r="CD13" i="4"/>
  <c r="BO107" i="4"/>
  <c r="BO108" i="4"/>
  <c r="S152" i="4"/>
  <c r="R151" i="4"/>
  <c r="S53" i="4"/>
  <c r="R52" i="4"/>
  <c r="BP57" i="4"/>
  <c r="BP56" i="4"/>
  <c r="BQ55" i="4"/>
  <c r="BP106" i="4"/>
  <c r="T104" i="4"/>
  <c r="S103" i="4"/>
  <c r="CA59" i="1"/>
  <c r="BZ59" i="1"/>
  <c r="BY59" i="1"/>
  <c r="BY16" i="1"/>
  <c r="BZ16" i="1"/>
  <c r="BZ17" i="1" s="1"/>
  <c r="CA16" i="1"/>
  <c r="CA17" i="1" l="1"/>
  <c r="CB17" i="1"/>
  <c r="BZ60" i="1"/>
  <c r="CA60" i="1"/>
  <c r="CB60" i="1"/>
  <c r="EO55" i="1"/>
  <c r="EN58" i="1"/>
  <c r="EN57" i="1"/>
  <c r="EL109" i="1"/>
  <c r="EL108" i="1"/>
  <c r="EN12" i="1"/>
  <c r="EM106" i="1"/>
  <c r="EM58" i="1"/>
  <c r="EM57" i="1"/>
  <c r="EM14" i="1"/>
  <c r="EM15" i="1"/>
  <c r="EE109" i="1"/>
  <c r="EE108" i="1"/>
  <c r="AX152" i="5"/>
  <c r="AW151" i="5"/>
  <c r="AY104" i="5"/>
  <c r="AX103" i="5"/>
  <c r="AW52" i="5"/>
  <c r="AX53" i="5"/>
  <c r="AX9" i="5"/>
  <c r="AY10" i="5"/>
  <c r="T53" i="4"/>
  <c r="S52" i="4"/>
  <c r="BP107" i="4"/>
  <c r="BP108" i="4"/>
  <c r="BQ57" i="4"/>
  <c r="BT55" i="4"/>
  <c r="BQ56" i="4"/>
  <c r="BQ106" i="4"/>
  <c r="S151" i="4"/>
  <c r="T152" i="4"/>
  <c r="U104" i="4"/>
  <c r="T103" i="4"/>
  <c r="CE14" i="4"/>
  <c r="CE13" i="4"/>
  <c r="CM12" i="4"/>
  <c r="T10" i="4"/>
  <c r="S9" i="4"/>
  <c r="BY163" i="1"/>
  <c r="BY107" i="1"/>
  <c r="BY112" i="1"/>
  <c r="BY110" i="1"/>
  <c r="BY105" i="1"/>
  <c r="BY70" i="1"/>
  <c r="BY66" i="1"/>
  <c r="BY62" i="1"/>
  <c r="BY19" i="1"/>
  <c r="BY113" i="1" s="1"/>
  <c r="BZ163" i="1"/>
  <c r="BZ107" i="1"/>
  <c r="BZ112" i="1"/>
  <c r="BZ110" i="1"/>
  <c r="BZ105" i="1"/>
  <c r="BZ70" i="1"/>
  <c r="BZ66" i="1"/>
  <c r="BZ62" i="1"/>
  <c r="BZ19" i="1"/>
  <c r="CA163" i="1"/>
  <c r="CA107" i="1"/>
  <c r="CA112" i="1"/>
  <c r="CA110" i="1"/>
  <c r="CA105" i="1"/>
  <c r="CA70" i="1"/>
  <c r="CA66" i="1"/>
  <c r="CA62" i="1"/>
  <c r="CA19" i="1"/>
  <c r="BX59" i="1"/>
  <c r="BY60" i="1" s="1"/>
  <c r="BW59" i="1"/>
  <c r="BX16" i="1"/>
  <c r="BW16" i="1"/>
  <c r="CA113" i="1" l="1"/>
  <c r="BZ113" i="1"/>
  <c r="BZ111" i="1"/>
  <c r="CA111" i="1"/>
  <c r="CB111" i="1"/>
  <c r="BX17" i="1"/>
  <c r="BY17" i="1"/>
  <c r="BX60" i="1"/>
  <c r="EM108" i="1"/>
  <c r="EM109" i="1"/>
  <c r="EO12" i="1"/>
  <c r="EN106" i="1"/>
  <c r="EN15" i="1"/>
  <c r="EN14" i="1"/>
  <c r="EP55" i="1"/>
  <c r="EO58" i="1"/>
  <c r="EO57" i="1"/>
  <c r="AY152" i="5"/>
  <c r="AX151" i="5"/>
  <c r="AZ10" i="5"/>
  <c r="AY9" i="5"/>
  <c r="AY53" i="5"/>
  <c r="AX52" i="5"/>
  <c r="AY103" i="5"/>
  <c r="AZ104" i="5"/>
  <c r="T151" i="4"/>
  <c r="U152" i="4"/>
  <c r="BQ108" i="4"/>
  <c r="BQ107" i="4"/>
  <c r="V104" i="4"/>
  <c r="U103" i="4"/>
  <c r="BT56" i="4"/>
  <c r="BU55" i="4"/>
  <c r="BT57" i="4"/>
  <c r="BT106" i="4"/>
  <c r="U10" i="4"/>
  <c r="T9" i="4"/>
  <c r="U53" i="4"/>
  <c r="T52" i="4"/>
  <c r="BV59" i="1"/>
  <c r="BV16" i="1"/>
  <c r="BW60" i="1" l="1"/>
  <c r="BW17" i="1"/>
  <c r="ES55" i="1"/>
  <c r="ET55" i="1" s="1"/>
  <c r="EP57" i="1"/>
  <c r="EP58" i="1"/>
  <c r="EN109" i="1"/>
  <c r="EN108" i="1"/>
  <c r="EP12" i="1"/>
  <c r="EO106" i="1"/>
  <c r="EO14" i="1"/>
  <c r="EO15" i="1"/>
  <c r="ES15" i="1"/>
  <c r="ES14" i="1"/>
  <c r="AZ9" i="5"/>
  <c r="BA10" i="5"/>
  <c r="BK152" i="5"/>
  <c r="BK151" i="5" s="1"/>
  <c r="AY151" i="5"/>
  <c r="AZ152" i="5"/>
  <c r="BA104" i="5"/>
  <c r="AZ103" i="5"/>
  <c r="AY52" i="5"/>
  <c r="AZ53" i="5"/>
  <c r="BT108" i="4"/>
  <c r="BT107" i="4"/>
  <c r="BU57" i="4"/>
  <c r="BV55" i="4"/>
  <c r="BU56" i="4"/>
  <c r="BU106" i="4"/>
  <c r="U151" i="4"/>
  <c r="V152" i="4"/>
  <c r="U9" i="4"/>
  <c r="V10" i="4"/>
  <c r="V103" i="4"/>
  <c r="W104" i="4"/>
  <c r="U52" i="4"/>
  <c r="V53" i="4"/>
  <c r="BU59" i="1"/>
  <c r="BU16" i="1"/>
  <c r="BV60" i="1" l="1"/>
  <c r="BV17" i="1"/>
  <c r="EU55" i="1"/>
  <c r="ET106" i="1"/>
  <c r="EO109" i="1"/>
  <c r="EO108" i="1"/>
  <c r="EP106" i="1"/>
  <c r="EP14" i="1"/>
  <c r="EP15" i="1"/>
  <c r="ES106" i="1"/>
  <c r="ES58" i="1"/>
  <c r="ES57" i="1"/>
  <c r="BA9" i="5"/>
  <c r="BB10" i="5"/>
  <c r="BA53" i="5"/>
  <c r="AZ52" i="5"/>
  <c r="BA103" i="5"/>
  <c r="BB104" i="5"/>
  <c r="BL152" i="5"/>
  <c r="BL151" i="5" s="1"/>
  <c r="AZ151" i="5"/>
  <c r="BA152" i="5"/>
  <c r="BU108" i="4"/>
  <c r="BU107" i="4"/>
  <c r="W103" i="4"/>
  <c r="X104" i="4"/>
  <c r="V9" i="4"/>
  <c r="W10" i="4"/>
  <c r="W152" i="4"/>
  <c r="V151" i="4"/>
  <c r="BV57" i="4"/>
  <c r="BV56" i="4"/>
  <c r="BW55" i="4"/>
  <c r="BV106" i="4"/>
  <c r="V52" i="4"/>
  <c r="W53" i="4"/>
  <c r="BT59" i="1"/>
  <c r="BS59" i="1"/>
  <c r="BR59" i="1"/>
  <c r="BT16" i="1"/>
  <c r="BR16" i="1"/>
  <c r="BS16" i="1"/>
  <c r="BS17" i="1" l="1"/>
  <c r="BT17" i="1"/>
  <c r="BS60" i="1"/>
  <c r="BT60" i="1"/>
  <c r="BU60" i="1"/>
  <c r="BU17" i="1"/>
  <c r="EU57" i="1"/>
  <c r="EV55" i="1"/>
  <c r="EU106" i="1"/>
  <c r="EU58" i="1"/>
  <c r="ET58" i="1"/>
  <c r="ET57" i="1"/>
  <c r="ES108" i="1"/>
  <c r="ES109" i="1"/>
  <c r="EP108" i="1"/>
  <c r="EP109" i="1"/>
  <c r="BA52" i="5"/>
  <c r="BB53" i="5"/>
  <c r="BC10" i="5"/>
  <c r="BB9" i="5"/>
  <c r="BY152" i="5"/>
  <c r="BY151" i="5" s="1"/>
  <c r="BB152" i="5"/>
  <c r="BM152" i="5"/>
  <c r="BM151" i="5" s="1"/>
  <c r="BU152" i="5"/>
  <c r="BU151" i="5" s="1"/>
  <c r="CH152" i="5"/>
  <c r="CH151" i="5" s="1"/>
  <c r="CE152" i="5"/>
  <c r="CE151" i="5" s="1"/>
  <c r="BA151" i="5"/>
  <c r="BB103" i="5"/>
  <c r="BC104" i="5"/>
  <c r="BV108" i="4"/>
  <c r="BV107" i="4"/>
  <c r="W9" i="4"/>
  <c r="X10" i="4"/>
  <c r="Y104" i="4"/>
  <c r="X103" i="4"/>
  <c r="W52" i="4"/>
  <c r="X53" i="4"/>
  <c r="BX55" i="4"/>
  <c r="BW56" i="4"/>
  <c r="BW57" i="4"/>
  <c r="BW106" i="4"/>
  <c r="X152" i="4"/>
  <c r="W151" i="4"/>
  <c r="BX163" i="1"/>
  <c r="BX107" i="1"/>
  <c r="BX112" i="1"/>
  <c r="BX110" i="1"/>
  <c r="BX105" i="1"/>
  <c r="BX70" i="1"/>
  <c r="BX66" i="1"/>
  <c r="BX62" i="1"/>
  <c r="BX19" i="1"/>
  <c r="BX113" i="1" s="1"/>
  <c r="BU163" i="1"/>
  <c r="BU107" i="1"/>
  <c r="BU112" i="1"/>
  <c r="BU110" i="1"/>
  <c r="BU105" i="1"/>
  <c r="BU70" i="1"/>
  <c r="BU66" i="1"/>
  <c r="BU62" i="1"/>
  <c r="BU19" i="1"/>
  <c r="BV163" i="1"/>
  <c r="BV107" i="1"/>
  <c r="BV112" i="1"/>
  <c r="BV110" i="1"/>
  <c r="BV105" i="1"/>
  <c r="BV70" i="1"/>
  <c r="BV66" i="1"/>
  <c r="BV62" i="1"/>
  <c r="BV19" i="1"/>
  <c r="BV113" i="1" s="1"/>
  <c r="BW163" i="1"/>
  <c r="BW107" i="1"/>
  <c r="BW112" i="1"/>
  <c r="BW110" i="1"/>
  <c r="BW105" i="1"/>
  <c r="BW70" i="1"/>
  <c r="BW66" i="1"/>
  <c r="BW62" i="1"/>
  <c r="BW19" i="1"/>
  <c r="BT163" i="1"/>
  <c r="BT107" i="1"/>
  <c r="BT112" i="1"/>
  <c r="BT110" i="1"/>
  <c r="BT105" i="1"/>
  <c r="BT70" i="1"/>
  <c r="BT66" i="1"/>
  <c r="BT62" i="1"/>
  <c r="BT19" i="1"/>
  <c r="BU113" i="1" l="1"/>
  <c r="BW113" i="1"/>
  <c r="BT113" i="1"/>
  <c r="BU111" i="1"/>
  <c r="BX111" i="1"/>
  <c r="BY111" i="1"/>
  <c r="BV111" i="1"/>
  <c r="BW111" i="1"/>
  <c r="EU109" i="1"/>
  <c r="EU108" i="1"/>
  <c r="EW55" i="1"/>
  <c r="EZ55" i="1" s="1"/>
  <c r="FA55" i="1" s="1"/>
  <c r="FB55" i="1" s="1"/>
  <c r="FC55" i="1" s="1"/>
  <c r="EV58" i="1"/>
  <c r="EV57" i="1"/>
  <c r="EV106" i="1"/>
  <c r="ET109" i="1"/>
  <c r="ET108" i="1"/>
  <c r="CI152" i="5"/>
  <c r="CI151" i="5" s="1"/>
  <c r="CL152" i="5"/>
  <c r="BR152" i="5"/>
  <c r="BR151" i="5" s="1"/>
  <c r="BC152" i="5"/>
  <c r="CF152" i="5"/>
  <c r="CF151" i="5" s="1"/>
  <c r="CC152" i="5"/>
  <c r="CC151" i="5" s="1"/>
  <c r="BN152" i="5"/>
  <c r="BN151" i="5" s="1"/>
  <c r="BV152" i="5"/>
  <c r="BV151" i="5" s="1"/>
  <c r="BP152" i="5"/>
  <c r="BP151" i="5" s="1"/>
  <c r="BG152" i="5"/>
  <c r="BG151" i="5" s="1"/>
  <c r="BE152" i="5"/>
  <c r="BE151" i="5" s="1"/>
  <c r="BZ152" i="5"/>
  <c r="BZ151" i="5" s="1"/>
  <c r="BI152" i="5"/>
  <c r="BI151" i="5" s="1"/>
  <c r="BB151" i="5"/>
  <c r="BD10" i="5"/>
  <c r="BC9" i="5"/>
  <c r="BB52" i="5"/>
  <c r="BC53" i="5"/>
  <c r="BC103" i="5"/>
  <c r="BD104" i="5"/>
  <c r="X52" i="4"/>
  <c r="Y53" i="4"/>
  <c r="Z104" i="4"/>
  <c r="Y103" i="4"/>
  <c r="BW108" i="4"/>
  <c r="BW107" i="4"/>
  <c r="CA55" i="4"/>
  <c r="BX56" i="4"/>
  <c r="BX57" i="4"/>
  <c r="BX106" i="4"/>
  <c r="X9" i="4"/>
  <c r="Y10" i="4"/>
  <c r="X151" i="4"/>
  <c r="Y152" i="4"/>
  <c r="FD55" i="1" l="1"/>
  <c r="FB58" i="1"/>
  <c r="FB57" i="1"/>
  <c r="FB106" i="1"/>
  <c r="FE58" i="1"/>
  <c r="FE57" i="1"/>
  <c r="EZ58" i="1"/>
  <c r="EZ57" i="1"/>
  <c r="EZ106" i="1"/>
  <c r="EV109" i="1"/>
  <c r="EV108" i="1"/>
  <c r="EW106" i="1"/>
  <c r="EW57" i="1"/>
  <c r="EW58" i="1"/>
  <c r="BE10" i="5"/>
  <c r="BD9" i="5"/>
  <c r="CU152" i="5"/>
  <c r="CU151" i="5" s="1"/>
  <c r="CY152" i="5"/>
  <c r="CY151" i="5" s="1"/>
  <c r="CW152" i="5"/>
  <c r="CW151" i="5" s="1"/>
  <c r="CQ152" i="5"/>
  <c r="CQ151" i="5" s="1"/>
  <c r="CS152" i="5"/>
  <c r="CS151" i="5" s="1"/>
  <c r="CL151" i="5"/>
  <c r="DB152" i="5"/>
  <c r="DB151" i="5" s="1"/>
  <c r="BE104" i="5"/>
  <c r="BD103" i="5"/>
  <c r="BD53" i="5"/>
  <c r="BC52" i="5"/>
  <c r="BW152" i="5"/>
  <c r="BW151" i="5" s="1"/>
  <c r="CK152" i="5"/>
  <c r="BX152" i="5"/>
  <c r="BX151" i="5" s="1"/>
  <c r="BJ152" i="5"/>
  <c r="BJ151" i="5" s="1"/>
  <c r="CG152" i="5"/>
  <c r="CG151" i="5" s="1"/>
  <c r="BQ152" i="5"/>
  <c r="BQ151" i="5" s="1"/>
  <c r="CB152" i="5"/>
  <c r="CB151" i="5" s="1"/>
  <c r="CM152" i="5"/>
  <c r="BO152" i="5"/>
  <c r="BO151" i="5" s="1"/>
  <c r="BF152" i="5"/>
  <c r="BF151" i="5" s="1"/>
  <c r="CJ152" i="5"/>
  <c r="BD152" i="5"/>
  <c r="CD152" i="5"/>
  <c r="CD151" i="5" s="1"/>
  <c r="CA152" i="5"/>
  <c r="CA151" i="5" s="1"/>
  <c r="BS152" i="5"/>
  <c r="BS151" i="5" s="1"/>
  <c r="BC151" i="5"/>
  <c r="BH152" i="5"/>
  <c r="BH151" i="5" s="1"/>
  <c r="BT152" i="5"/>
  <c r="BT151" i="5" s="1"/>
  <c r="Y9" i="4"/>
  <c r="Z10" i="4"/>
  <c r="Y151" i="4"/>
  <c r="Z152" i="4"/>
  <c r="Y52" i="4"/>
  <c r="Z53" i="4"/>
  <c r="BX108" i="4"/>
  <c r="BX107" i="4"/>
  <c r="CB55" i="4"/>
  <c r="CA56" i="4"/>
  <c r="CA57" i="4"/>
  <c r="CA106" i="4"/>
  <c r="Z103" i="4"/>
  <c r="AA104" i="4"/>
  <c r="BP59" i="1"/>
  <c r="FG55" i="1" l="1"/>
  <c r="FH55" i="1" s="1"/>
  <c r="FI55" i="1" s="1"/>
  <c r="FE106" i="1"/>
  <c r="FE109" i="1" s="1"/>
  <c r="FF57" i="1"/>
  <c r="FF58" i="1"/>
  <c r="FF106" i="1"/>
  <c r="FB108" i="1"/>
  <c r="FB109" i="1"/>
  <c r="FD57" i="1"/>
  <c r="FD58" i="1"/>
  <c r="FD106" i="1"/>
  <c r="FC58" i="1"/>
  <c r="FC57" i="1"/>
  <c r="FC106" i="1"/>
  <c r="FA57" i="1"/>
  <c r="FA58" i="1"/>
  <c r="FA106" i="1"/>
  <c r="EZ109" i="1"/>
  <c r="EZ108" i="1"/>
  <c r="EW109" i="1"/>
  <c r="EW108" i="1"/>
  <c r="EX106" i="1"/>
  <c r="EX58" i="1"/>
  <c r="EX57" i="1"/>
  <c r="EY58" i="1"/>
  <c r="EY57" i="1"/>
  <c r="EY106" i="1"/>
  <c r="CJ151" i="5"/>
  <c r="CZ152" i="5"/>
  <c r="CZ151" i="5" s="1"/>
  <c r="BE53" i="5"/>
  <c r="BD52" i="5"/>
  <c r="BF104" i="5"/>
  <c r="BE103" i="5"/>
  <c r="CO152" i="5"/>
  <c r="CO151" i="5" s="1"/>
  <c r="DC152" i="5"/>
  <c r="DC151" i="5" s="1"/>
  <c r="CM151" i="5"/>
  <c r="CK151" i="5"/>
  <c r="CX152" i="5"/>
  <c r="CX151" i="5" s="1"/>
  <c r="CV152" i="5"/>
  <c r="CV151" i="5" s="1"/>
  <c r="CR152" i="5"/>
  <c r="CR151" i="5" s="1"/>
  <c r="CT152" i="5"/>
  <c r="CT151" i="5" s="1"/>
  <c r="CP152" i="5"/>
  <c r="CP151" i="5" s="1"/>
  <c r="DA152" i="5"/>
  <c r="DA151" i="5" s="1"/>
  <c r="CN152" i="5"/>
  <c r="BD151" i="5"/>
  <c r="BF10" i="5"/>
  <c r="BE9" i="5"/>
  <c r="CA108" i="4"/>
  <c r="CA107" i="4"/>
  <c r="Z151" i="4"/>
  <c r="AA152" i="4"/>
  <c r="AA103" i="4"/>
  <c r="AB104" i="4"/>
  <c r="Z9" i="4"/>
  <c r="AA10" i="4"/>
  <c r="CC55" i="4"/>
  <c r="CB56" i="4"/>
  <c r="CB57" i="4"/>
  <c r="CB106" i="4"/>
  <c r="AA53" i="4"/>
  <c r="Z52" i="4"/>
  <c r="BP16" i="1"/>
  <c r="FJ55" i="1" l="1"/>
  <c r="FK55" i="1" s="1"/>
  <c r="FN55" i="1" s="1"/>
  <c r="FI106" i="1"/>
  <c r="FI109" i="1" s="1"/>
  <c r="FI58" i="1"/>
  <c r="FI57" i="1"/>
  <c r="FJ58" i="1"/>
  <c r="FJ57" i="1"/>
  <c r="FJ106" i="1"/>
  <c r="FG58" i="1"/>
  <c r="FG57" i="1"/>
  <c r="FG106" i="1"/>
  <c r="FE108" i="1"/>
  <c r="FF109" i="1"/>
  <c r="FF108" i="1"/>
  <c r="FD108" i="1"/>
  <c r="FD109" i="1"/>
  <c r="FC109" i="1"/>
  <c r="FC108" i="1"/>
  <c r="FA109" i="1"/>
  <c r="FA108" i="1"/>
  <c r="EY109" i="1"/>
  <c r="EY108" i="1"/>
  <c r="EX109" i="1"/>
  <c r="EX108" i="1"/>
  <c r="BE52" i="5"/>
  <c r="BF53" i="5"/>
  <c r="BF9" i="5"/>
  <c r="BG10" i="5"/>
  <c r="CN151" i="5"/>
  <c r="DD152" i="5"/>
  <c r="DD151" i="5" s="1"/>
  <c r="BG104" i="5"/>
  <c r="BF103" i="5"/>
  <c r="AB53" i="4"/>
  <c r="AA52" i="4"/>
  <c r="CB108" i="4"/>
  <c r="CB107" i="4"/>
  <c r="CC57" i="4"/>
  <c r="CD55" i="4"/>
  <c r="CC56" i="4"/>
  <c r="CC106" i="4"/>
  <c r="AB10" i="4"/>
  <c r="AA9" i="4"/>
  <c r="AB103" i="4"/>
  <c r="AC104" i="4"/>
  <c r="AA151" i="4"/>
  <c r="AB152" i="4"/>
  <c r="BQ59" i="1"/>
  <c r="BQ16" i="1"/>
  <c r="FO55" i="1" l="1"/>
  <c r="BQ17" i="1"/>
  <c r="BR17" i="1"/>
  <c r="BQ60" i="1"/>
  <c r="BR60" i="1"/>
  <c r="FQ55" i="1"/>
  <c r="FQ106" i="1" s="1"/>
  <c r="FQ109" i="1" s="1"/>
  <c r="FO106" i="1"/>
  <c r="FN57" i="1"/>
  <c r="FN58" i="1"/>
  <c r="FN106" i="1"/>
  <c r="FI108" i="1"/>
  <c r="FG109" i="1"/>
  <c r="FG108" i="1"/>
  <c r="FH58" i="1"/>
  <c r="FH57" i="1"/>
  <c r="FH106" i="1"/>
  <c r="FJ109" i="1"/>
  <c r="FJ108" i="1"/>
  <c r="BH10" i="5"/>
  <c r="BG9" i="5"/>
  <c r="BG53" i="5"/>
  <c r="BF52" i="5"/>
  <c r="BH104" i="5"/>
  <c r="BG103" i="5"/>
  <c r="AC10" i="4"/>
  <c r="AB9" i="4"/>
  <c r="AC152" i="4"/>
  <c r="AB151" i="4"/>
  <c r="AC103" i="4"/>
  <c r="AD104" i="4"/>
  <c r="CC107" i="4"/>
  <c r="CC108" i="4"/>
  <c r="CD57" i="4"/>
  <c r="CD56" i="4"/>
  <c r="CE55" i="4"/>
  <c r="CD106" i="4"/>
  <c r="AB52" i="4"/>
  <c r="AC53" i="4"/>
  <c r="BR163" i="1"/>
  <c r="BR107" i="1"/>
  <c r="BR112" i="1"/>
  <c r="BR110" i="1"/>
  <c r="BR105" i="1"/>
  <c r="BR70" i="1"/>
  <c r="BR66" i="1"/>
  <c r="BR62" i="1"/>
  <c r="BR19" i="1"/>
  <c r="BR113" i="1" s="1"/>
  <c r="BS163" i="1"/>
  <c r="BS107" i="1"/>
  <c r="BS112" i="1"/>
  <c r="BS110" i="1"/>
  <c r="BS105" i="1"/>
  <c r="BS70" i="1"/>
  <c r="BS66" i="1"/>
  <c r="BS62" i="1"/>
  <c r="BS19" i="1"/>
  <c r="BS113" i="1" s="1"/>
  <c r="BP12" i="1"/>
  <c r="BQ12" i="1" s="1"/>
  <c r="BT12" i="1" s="1"/>
  <c r="BP163" i="1"/>
  <c r="BP107" i="1"/>
  <c r="BP112" i="1"/>
  <c r="BP110" i="1"/>
  <c r="BP105" i="1"/>
  <c r="BP70" i="1"/>
  <c r="BP66" i="1"/>
  <c r="BP62" i="1"/>
  <c r="BP19" i="1"/>
  <c r="BP113" i="1" s="1"/>
  <c r="BQ163" i="1"/>
  <c r="BQ107" i="1"/>
  <c r="BQ112" i="1"/>
  <c r="BQ110" i="1"/>
  <c r="BQ105" i="1"/>
  <c r="BQ70" i="1"/>
  <c r="BQ66" i="1"/>
  <c r="BQ62" i="1"/>
  <c r="BQ19" i="1"/>
  <c r="BQ113" i="1" s="1"/>
  <c r="BQ111" i="1" l="1"/>
  <c r="BR111" i="1"/>
  <c r="FR55" i="1"/>
  <c r="FQ58" i="1"/>
  <c r="FQ57" i="1"/>
  <c r="BS111" i="1"/>
  <c r="BT111" i="1"/>
  <c r="FO58" i="1"/>
  <c r="FO57" i="1"/>
  <c r="FK106" i="1"/>
  <c r="FK58" i="1"/>
  <c r="FK57" i="1"/>
  <c r="FN109" i="1"/>
  <c r="FN108" i="1"/>
  <c r="FH109" i="1"/>
  <c r="FH108" i="1"/>
  <c r="BI104" i="5"/>
  <c r="BH103" i="5"/>
  <c r="BG52" i="5"/>
  <c r="BH53" i="5"/>
  <c r="BI10" i="5"/>
  <c r="BH9" i="5"/>
  <c r="CE56" i="4"/>
  <c r="CE57" i="4"/>
  <c r="CM55" i="4"/>
  <c r="CE106" i="4"/>
  <c r="CD107" i="4"/>
  <c r="CD108" i="4"/>
  <c r="AD103" i="4"/>
  <c r="AE104" i="4"/>
  <c r="AD152" i="4"/>
  <c r="AC151" i="4"/>
  <c r="AD53" i="4"/>
  <c r="AC52" i="4"/>
  <c r="AC9" i="4"/>
  <c r="AD10" i="4"/>
  <c r="BT14" i="1"/>
  <c r="BU12" i="1"/>
  <c r="BU14" i="1" s="1"/>
  <c r="BT15" i="1"/>
  <c r="BR14" i="1"/>
  <c r="BR15" i="1"/>
  <c r="BS15" i="1"/>
  <c r="BS14" i="1"/>
  <c r="FR58" i="1" l="1"/>
  <c r="FU55" i="1"/>
  <c r="FV55" i="1" s="1"/>
  <c r="FR106" i="1"/>
  <c r="FR109" i="1" s="1"/>
  <c r="FZ106" i="1"/>
  <c r="FR57" i="1"/>
  <c r="FQ108" i="1"/>
  <c r="FS58" i="1"/>
  <c r="FS57" i="1"/>
  <c r="FL106" i="1"/>
  <c r="FL58" i="1"/>
  <c r="FL57" i="1"/>
  <c r="FK108" i="1"/>
  <c r="FK109" i="1"/>
  <c r="FP58" i="1"/>
  <c r="FP57" i="1"/>
  <c r="FO109" i="1"/>
  <c r="FO108" i="1"/>
  <c r="BU15" i="1"/>
  <c r="BI9" i="5"/>
  <c r="BJ10" i="5"/>
  <c r="BI53" i="5"/>
  <c r="BH52" i="5"/>
  <c r="BI103" i="5"/>
  <c r="BJ104" i="5"/>
  <c r="AE152" i="4"/>
  <c r="AD151" i="4"/>
  <c r="AD9" i="4"/>
  <c r="AE10" i="4"/>
  <c r="AE53" i="4"/>
  <c r="AD52" i="4"/>
  <c r="AE103" i="4"/>
  <c r="AF104" i="4"/>
  <c r="CE107" i="4"/>
  <c r="CE108" i="4"/>
  <c r="CM106" i="4"/>
  <c r="BV12" i="1"/>
  <c r="BW12" i="1" s="1"/>
  <c r="BX12" i="1" s="1"/>
  <c r="CA12" i="1" s="1"/>
  <c r="BO59" i="1"/>
  <c r="BO16" i="1"/>
  <c r="FW55" i="1" l="1"/>
  <c r="FV57" i="1"/>
  <c r="FV58" i="1"/>
  <c r="FZ109" i="1"/>
  <c r="FZ108" i="1"/>
  <c r="FU57" i="1"/>
  <c r="FU58" i="1"/>
  <c r="FU106" i="1"/>
  <c r="FR108" i="1"/>
  <c r="BP17" i="1"/>
  <c r="BP60" i="1"/>
  <c r="FS108" i="1"/>
  <c r="FP108" i="1"/>
  <c r="FT58" i="1"/>
  <c r="FT57" i="1"/>
  <c r="FM106" i="1"/>
  <c r="FM57" i="1"/>
  <c r="FM58" i="1"/>
  <c r="FL109" i="1"/>
  <c r="FL108" i="1"/>
  <c r="BJ53" i="5"/>
  <c r="BI52" i="5"/>
  <c r="BJ9" i="5"/>
  <c r="BK10" i="5"/>
  <c r="BK104" i="5"/>
  <c r="BJ103" i="5"/>
  <c r="BV14" i="1"/>
  <c r="BV15" i="1"/>
  <c r="AF53" i="4"/>
  <c r="AE52" i="4"/>
  <c r="AG104" i="4"/>
  <c r="AF103" i="4"/>
  <c r="AF10" i="4"/>
  <c r="AE9" i="4"/>
  <c r="AE151" i="4"/>
  <c r="AF152" i="4"/>
  <c r="CB12" i="1"/>
  <c r="CC12" i="1" s="1"/>
  <c r="CD12" i="1" s="1"/>
  <c r="BY15" i="1"/>
  <c r="BY14" i="1"/>
  <c r="BZ15" i="1"/>
  <c r="BZ14" i="1"/>
  <c r="CA15" i="1"/>
  <c r="CA14" i="1"/>
  <c r="BW14" i="1"/>
  <c r="BW15" i="1"/>
  <c r="BX15" i="1"/>
  <c r="BX14" i="1"/>
  <c r="BN59" i="1"/>
  <c r="BN16" i="1"/>
  <c r="G15" i="3"/>
  <c r="G11" i="3"/>
  <c r="G10" i="3"/>
  <c r="G6" i="3"/>
  <c r="G7" i="3"/>
  <c r="G9" i="3" s="1"/>
  <c r="E12" i="3"/>
  <c r="E9" i="3"/>
  <c r="E8" i="3"/>
  <c r="BN12" i="1"/>
  <c r="C12" i="3"/>
  <c r="C9" i="3"/>
  <c r="C8" i="3"/>
  <c r="BM59" i="1"/>
  <c r="BM16" i="1"/>
  <c r="FX55" i="1" l="1"/>
  <c r="FW57" i="1"/>
  <c r="FW58" i="1"/>
  <c r="FW106" i="1"/>
  <c r="FU109" i="1"/>
  <c r="FU108" i="1"/>
  <c r="FV106" i="1"/>
  <c r="BN17" i="1"/>
  <c r="BN60" i="1"/>
  <c r="BO60" i="1"/>
  <c r="BO17" i="1"/>
  <c r="FM108" i="1"/>
  <c r="FM109" i="1"/>
  <c r="FT108" i="1"/>
  <c r="BL10" i="5"/>
  <c r="BK9" i="5"/>
  <c r="BK53" i="5"/>
  <c r="BJ52" i="5"/>
  <c r="BL104" i="5"/>
  <c r="BK103" i="5"/>
  <c r="AF151" i="4"/>
  <c r="AG152" i="4"/>
  <c r="AG10" i="4"/>
  <c r="AF9" i="4"/>
  <c r="AH104" i="4"/>
  <c r="AG103" i="4"/>
  <c r="AG53" i="4"/>
  <c r="AF52" i="4"/>
  <c r="CE12" i="1"/>
  <c r="CE15" i="1" s="1"/>
  <c r="CB15" i="1"/>
  <c r="CB14" i="1"/>
  <c r="CC15" i="1"/>
  <c r="CC14" i="1"/>
  <c r="BQ15" i="1"/>
  <c r="BQ14" i="1"/>
  <c r="G12" i="3"/>
  <c r="G8" i="3"/>
  <c r="GC57" i="1" l="1"/>
  <c r="GC58" i="1"/>
  <c r="GC106" i="1"/>
  <c r="FW109" i="1"/>
  <c r="FW108" i="1"/>
  <c r="FY55" i="1"/>
  <c r="FX57" i="1"/>
  <c r="FX58" i="1"/>
  <c r="FX106" i="1"/>
  <c r="FV108" i="1"/>
  <c r="FV109" i="1"/>
  <c r="BM104" i="5"/>
  <c r="BL103" i="5"/>
  <c r="BK52" i="5"/>
  <c r="BL53" i="5"/>
  <c r="BM10" i="5"/>
  <c r="BL9" i="5"/>
  <c r="CE14" i="1"/>
  <c r="AH53" i="4"/>
  <c r="AG52" i="4"/>
  <c r="AH103" i="4"/>
  <c r="AI104" i="4"/>
  <c r="AH10" i="4"/>
  <c r="AG9" i="4"/>
  <c r="AH152" i="4"/>
  <c r="AG151" i="4"/>
  <c r="CH15" i="1"/>
  <c r="CH14" i="1"/>
  <c r="CD15" i="1"/>
  <c r="CD14" i="1"/>
  <c r="BL59" i="1"/>
  <c r="BK59" i="1"/>
  <c r="BK16" i="1"/>
  <c r="BL16" i="1"/>
  <c r="GD58" i="1" l="1"/>
  <c r="GD57" i="1"/>
  <c r="GC108" i="1"/>
  <c r="GC109" i="1"/>
  <c r="FX109" i="1"/>
  <c r="FX108" i="1"/>
  <c r="FY57" i="1"/>
  <c r="FY58" i="1"/>
  <c r="FY106" i="1"/>
  <c r="BL17" i="1"/>
  <c r="BM17" i="1"/>
  <c r="BL60" i="1"/>
  <c r="BM60" i="1"/>
  <c r="BM9" i="5"/>
  <c r="BN10" i="5"/>
  <c r="BM53" i="5"/>
  <c r="BL52" i="5"/>
  <c r="BM103" i="5"/>
  <c r="BN104" i="5"/>
  <c r="AH151" i="4"/>
  <c r="AI152" i="4"/>
  <c r="AI10" i="4"/>
  <c r="AH9" i="4"/>
  <c r="AJ104" i="4"/>
  <c r="AI103" i="4"/>
  <c r="AI53" i="4"/>
  <c r="AH52" i="4"/>
  <c r="CF14" i="1"/>
  <c r="CF15" i="1"/>
  <c r="CI14" i="1"/>
  <c r="CI15" i="1"/>
  <c r="BK163" i="1"/>
  <c r="BK107" i="1"/>
  <c r="BK112" i="1"/>
  <c r="BK110" i="1"/>
  <c r="BK106" i="1"/>
  <c r="BK105" i="1"/>
  <c r="BK70" i="1"/>
  <c r="BK66" i="1"/>
  <c r="BK62" i="1"/>
  <c r="BK58" i="1"/>
  <c r="BK19" i="1"/>
  <c r="BK113" i="1" s="1"/>
  <c r="BK15" i="1"/>
  <c r="BL163" i="1"/>
  <c r="BL107" i="1"/>
  <c r="BL112" i="1"/>
  <c r="BL110" i="1"/>
  <c r="BL105" i="1"/>
  <c r="BL70" i="1"/>
  <c r="BL66" i="1"/>
  <c r="BL62" i="1"/>
  <c r="BL19" i="1"/>
  <c r="BM163" i="1"/>
  <c r="BM107" i="1"/>
  <c r="BM112" i="1"/>
  <c r="BM110" i="1"/>
  <c r="BM105" i="1"/>
  <c r="BM70" i="1"/>
  <c r="BM66" i="1"/>
  <c r="BM62" i="1"/>
  <c r="BM19" i="1"/>
  <c r="BN163" i="1"/>
  <c r="BN107" i="1"/>
  <c r="BN112" i="1"/>
  <c r="BN110" i="1"/>
  <c r="BN105" i="1"/>
  <c r="BN70" i="1"/>
  <c r="BN66" i="1"/>
  <c r="BN62" i="1"/>
  <c r="BN19" i="1"/>
  <c r="BO163" i="1"/>
  <c r="BO107" i="1"/>
  <c r="BO112" i="1"/>
  <c r="BO110" i="1"/>
  <c r="BO105" i="1"/>
  <c r="BO70" i="1"/>
  <c r="BO66" i="1"/>
  <c r="BO62" i="1"/>
  <c r="BO19" i="1"/>
  <c r="BO113" i="1" l="1"/>
  <c r="BM113" i="1"/>
  <c r="FY109" i="1"/>
  <c r="FY108" i="1"/>
  <c r="BL111" i="1"/>
  <c r="GB58" i="1"/>
  <c r="GB57" i="1"/>
  <c r="GB106" i="1"/>
  <c r="BL113" i="1"/>
  <c r="BN113" i="1"/>
  <c r="BN111" i="1"/>
  <c r="BO111" i="1"/>
  <c r="BP111" i="1"/>
  <c r="BM111" i="1"/>
  <c r="BN9" i="5"/>
  <c r="BO10" i="5"/>
  <c r="BN103" i="5"/>
  <c r="BO104" i="5"/>
  <c r="BM52" i="5"/>
  <c r="BN53" i="5"/>
  <c r="AI52" i="4"/>
  <c r="AJ53" i="4"/>
  <c r="AK104" i="4"/>
  <c r="AJ103" i="4"/>
  <c r="AJ10" i="4"/>
  <c r="AI9" i="4"/>
  <c r="AI151" i="4"/>
  <c r="AJ152" i="4"/>
  <c r="CJ15" i="1"/>
  <c r="CJ14" i="1"/>
  <c r="CG14" i="1"/>
  <c r="CG15" i="1"/>
  <c r="BK109" i="1"/>
  <c r="BK108" i="1"/>
  <c r="BK57" i="1"/>
  <c r="BK14" i="1"/>
  <c r="BJ59" i="1"/>
  <c r="BJ16" i="1"/>
  <c r="GB108" i="1" l="1"/>
  <c r="GB109" i="1"/>
  <c r="GT57" i="1"/>
  <c r="GT58" i="1"/>
  <c r="BK17" i="1"/>
  <c r="BK60" i="1"/>
  <c r="BP104" i="5"/>
  <c r="BO103" i="5"/>
  <c r="BP10" i="5"/>
  <c r="BO9" i="5"/>
  <c r="BO53" i="5"/>
  <c r="BN52" i="5"/>
  <c r="AK152" i="4"/>
  <c r="AJ151" i="4"/>
  <c r="AK10" i="4"/>
  <c r="AJ9" i="4"/>
  <c r="AL104" i="4"/>
  <c r="AK103" i="4"/>
  <c r="AK53" i="4"/>
  <c r="AJ52" i="4"/>
  <c r="BI59" i="1"/>
  <c r="BI16" i="1"/>
  <c r="BJ60" i="1" l="1"/>
  <c r="BJ17" i="1"/>
  <c r="BP53" i="5"/>
  <c r="BO52" i="5"/>
  <c r="BP9" i="5"/>
  <c r="BQ10" i="5"/>
  <c r="BP103" i="5"/>
  <c r="BQ104" i="5"/>
  <c r="AL53" i="4"/>
  <c r="AK52" i="4"/>
  <c r="AM104" i="4"/>
  <c r="AL103" i="4"/>
  <c r="AK9" i="4"/>
  <c r="AL10" i="4"/>
  <c r="AL152" i="4"/>
  <c r="AK151" i="4"/>
  <c r="BH59" i="1"/>
  <c r="BH16" i="1"/>
  <c r="BH12" i="1"/>
  <c r="BI163" i="1"/>
  <c r="BI107" i="1"/>
  <c r="BI112" i="1"/>
  <c r="BI110" i="1"/>
  <c r="BI105" i="1"/>
  <c r="BI70" i="1"/>
  <c r="BI66" i="1"/>
  <c r="BI62" i="1"/>
  <c r="BI19" i="1"/>
  <c r="BJ163" i="1"/>
  <c r="BJ107" i="1"/>
  <c r="BJ112" i="1"/>
  <c r="BJ110" i="1"/>
  <c r="BJ105" i="1"/>
  <c r="BJ70" i="1"/>
  <c r="BJ66" i="1"/>
  <c r="BJ62" i="1"/>
  <c r="BJ19" i="1"/>
  <c r="BI113" i="1" l="1"/>
  <c r="BJ113" i="1"/>
  <c r="BJ111" i="1"/>
  <c r="BK111" i="1"/>
  <c r="BI60" i="1"/>
  <c r="BI17" i="1"/>
  <c r="BR10" i="5"/>
  <c r="BQ9" i="5"/>
  <c r="BP52" i="5"/>
  <c r="BQ53" i="5"/>
  <c r="BR104" i="5"/>
  <c r="BQ103" i="5"/>
  <c r="AM152" i="4"/>
  <c r="AL151" i="4"/>
  <c r="AL9" i="4"/>
  <c r="AM10" i="4"/>
  <c r="AN104" i="4"/>
  <c r="AM103" i="4"/>
  <c r="AM53" i="4"/>
  <c r="AL52" i="4"/>
  <c r="BI12" i="1"/>
  <c r="BR103" i="5" l="1"/>
  <c r="BS104" i="5"/>
  <c r="BQ52" i="5"/>
  <c r="BR53" i="5"/>
  <c r="BR9" i="5"/>
  <c r="BS10" i="5"/>
  <c r="AN53" i="4"/>
  <c r="AM52" i="4"/>
  <c r="AN103" i="4"/>
  <c r="AO104" i="4"/>
  <c r="AM9" i="4"/>
  <c r="AN10" i="4"/>
  <c r="AM151" i="4"/>
  <c r="AN152" i="4"/>
  <c r="BN15" i="1"/>
  <c r="BN14" i="1"/>
  <c r="BJ12" i="1"/>
  <c r="BM12" i="1" s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CN105" i="1"/>
  <c r="BG59" i="1"/>
  <c r="BG16" i="1"/>
  <c r="BH17" i="1" l="1"/>
  <c r="BH60" i="1"/>
  <c r="BT10" i="5"/>
  <c r="BS9" i="5"/>
  <c r="BS53" i="5"/>
  <c r="BR52" i="5"/>
  <c r="BT104" i="5"/>
  <c r="BS103" i="5"/>
  <c r="AN151" i="4"/>
  <c r="AO152" i="4"/>
  <c r="AO10" i="4"/>
  <c r="AN9" i="4"/>
  <c r="AO103" i="4"/>
  <c r="AP104" i="4"/>
  <c r="AN52" i="4"/>
  <c r="AO53" i="4"/>
  <c r="BM15" i="1"/>
  <c r="BM14" i="1"/>
  <c r="BO15" i="1"/>
  <c r="BO14" i="1"/>
  <c r="BJ14" i="1"/>
  <c r="BJ15" i="1"/>
  <c r="BF59" i="1"/>
  <c r="BG60" i="1" s="1"/>
  <c r="BE59" i="1"/>
  <c r="BD59" i="1"/>
  <c r="BE16" i="1"/>
  <c r="BD16" i="1"/>
  <c r="BF16" i="1"/>
  <c r="BF17" i="1" s="1"/>
  <c r="BE17" i="1" l="1"/>
  <c r="BE60" i="1"/>
  <c r="BF60" i="1"/>
  <c r="BG17" i="1"/>
  <c r="BT53" i="5"/>
  <c r="BS52" i="5"/>
  <c r="BU10" i="5"/>
  <c r="BT9" i="5"/>
  <c r="BU104" i="5"/>
  <c r="BT103" i="5"/>
  <c r="AO9" i="4"/>
  <c r="AP10" i="4"/>
  <c r="AP152" i="4"/>
  <c r="AO151" i="4"/>
  <c r="AO52" i="4"/>
  <c r="AP53" i="4"/>
  <c r="AP103" i="4"/>
  <c r="AQ104" i="4"/>
  <c r="BP15" i="1"/>
  <c r="BP14" i="1"/>
  <c r="BG163" i="1"/>
  <c r="BG107" i="1"/>
  <c r="BG112" i="1"/>
  <c r="BG110" i="1"/>
  <c r="BG70" i="1"/>
  <c r="BG66" i="1"/>
  <c r="BG62" i="1"/>
  <c r="BG19" i="1"/>
  <c r="BG113" i="1" s="1"/>
  <c r="BG15" i="1"/>
  <c r="BH163" i="1"/>
  <c r="BH107" i="1"/>
  <c r="BH112" i="1"/>
  <c r="BH110" i="1"/>
  <c r="BH70" i="1"/>
  <c r="BH66" i="1"/>
  <c r="BH62" i="1"/>
  <c r="BH19" i="1"/>
  <c r="BH113" i="1" l="1"/>
  <c r="BH111" i="1"/>
  <c r="BI111" i="1"/>
  <c r="BV10" i="5"/>
  <c r="BU9" i="5"/>
  <c r="BV104" i="5"/>
  <c r="BU103" i="5"/>
  <c r="BU53" i="5"/>
  <c r="BT52" i="5"/>
  <c r="AQ103" i="4"/>
  <c r="AR104" i="4"/>
  <c r="AP52" i="4"/>
  <c r="AQ53" i="4"/>
  <c r="AQ152" i="4"/>
  <c r="AP151" i="4"/>
  <c r="AQ10" i="4"/>
  <c r="AP9" i="4"/>
  <c r="BG14" i="1"/>
  <c r="BH14" i="1"/>
  <c r="BH15" i="1"/>
  <c r="BC59" i="1"/>
  <c r="BC16" i="1"/>
  <c r="BD17" i="1" l="1"/>
  <c r="BD60" i="1"/>
  <c r="BW104" i="5"/>
  <c r="BV103" i="5"/>
  <c r="BV9" i="5"/>
  <c r="BW10" i="5"/>
  <c r="BV53" i="5"/>
  <c r="BU52" i="5"/>
  <c r="AR10" i="4"/>
  <c r="AQ9" i="4"/>
  <c r="AQ151" i="4"/>
  <c r="AR152" i="4"/>
  <c r="AQ52" i="4"/>
  <c r="AR53" i="4"/>
  <c r="AR103" i="4"/>
  <c r="AS104" i="4"/>
  <c r="BE106" i="1"/>
  <c r="BD106" i="1"/>
  <c r="AZ106" i="1"/>
  <c r="BX10" i="5" l="1"/>
  <c r="BW9" i="5"/>
  <c r="BW103" i="5"/>
  <c r="BX104" i="5"/>
  <c r="BW53" i="5"/>
  <c r="BV52" i="5"/>
  <c r="AT104" i="4"/>
  <c r="AS103" i="4"/>
  <c r="AR52" i="4"/>
  <c r="AS53" i="4"/>
  <c r="AR151" i="4"/>
  <c r="AS152" i="4"/>
  <c r="AS10" i="4"/>
  <c r="AR9" i="4"/>
  <c r="BE163" i="1"/>
  <c r="BE107" i="1"/>
  <c r="BE112" i="1"/>
  <c r="BE110" i="1"/>
  <c r="BE70" i="1"/>
  <c r="BE66" i="1"/>
  <c r="BE62" i="1"/>
  <c r="BE19" i="1"/>
  <c r="BE113" i="1" s="1"/>
  <c r="BF163" i="1"/>
  <c r="BF107" i="1"/>
  <c r="BF112" i="1"/>
  <c r="BF110" i="1"/>
  <c r="BF70" i="1"/>
  <c r="BF66" i="1"/>
  <c r="BF62" i="1"/>
  <c r="BF19" i="1"/>
  <c r="BF113" i="1" s="1"/>
  <c r="BB59" i="1"/>
  <c r="BB16" i="1"/>
  <c r="BC17" i="1" l="1"/>
  <c r="BC60" i="1"/>
  <c r="BF111" i="1"/>
  <c r="BG111" i="1"/>
  <c r="BY104" i="5"/>
  <c r="BX103" i="5"/>
  <c r="BX9" i="5"/>
  <c r="BY10" i="5"/>
  <c r="BX53" i="5"/>
  <c r="BW52" i="5"/>
  <c r="AT10" i="4"/>
  <c r="AS9" i="4"/>
  <c r="AS151" i="4"/>
  <c r="AT152" i="4"/>
  <c r="AT53" i="4"/>
  <c r="AS52" i="4"/>
  <c r="AT103" i="4"/>
  <c r="AU104" i="4"/>
  <c r="BZ10" i="5" l="1"/>
  <c r="BY9" i="5"/>
  <c r="BZ104" i="5"/>
  <c r="BY103" i="5"/>
  <c r="BY53" i="5"/>
  <c r="BX52" i="5"/>
  <c r="AU152" i="4"/>
  <c r="AT151" i="4"/>
  <c r="AU10" i="4"/>
  <c r="AT9" i="4"/>
  <c r="AU103" i="4"/>
  <c r="AV104" i="4"/>
  <c r="AU53" i="4"/>
  <c r="AT52" i="4"/>
  <c r="BA59" i="1"/>
  <c r="BA16" i="1"/>
  <c r="BB17" i="1" l="1"/>
  <c r="BB60" i="1"/>
  <c r="BZ103" i="5"/>
  <c r="CA104" i="5"/>
  <c r="CA10" i="5"/>
  <c r="BZ9" i="5"/>
  <c r="BY52" i="5"/>
  <c r="BZ53" i="5"/>
  <c r="AV10" i="4"/>
  <c r="AU9" i="4"/>
  <c r="AV152" i="4"/>
  <c r="AU151" i="4"/>
  <c r="AV53" i="4"/>
  <c r="AU52" i="4"/>
  <c r="AW104" i="4"/>
  <c r="AV103" i="4"/>
  <c r="AZ15" i="1"/>
  <c r="CB10" i="5" l="1"/>
  <c r="CA9" i="5"/>
  <c r="CB104" i="5"/>
  <c r="CA103" i="5"/>
  <c r="BZ52" i="5"/>
  <c r="CA53" i="5"/>
  <c r="AV151" i="4"/>
  <c r="AW152" i="4"/>
  <c r="AW10" i="4"/>
  <c r="AV9" i="4"/>
  <c r="AW103" i="4"/>
  <c r="AX104" i="4"/>
  <c r="AW53" i="4"/>
  <c r="AV52" i="4"/>
  <c r="AZ59" i="1"/>
  <c r="AY59" i="1"/>
  <c r="AX59" i="1"/>
  <c r="AW59" i="1"/>
  <c r="AX60" i="1" l="1"/>
  <c r="AY60" i="1"/>
  <c r="AZ60" i="1"/>
  <c r="BA60" i="1"/>
  <c r="CB103" i="5"/>
  <c r="CC104" i="5"/>
  <c r="CB9" i="5"/>
  <c r="CC10" i="5"/>
  <c r="CB53" i="5"/>
  <c r="CA52" i="5"/>
  <c r="AX10" i="4"/>
  <c r="AW9" i="4"/>
  <c r="AW151" i="4"/>
  <c r="AX152" i="4"/>
  <c r="AX53" i="4"/>
  <c r="AW52" i="4"/>
  <c r="AY104" i="4"/>
  <c r="AX103" i="4"/>
  <c r="AW16" i="1"/>
  <c r="AX16" i="1"/>
  <c r="AY16" i="1"/>
  <c r="AZ16" i="1"/>
  <c r="AY17" i="1" l="1"/>
  <c r="AX17" i="1"/>
  <c r="AZ17" i="1"/>
  <c r="BA17" i="1"/>
  <c r="CC53" i="5"/>
  <c r="CB52" i="5"/>
  <c r="CD10" i="5"/>
  <c r="CC9" i="5"/>
  <c r="CC103" i="5"/>
  <c r="CD104" i="5"/>
  <c r="AX151" i="4"/>
  <c r="AY152" i="4"/>
  <c r="AX9" i="4"/>
  <c r="AY10" i="4"/>
  <c r="AZ104" i="4"/>
  <c r="AY103" i="4"/>
  <c r="AY53" i="4"/>
  <c r="AX52" i="4"/>
  <c r="BA55" i="1"/>
  <c r="BB55" i="1" s="1"/>
  <c r="BA12" i="1"/>
  <c r="BB163" i="1"/>
  <c r="BB107" i="1"/>
  <c r="BB112" i="1"/>
  <c r="BB110" i="1"/>
  <c r="BB111" i="1" s="1"/>
  <c r="BB70" i="1"/>
  <c r="BB66" i="1"/>
  <c r="BB62" i="1"/>
  <c r="BB19" i="1"/>
  <c r="BC163" i="1"/>
  <c r="BC107" i="1"/>
  <c r="BC112" i="1"/>
  <c r="BC110" i="1"/>
  <c r="BC70" i="1"/>
  <c r="BC66" i="1"/>
  <c r="BC62" i="1"/>
  <c r="BC19" i="1"/>
  <c r="BD163" i="1"/>
  <c r="BD107" i="1"/>
  <c r="BD112" i="1"/>
  <c r="BD110" i="1"/>
  <c r="BD70" i="1"/>
  <c r="BD66" i="1"/>
  <c r="BD62" i="1"/>
  <c r="BD19" i="1"/>
  <c r="AY106" i="1"/>
  <c r="AY109" i="1" s="1"/>
  <c r="AX106" i="1"/>
  <c r="AX109" i="1" s="1"/>
  <c r="AW106" i="1"/>
  <c r="AW109" i="1" s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K60" i="1" s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R16" i="1"/>
  <c r="S16" i="1"/>
  <c r="T16" i="1"/>
  <c r="U16" i="1"/>
  <c r="Q16" i="1"/>
  <c r="P16" i="1"/>
  <c r="O16" i="1"/>
  <c r="N16" i="1"/>
  <c r="N17" i="1" s="1"/>
  <c r="G17" i="1"/>
  <c r="H17" i="1"/>
  <c r="I17" i="1"/>
  <c r="J17" i="1"/>
  <c r="M16" i="1"/>
  <c r="L16" i="1"/>
  <c r="L19" i="1" s="1"/>
  <c r="K16" i="1"/>
  <c r="F110" i="1"/>
  <c r="G110" i="1"/>
  <c r="H110" i="1"/>
  <c r="I110" i="1"/>
  <c r="J110" i="1"/>
  <c r="G60" i="1"/>
  <c r="H60" i="1"/>
  <c r="I60" i="1"/>
  <c r="J60" i="1"/>
  <c r="F62" i="1"/>
  <c r="G62" i="1"/>
  <c r="H62" i="1"/>
  <c r="I62" i="1"/>
  <c r="J6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F19" i="1"/>
  <c r="F113" i="1" s="1"/>
  <c r="G19" i="1"/>
  <c r="G113" i="1" s="1"/>
  <c r="H19" i="1"/>
  <c r="I19" i="1"/>
  <c r="J19" i="1"/>
  <c r="AV59" i="1"/>
  <c r="AV16" i="1"/>
  <c r="AW17" i="1" s="1"/>
  <c r="CN110" i="1"/>
  <c r="BA110" i="1"/>
  <c r="AZ110" i="1"/>
  <c r="AY110" i="1"/>
  <c r="AX110" i="1"/>
  <c r="AW110" i="1"/>
  <c r="AR59" i="1"/>
  <c r="AQ59" i="1"/>
  <c r="AP59" i="1"/>
  <c r="AO59" i="1"/>
  <c r="AN59" i="1"/>
  <c r="AM59" i="1"/>
  <c r="AL59" i="1"/>
  <c r="AK59" i="1"/>
  <c r="AS59" i="1"/>
  <c r="AT59" i="1"/>
  <c r="AU59" i="1"/>
  <c r="CN112" i="1"/>
  <c r="BA112" i="1"/>
  <c r="AZ112" i="1"/>
  <c r="AY112" i="1"/>
  <c r="AX112" i="1"/>
  <c r="BA62" i="1"/>
  <c r="AZ62" i="1"/>
  <c r="AY62" i="1"/>
  <c r="AX62" i="1"/>
  <c r="AW62" i="1"/>
  <c r="GT60" i="1"/>
  <c r="AW58" i="1"/>
  <c r="AX58" i="1"/>
  <c r="AY58" i="1"/>
  <c r="AW15" i="1"/>
  <c r="AX15" i="1"/>
  <c r="AY15" i="1"/>
  <c r="AY163" i="1"/>
  <c r="AY107" i="1"/>
  <c r="AY70" i="1"/>
  <c r="AY66" i="1"/>
  <c r="AY19" i="1"/>
  <c r="AY113" i="1" s="1"/>
  <c r="AZ163" i="1"/>
  <c r="AZ107" i="1"/>
  <c r="AZ70" i="1"/>
  <c r="AZ66" i="1"/>
  <c r="AZ19" i="1"/>
  <c r="BA163" i="1"/>
  <c r="BA107" i="1"/>
  <c r="BA70" i="1"/>
  <c r="BA66" i="1"/>
  <c r="BA19" i="1"/>
  <c r="AV163" i="1"/>
  <c r="AV107" i="1"/>
  <c r="AV70" i="1"/>
  <c r="AV66" i="1"/>
  <c r="AW163" i="1"/>
  <c r="AW107" i="1"/>
  <c r="AW70" i="1"/>
  <c r="AW66" i="1"/>
  <c r="AW19" i="1"/>
  <c r="AW113" i="1" s="1"/>
  <c r="AX163" i="1"/>
  <c r="AX107" i="1"/>
  <c r="AX70" i="1"/>
  <c r="AX66" i="1"/>
  <c r="AX19" i="1"/>
  <c r="AX113" i="1" s="1"/>
  <c r="BB113" i="1" l="1"/>
  <c r="AT60" i="1"/>
  <c r="I113" i="1"/>
  <c r="BC113" i="1"/>
  <c r="H113" i="1"/>
  <c r="BD113" i="1"/>
  <c r="T17" i="1"/>
  <c r="J113" i="1"/>
  <c r="AZ113" i="1"/>
  <c r="BA113" i="1"/>
  <c r="S17" i="1"/>
  <c r="X60" i="1"/>
  <c r="P60" i="1"/>
  <c r="AB60" i="1"/>
  <c r="AF60" i="1"/>
  <c r="AZ111" i="1"/>
  <c r="AH17" i="1"/>
  <c r="AM62" i="1"/>
  <c r="AM60" i="1"/>
  <c r="Y19" i="1"/>
  <c r="Y17" i="1"/>
  <c r="W62" i="1"/>
  <c r="W60" i="1"/>
  <c r="AI62" i="1"/>
  <c r="AI60" i="1"/>
  <c r="Z19" i="1"/>
  <c r="Z17" i="1"/>
  <c r="L62" i="1"/>
  <c r="L113" i="1" s="1"/>
  <c r="L60" i="1"/>
  <c r="AJ62" i="1"/>
  <c r="AJ60" i="1"/>
  <c r="AV62" i="1"/>
  <c r="AV60" i="1"/>
  <c r="AW60" i="1"/>
  <c r="O17" i="1"/>
  <c r="AA19" i="1"/>
  <c r="AA17" i="1"/>
  <c r="M60" i="1"/>
  <c r="Y60" i="1"/>
  <c r="AP60" i="1"/>
  <c r="P19" i="1"/>
  <c r="P17" i="1"/>
  <c r="AB19" i="1"/>
  <c r="AB17" i="1"/>
  <c r="N62" i="1"/>
  <c r="N60" i="1"/>
  <c r="Z62" i="1"/>
  <c r="Z60" i="1"/>
  <c r="AQ60" i="1"/>
  <c r="Q17" i="1"/>
  <c r="AC17" i="1"/>
  <c r="O62" i="1"/>
  <c r="O60" i="1"/>
  <c r="AA62" i="1"/>
  <c r="AA60" i="1"/>
  <c r="AN60" i="1"/>
  <c r="AD19" i="1"/>
  <c r="AD17" i="1"/>
  <c r="BC111" i="1"/>
  <c r="AR60" i="1"/>
  <c r="AE17" i="1"/>
  <c r="Q60" i="1"/>
  <c r="AC60" i="1"/>
  <c r="AF19" i="1"/>
  <c r="AF17" i="1"/>
  <c r="R62" i="1"/>
  <c r="R60" i="1"/>
  <c r="AD62" i="1"/>
  <c r="AD60" i="1"/>
  <c r="AX111" i="1"/>
  <c r="AY111" i="1"/>
  <c r="M17" i="1"/>
  <c r="R19" i="1"/>
  <c r="R17" i="1"/>
  <c r="AG19" i="1"/>
  <c r="AG17" i="1"/>
  <c r="S62" i="1"/>
  <c r="S60" i="1"/>
  <c r="AE62" i="1"/>
  <c r="AE60" i="1"/>
  <c r="V19" i="1"/>
  <c r="V17" i="1"/>
  <c r="T62" i="1"/>
  <c r="T60" i="1"/>
  <c r="BD111" i="1"/>
  <c r="BE111" i="1"/>
  <c r="AO62" i="1"/>
  <c r="AO60" i="1"/>
  <c r="AS60" i="1"/>
  <c r="AI17" i="1"/>
  <c r="AG62" i="1"/>
  <c r="AG60" i="1"/>
  <c r="U19" i="1"/>
  <c r="U17" i="1"/>
  <c r="AU62" i="1"/>
  <c r="AU60" i="1"/>
  <c r="AK60" i="1"/>
  <c r="BA111" i="1"/>
  <c r="W19" i="1"/>
  <c r="W17" i="1"/>
  <c r="U60" i="1"/>
  <c r="AL62" i="1"/>
  <c r="AL60" i="1"/>
  <c r="CN111" i="1"/>
  <c r="CO111" i="1"/>
  <c r="X19" i="1"/>
  <c r="X17" i="1"/>
  <c r="AJ17" i="1"/>
  <c r="V60" i="1"/>
  <c r="AH62" i="1"/>
  <c r="AH60" i="1"/>
  <c r="CE104" i="5"/>
  <c r="CD103" i="5"/>
  <c r="CD9" i="5"/>
  <c r="CE10" i="5"/>
  <c r="CC52" i="5"/>
  <c r="CD53" i="5"/>
  <c r="AZ53" i="4"/>
  <c r="AY52" i="4"/>
  <c r="BA104" i="4"/>
  <c r="AZ103" i="4"/>
  <c r="AY9" i="4"/>
  <c r="AZ10" i="4"/>
  <c r="BK152" i="4"/>
  <c r="BK151" i="4" s="1"/>
  <c r="AY151" i="4"/>
  <c r="AZ152" i="4"/>
  <c r="AR62" i="1"/>
  <c r="J111" i="1"/>
  <c r="AC110" i="1"/>
  <c r="BA106" i="1"/>
  <c r="BB12" i="1"/>
  <c r="BC55" i="1"/>
  <c r="BB57" i="1"/>
  <c r="BE15" i="1"/>
  <c r="BE14" i="1"/>
  <c r="BE58" i="1"/>
  <c r="BE57" i="1"/>
  <c r="I111" i="1"/>
  <c r="H111" i="1"/>
  <c r="AV110" i="1"/>
  <c r="AH19" i="1"/>
  <c r="AQ62" i="1"/>
  <c r="GT111" i="1"/>
  <c r="AV19" i="1"/>
  <c r="AV113" i="1" s="1"/>
  <c r="V110" i="1"/>
  <c r="BB58" i="1"/>
  <c r="S110" i="1"/>
  <c r="AI110" i="1"/>
  <c r="AI19" i="1"/>
  <c r="W110" i="1"/>
  <c r="G111" i="1"/>
  <c r="AJ19" i="1"/>
  <c r="AJ110" i="1"/>
  <c r="AE110" i="1"/>
  <c r="N19" i="1"/>
  <c r="K62" i="1"/>
  <c r="K110" i="1"/>
  <c r="K111" i="1" s="1"/>
  <c r="K17" i="1"/>
  <c r="S19" i="1"/>
  <c r="K19" i="1"/>
  <c r="U110" i="1"/>
  <c r="AD110" i="1"/>
  <c r="U62" i="1"/>
  <c r="L17" i="1"/>
  <c r="AE19" i="1"/>
  <c r="AE113" i="1" s="1"/>
  <c r="Q19" i="1"/>
  <c r="AK62" i="1"/>
  <c r="AC19" i="1"/>
  <c r="AC113" i="1" s="1"/>
  <c r="O19" i="1"/>
  <c r="L110" i="1"/>
  <c r="X110" i="1"/>
  <c r="M19" i="1"/>
  <c r="AB110" i="1"/>
  <c r="AH110" i="1"/>
  <c r="AG110" i="1"/>
  <c r="AF110" i="1"/>
  <c r="AF62" i="1"/>
  <c r="X62" i="1"/>
  <c r="V62" i="1"/>
  <c r="Q110" i="1"/>
  <c r="Y62" i="1"/>
  <c r="M62" i="1"/>
  <c r="O110" i="1"/>
  <c r="N110" i="1"/>
  <c r="M110" i="1"/>
  <c r="Z110" i="1"/>
  <c r="AC62" i="1"/>
  <c r="Q62" i="1"/>
  <c r="Y110" i="1"/>
  <c r="AB62" i="1"/>
  <c r="P62" i="1"/>
  <c r="P110" i="1"/>
  <c r="AA110" i="1"/>
  <c r="T19" i="1"/>
  <c r="T110" i="1"/>
  <c r="R110" i="1"/>
  <c r="AP62" i="1"/>
  <c r="AN62" i="1"/>
  <c r="AS62" i="1"/>
  <c r="AT62" i="1"/>
  <c r="AY57" i="1"/>
  <c r="N113" i="1" l="1"/>
  <c r="U113" i="1"/>
  <c r="T113" i="1"/>
  <c r="W113" i="1"/>
  <c r="AG113" i="1"/>
  <c r="Q113" i="1"/>
  <c r="AD113" i="1"/>
  <c r="AI113" i="1"/>
  <c r="P113" i="1"/>
  <c r="M113" i="1"/>
  <c r="K113" i="1"/>
  <c r="AF113" i="1"/>
  <c r="S113" i="1"/>
  <c r="Z113" i="1"/>
  <c r="R113" i="1"/>
  <c r="AA113" i="1"/>
  <c r="X113" i="1"/>
  <c r="O113" i="1"/>
  <c r="AH113" i="1"/>
  <c r="V113" i="1"/>
  <c r="AJ113" i="1"/>
  <c r="Y113" i="1"/>
  <c r="AB113" i="1"/>
  <c r="T111" i="1"/>
  <c r="X111" i="1"/>
  <c r="O111" i="1"/>
  <c r="AE111" i="1"/>
  <c r="AJ111" i="1"/>
  <c r="Q111" i="1"/>
  <c r="Y111" i="1"/>
  <c r="U111" i="1"/>
  <c r="AI111" i="1"/>
  <c r="AC111" i="1"/>
  <c r="AF111" i="1"/>
  <c r="S111" i="1"/>
  <c r="AW111" i="1"/>
  <c r="L111" i="1"/>
  <c r="AA111" i="1"/>
  <c r="W111" i="1"/>
  <c r="P111" i="1"/>
  <c r="AG111" i="1"/>
  <c r="Z111" i="1"/>
  <c r="AH111" i="1"/>
  <c r="M111" i="1"/>
  <c r="AB111" i="1"/>
  <c r="AD111" i="1"/>
  <c r="V111" i="1"/>
  <c r="R111" i="1"/>
  <c r="N111" i="1"/>
  <c r="CE53" i="5"/>
  <c r="CD52" i="5"/>
  <c r="CF10" i="5"/>
  <c r="CE9" i="5"/>
  <c r="CF104" i="5"/>
  <c r="CE103" i="5"/>
  <c r="BA152" i="4"/>
  <c r="BL152" i="4"/>
  <c r="BL151" i="4" s="1"/>
  <c r="AZ151" i="4"/>
  <c r="BA10" i="4"/>
  <c r="AZ9" i="4"/>
  <c r="BB104" i="4"/>
  <c r="BA103" i="4"/>
  <c r="AZ52" i="4"/>
  <c r="BA53" i="4"/>
  <c r="BF55" i="1"/>
  <c r="BC12" i="1"/>
  <c r="BC14" i="1" s="1"/>
  <c r="BB106" i="1"/>
  <c r="BB108" i="1" s="1"/>
  <c r="BB14" i="1"/>
  <c r="BB15" i="1"/>
  <c r="BE109" i="1"/>
  <c r="BE108" i="1"/>
  <c r="BC58" i="1"/>
  <c r="BC57" i="1"/>
  <c r="AK16" i="1"/>
  <c r="AK17" i="1" s="1"/>
  <c r="AL16" i="1"/>
  <c r="AM16" i="1"/>
  <c r="AL17" i="1" l="1"/>
  <c r="AM17" i="1"/>
  <c r="CG10" i="5"/>
  <c r="CF9" i="5"/>
  <c r="CE52" i="5"/>
  <c r="CF53" i="5"/>
  <c r="CG104" i="5"/>
  <c r="CF103" i="5"/>
  <c r="BA9" i="4"/>
  <c r="BB10" i="4"/>
  <c r="BB53" i="4"/>
  <c r="BA52" i="4"/>
  <c r="BC104" i="4"/>
  <c r="BB103" i="4"/>
  <c r="BB152" i="4"/>
  <c r="BU152" i="4"/>
  <c r="BU151" i="4" s="1"/>
  <c r="CE152" i="4"/>
  <c r="CE151" i="4" s="1"/>
  <c r="CH152" i="4"/>
  <c r="CH151" i="4" s="1"/>
  <c r="BM152" i="4"/>
  <c r="BM151" i="4" s="1"/>
  <c r="BY152" i="4"/>
  <c r="BY151" i="4" s="1"/>
  <c r="BA151" i="4"/>
  <c r="BL58" i="1"/>
  <c r="BL57" i="1"/>
  <c r="BG55" i="1"/>
  <c r="BB109" i="1"/>
  <c r="BF57" i="1"/>
  <c r="BC106" i="1"/>
  <c r="BF12" i="1"/>
  <c r="BF14" i="1" s="1"/>
  <c r="BC15" i="1"/>
  <c r="BF58" i="1"/>
  <c r="AM110" i="1"/>
  <c r="AL19" i="1"/>
  <c r="AL113" i="1" s="1"/>
  <c r="AL110" i="1"/>
  <c r="AK110" i="1"/>
  <c r="AK111" i="1" s="1"/>
  <c r="AK19" i="1"/>
  <c r="AK113" i="1" s="1"/>
  <c r="AM19" i="1"/>
  <c r="AM113" i="1" s="1"/>
  <c r="AN16" i="1"/>
  <c r="AO16" i="1"/>
  <c r="AP16" i="1"/>
  <c r="GT17" i="1"/>
  <c r="AQ16" i="1"/>
  <c r="AQ17" i="1" s="1"/>
  <c r="AR16" i="1"/>
  <c r="AS16" i="1"/>
  <c r="AS17" i="1" s="1"/>
  <c r="AT16" i="1"/>
  <c r="AT17" i="1" s="1"/>
  <c r="AU16" i="1"/>
  <c r="AR17" i="1" l="1"/>
  <c r="AN110" i="1"/>
  <c r="AN111" i="1" s="1"/>
  <c r="AN17" i="1"/>
  <c r="AO110" i="1"/>
  <c r="AO111" i="1" s="1"/>
  <c r="AO17" i="1"/>
  <c r="AU110" i="1"/>
  <c r="AU17" i="1"/>
  <c r="AV17" i="1"/>
  <c r="AL111" i="1"/>
  <c r="AM111" i="1"/>
  <c r="AP17" i="1"/>
  <c r="CG53" i="5"/>
  <c r="CF52" i="5"/>
  <c r="CG9" i="5"/>
  <c r="CH10" i="5"/>
  <c r="CH104" i="5"/>
  <c r="CG103" i="5"/>
  <c r="BB9" i="4"/>
  <c r="BC10" i="4"/>
  <c r="BC152" i="4"/>
  <c r="BZ152" i="4"/>
  <c r="BZ151" i="4" s="1"/>
  <c r="BN152" i="4"/>
  <c r="BN151" i="4" s="1"/>
  <c r="BI152" i="4"/>
  <c r="BI151" i="4" s="1"/>
  <c r="BE152" i="4"/>
  <c r="BE151" i="4" s="1"/>
  <c r="CI152" i="4"/>
  <c r="CI151" i="4" s="1"/>
  <c r="BP152" i="4"/>
  <c r="BP151" i="4" s="1"/>
  <c r="CF152" i="4"/>
  <c r="CF151" i="4" s="1"/>
  <c r="BB151" i="4"/>
  <c r="BV152" i="4"/>
  <c r="BV151" i="4" s="1"/>
  <c r="BR152" i="4"/>
  <c r="BR151" i="4" s="1"/>
  <c r="BG152" i="4"/>
  <c r="BG151" i="4" s="1"/>
  <c r="CC152" i="4"/>
  <c r="CC151" i="4" s="1"/>
  <c r="BC103" i="4"/>
  <c r="BD104" i="4"/>
  <c r="BC53" i="4"/>
  <c r="BB52" i="4"/>
  <c r="BL106" i="1"/>
  <c r="BL15" i="1"/>
  <c r="BL14" i="1"/>
  <c r="BH55" i="1"/>
  <c r="BF106" i="1"/>
  <c r="BF109" i="1" s="1"/>
  <c r="BG58" i="1"/>
  <c r="BG106" i="1"/>
  <c r="BG57" i="1"/>
  <c r="BF15" i="1"/>
  <c r="BC109" i="1"/>
  <c r="BC108" i="1"/>
  <c r="AR110" i="1"/>
  <c r="AR111" i="1" s="1"/>
  <c r="AS110" i="1"/>
  <c r="AP19" i="1"/>
  <c r="AP113" i="1" s="1"/>
  <c r="AP110" i="1"/>
  <c r="AT110" i="1"/>
  <c r="AQ19" i="1"/>
  <c r="AQ113" i="1" s="1"/>
  <c r="AQ110" i="1"/>
  <c r="AN19" i="1"/>
  <c r="AN113" i="1" s="1"/>
  <c r="AS19" i="1"/>
  <c r="AS113" i="1" s="1"/>
  <c r="AU19" i="1"/>
  <c r="AU113" i="1" s="1"/>
  <c r="AT19" i="1"/>
  <c r="AT113" i="1" s="1"/>
  <c r="AR19" i="1"/>
  <c r="AR113" i="1" s="1"/>
  <c r="AO19" i="1"/>
  <c r="AO113" i="1" s="1"/>
  <c r="AT163" i="1"/>
  <c r="AT107" i="1"/>
  <c r="AT70" i="1"/>
  <c r="AT66" i="1"/>
  <c r="AU163" i="1"/>
  <c r="AU107" i="1"/>
  <c r="AU70" i="1"/>
  <c r="AU66" i="1"/>
  <c r="AS111" i="1" l="1"/>
  <c r="AQ111" i="1"/>
  <c r="AT111" i="1"/>
  <c r="AU111" i="1"/>
  <c r="AV111" i="1"/>
  <c r="AP111" i="1"/>
  <c r="CI104" i="5"/>
  <c r="CH103" i="5"/>
  <c r="CH9" i="5"/>
  <c r="CI10" i="5"/>
  <c r="CG52" i="5"/>
  <c r="CH53" i="5"/>
  <c r="BD53" i="4"/>
  <c r="BC52" i="4"/>
  <c r="BD103" i="4"/>
  <c r="BE104" i="4"/>
  <c r="CA152" i="4"/>
  <c r="CA151" i="4" s="1"/>
  <c r="BO152" i="4"/>
  <c r="BO151" i="4" s="1"/>
  <c r="BC151" i="4"/>
  <c r="BX152" i="4"/>
  <c r="BX151" i="4" s="1"/>
  <c r="BJ152" i="4"/>
  <c r="BJ151" i="4" s="1"/>
  <c r="BW152" i="4"/>
  <c r="BW151" i="4" s="1"/>
  <c r="BS152" i="4"/>
  <c r="BS151" i="4" s="1"/>
  <c r="CJ152" i="4"/>
  <c r="CJ151" i="4" s="1"/>
  <c r="BT152" i="4"/>
  <c r="BT151" i="4" s="1"/>
  <c r="BD152" i="4"/>
  <c r="BH152" i="4"/>
  <c r="BH151" i="4" s="1"/>
  <c r="CG152" i="4"/>
  <c r="CG151" i="4" s="1"/>
  <c r="CB152" i="4"/>
  <c r="CB151" i="4" s="1"/>
  <c r="BQ152" i="4"/>
  <c r="BQ151" i="4" s="1"/>
  <c r="CD152" i="4"/>
  <c r="CD151" i="4" s="1"/>
  <c r="BF152" i="4"/>
  <c r="BF151" i="4" s="1"/>
  <c r="BD10" i="4"/>
  <c r="BC9" i="4"/>
  <c r="BL109" i="1"/>
  <c r="BL108" i="1"/>
  <c r="BF108" i="1"/>
  <c r="BI55" i="1"/>
  <c r="BI106" i="1" s="1"/>
  <c r="BG109" i="1"/>
  <c r="BG108" i="1"/>
  <c r="BH58" i="1"/>
  <c r="BH57" i="1"/>
  <c r="BH106" i="1"/>
  <c r="BI14" i="1"/>
  <c r="BI15" i="1"/>
  <c r="AR106" i="1"/>
  <c r="AQ106" i="1"/>
  <c r="AP106" i="1"/>
  <c r="CJ10" i="5" l="1"/>
  <c r="CI9" i="5"/>
  <c r="CJ104" i="5"/>
  <c r="CI103" i="5"/>
  <c r="CI53" i="5"/>
  <c r="CH52" i="5"/>
  <c r="BD9" i="4"/>
  <c r="BE10" i="4"/>
  <c r="BF104" i="4"/>
  <c r="BE103" i="4"/>
  <c r="BD151" i="4"/>
  <c r="CK152" i="4"/>
  <c r="BD52" i="4"/>
  <c r="BE53" i="4"/>
  <c r="BJ55" i="1"/>
  <c r="BM55" i="1" s="1"/>
  <c r="BI58" i="1"/>
  <c r="BI57" i="1"/>
  <c r="BI109" i="1"/>
  <c r="BI108" i="1"/>
  <c r="BH109" i="1"/>
  <c r="BH108" i="1"/>
  <c r="AR163" i="1"/>
  <c r="AR107" i="1"/>
  <c r="AR109" i="1"/>
  <c r="AR70" i="1"/>
  <c r="AR66" i="1"/>
  <c r="AR15" i="1"/>
  <c r="AS163" i="1"/>
  <c r="AS107" i="1"/>
  <c r="AS70" i="1"/>
  <c r="AS66" i="1"/>
  <c r="AN12" i="1"/>
  <c r="AN106" i="1"/>
  <c r="AO106" i="1" s="1"/>
  <c r="AS106" i="1" s="1"/>
  <c r="CI52" i="5" l="1"/>
  <c r="CJ53" i="5"/>
  <c r="CK104" i="5"/>
  <c r="CJ103" i="5"/>
  <c r="CK10" i="5"/>
  <c r="CJ9" i="5"/>
  <c r="CL152" i="4"/>
  <c r="CL151" i="4" s="1"/>
  <c r="CK151" i="4"/>
  <c r="BF10" i="4"/>
  <c r="BE9" i="4"/>
  <c r="BE52" i="4"/>
  <c r="BF53" i="4"/>
  <c r="BF103" i="4"/>
  <c r="BG104" i="4"/>
  <c r="BN55" i="1"/>
  <c r="BM57" i="1"/>
  <c r="BM106" i="1"/>
  <c r="BM58" i="1"/>
  <c r="BJ58" i="1"/>
  <c r="BJ57" i="1"/>
  <c r="BJ106" i="1"/>
  <c r="AO12" i="1"/>
  <c r="AO15" i="1" s="1"/>
  <c r="AU12" i="1"/>
  <c r="AU15" i="1" s="1"/>
  <c r="AY108" i="1"/>
  <c r="AT106" i="1"/>
  <c r="AU106" i="1" s="1"/>
  <c r="AR108" i="1"/>
  <c r="AR14" i="1"/>
  <c r="AP15" i="1"/>
  <c r="AQ15" i="1"/>
  <c r="AP163" i="1"/>
  <c r="AP107" i="1"/>
  <c r="AP70" i="1"/>
  <c r="AP66" i="1"/>
  <c r="AQ163" i="1"/>
  <c r="AQ107" i="1"/>
  <c r="AQ70" i="1"/>
  <c r="AQ66" i="1"/>
  <c r="CK103" i="5" l="1"/>
  <c r="CL104" i="5"/>
  <c r="CJ52" i="5"/>
  <c r="CK53" i="5"/>
  <c r="CL10" i="5"/>
  <c r="CK9" i="5"/>
  <c r="BG10" i="4"/>
  <c r="BF9" i="4"/>
  <c r="BG103" i="4"/>
  <c r="BH104" i="4"/>
  <c r="BF52" i="4"/>
  <c r="BG53" i="4"/>
  <c r="BO55" i="1"/>
  <c r="BP55" i="1" s="1"/>
  <c r="BM109" i="1"/>
  <c r="BM108" i="1"/>
  <c r="BN58" i="1"/>
  <c r="BN57" i="1"/>
  <c r="BN106" i="1"/>
  <c r="BJ109" i="1"/>
  <c r="BJ108" i="1"/>
  <c r="AT109" i="1"/>
  <c r="AT108" i="1"/>
  <c r="AV106" i="1"/>
  <c r="AU109" i="1"/>
  <c r="AS12" i="1"/>
  <c r="AT12" i="1" s="1"/>
  <c r="AV12" i="1"/>
  <c r="AV14" i="1" s="1"/>
  <c r="AW14" i="1"/>
  <c r="AW108" i="1"/>
  <c r="AU108" i="1"/>
  <c r="AU14" i="1"/>
  <c r="AS109" i="1"/>
  <c r="AS108" i="1"/>
  <c r="AP109" i="1"/>
  <c r="AP14" i="1"/>
  <c r="AP108" i="1"/>
  <c r="CL9" i="5" l="1"/>
  <c r="CM10" i="5"/>
  <c r="CK52" i="5"/>
  <c r="CL53" i="5"/>
  <c r="CL103" i="5"/>
  <c r="CM104" i="5"/>
  <c r="BH103" i="4"/>
  <c r="BI104" i="4"/>
  <c r="BH10" i="4"/>
  <c r="BG9" i="4"/>
  <c r="BG52" i="4"/>
  <c r="BH53" i="4"/>
  <c r="BQ55" i="1"/>
  <c r="BT55" i="1" s="1"/>
  <c r="BU55" i="1" s="1"/>
  <c r="BP106" i="1"/>
  <c r="BP108" i="1" s="1"/>
  <c r="BP58" i="1"/>
  <c r="BP57" i="1"/>
  <c r="BR57" i="1"/>
  <c r="BR58" i="1"/>
  <c r="BR106" i="1"/>
  <c r="BS58" i="1"/>
  <c r="BS57" i="1"/>
  <c r="BS106" i="1"/>
  <c r="BN109" i="1"/>
  <c r="BN108" i="1"/>
  <c r="BO57" i="1"/>
  <c r="BO58" i="1"/>
  <c r="BO106" i="1"/>
  <c r="AS14" i="1"/>
  <c r="AS15" i="1"/>
  <c r="AV15" i="1"/>
  <c r="AT14" i="1"/>
  <c r="AT15" i="1"/>
  <c r="AV109" i="1"/>
  <c r="AV108" i="1"/>
  <c r="AY14" i="1"/>
  <c r="AX108" i="1"/>
  <c r="AO163" i="1"/>
  <c r="AO107" i="1"/>
  <c r="AO70" i="1"/>
  <c r="AO66" i="1"/>
  <c r="CM53" i="5" l="1"/>
  <c r="CL52" i="5"/>
  <c r="CN10" i="5"/>
  <c r="CM9" i="5"/>
  <c r="CN104" i="5"/>
  <c r="CM103" i="5"/>
  <c r="BH9" i="4"/>
  <c r="BI10" i="4"/>
  <c r="BI103" i="4"/>
  <c r="BJ104" i="4"/>
  <c r="BI53" i="4"/>
  <c r="BH52" i="4"/>
  <c r="BV55" i="1"/>
  <c r="BV106" i="1" s="1"/>
  <c r="BU106" i="1"/>
  <c r="BU109" i="1" s="1"/>
  <c r="BU57" i="1"/>
  <c r="BU58" i="1"/>
  <c r="BQ106" i="1"/>
  <c r="BQ109" i="1" s="1"/>
  <c r="BP109" i="1"/>
  <c r="BQ58" i="1"/>
  <c r="BQ57" i="1"/>
  <c r="BT57" i="1"/>
  <c r="BT106" i="1"/>
  <c r="BT58" i="1"/>
  <c r="BR109" i="1"/>
  <c r="BR108" i="1"/>
  <c r="BS109" i="1"/>
  <c r="BS108" i="1"/>
  <c r="BO108" i="1"/>
  <c r="BO109" i="1"/>
  <c r="BD15" i="1"/>
  <c r="BD14" i="1"/>
  <c r="BD109" i="1"/>
  <c r="BD108" i="1"/>
  <c r="AZ109" i="1"/>
  <c r="AZ108" i="1"/>
  <c r="AZ14" i="1"/>
  <c r="BA14" i="1"/>
  <c r="AX14" i="1"/>
  <c r="AQ14" i="1"/>
  <c r="AO14" i="1"/>
  <c r="BV58" i="1" l="1"/>
  <c r="BV57" i="1"/>
  <c r="BW55" i="1"/>
  <c r="BX55" i="1" s="1"/>
  <c r="CA55" i="1" s="1"/>
  <c r="CB55" i="1" s="1"/>
  <c r="CO10" i="5"/>
  <c r="CN9" i="5"/>
  <c r="CM52" i="5"/>
  <c r="CN53" i="5"/>
  <c r="CO104" i="5"/>
  <c r="CN103" i="5"/>
  <c r="BJ103" i="4"/>
  <c r="BK104" i="4"/>
  <c r="BI9" i="4"/>
  <c r="BJ10" i="4"/>
  <c r="BI52" i="4"/>
  <c r="BJ53" i="4"/>
  <c r="BU108" i="1"/>
  <c r="BY58" i="1"/>
  <c r="BY57" i="1"/>
  <c r="BY106" i="1"/>
  <c r="BZ58" i="1"/>
  <c r="BZ57" i="1"/>
  <c r="BZ106" i="1"/>
  <c r="BQ108" i="1"/>
  <c r="BV109" i="1"/>
  <c r="BV108" i="1"/>
  <c r="BT109" i="1"/>
  <c r="BT108" i="1"/>
  <c r="BA15" i="1"/>
  <c r="BA109" i="1"/>
  <c r="BA108" i="1"/>
  <c r="AO108" i="1"/>
  <c r="AO109" i="1"/>
  <c r="AQ109" i="1"/>
  <c r="AQ108" i="1"/>
  <c r="AN163" i="1"/>
  <c r="AN107" i="1"/>
  <c r="AN70" i="1"/>
  <c r="AN66" i="1"/>
  <c r="CA106" i="1" l="1"/>
  <c r="CA108" i="1" s="1"/>
  <c r="BW58" i="1"/>
  <c r="CA57" i="1"/>
  <c r="CA58" i="1"/>
  <c r="BW57" i="1"/>
  <c r="BW106" i="1"/>
  <c r="BW109" i="1" s="1"/>
  <c r="BX106" i="1"/>
  <c r="BX109" i="1" s="1"/>
  <c r="BX57" i="1"/>
  <c r="BX58" i="1"/>
  <c r="CB106" i="1"/>
  <c r="CB109" i="1" s="1"/>
  <c r="CC55" i="1"/>
  <c r="CD55" i="1" s="1"/>
  <c r="CE55" i="1" s="1"/>
  <c r="CB57" i="1"/>
  <c r="CB58" i="1"/>
  <c r="CO103" i="5"/>
  <c r="CP104" i="5"/>
  <c r="CN52" i="5"/>
  <c r="CO53" i="5"/>
  <c r="CP10" i="5"/>
  <c r="CO9" i="5"/>
  <c r="BK10" i="4"/>
  <c r="BJ9" i="4"/>
  <c r="BL104" i="4"/>
  <c r="BK103" i="4"/>
  <c r="BK53" i="4"/>
  <c r="BJ52" i="4"/>
  <c r="BY109" i="1"/>
  <c r="BY108" i="1"/>
  <c r="BZ109" i="1"/>
  <c r="BZ108" i="1"/>
  <c r="CN15" i="1"/>
  <c r="AK106" i="1"/>
  <c r="CA109" i="1" l="1"/>
  <c r="CE58" i="1"/>
  <c r="CE106" i="1"/>
  <c r="CE109" i="1" s="1"/>
  <c r="CC106" i="1"/>
  <c r="CC109" i="1" s="1"/>
  <c r="CC58" i="1"/>
  <c r="BX108" i="1"/>
  <c r="CC57" i="1"/>
  <c r="CB108" i="1"/>
  <c r="BW108" i="1"/>
  <c r="CE57" i="1"/>
  <c r="CP9" i="5"/>
  <c r="CQ10" i="5"/>
  <c r="CO52" i="5"/>
  <c r="CP53" i="5"/>
  <c r="CP103" i="5"/>
  <c r="CQ104" i="5"/>
  <c r="BL53" i="4"/>
  <c r="BK52" i="4"/>
  <c r="BM104" i="4"/>
  <c r="BL103" i="4"/>
  <c r="BK9" i="4"/>
  <c r="BL10" i="4"/>
  <c r="CH58" i="1"/>
  <c r="CH57" i="1"/>
  <c r="CH106" i="1"/>
  <c r="CD57" i="1"/>
  <c r="CD58" i="1"/>
  <c r="CD106" i="1"/>
  <c r="AL106" i="1"/>
  <c r="AL55" i="1"/>
  <c r="AL12" i="1"/>
  <c r="AL163" i="1"/>
  <c r="AL107" i="1"/>
  <c r="AL70" i="1"/>
  <c r="AL66" i="1"/>
  <c r="AM163" i="1"/>
  <c r="AM107" i="1"/>
  <c r="AM70" i="1"/>
  <c r="AM66" i="1"/>
  <c r="AJ163" i="1"/>
  <c r="AJ107" i="1"/>
  <c r="AJ70" i="1"/>
  <c r="AJ66" i="1"/>
  <c r="AK163" i="1"/>
  <c r="AK107" i="1"/>
  <c r="AK70" i="1"/>
  <c r="AK66" i="1"/>
  <c r="CC108" i="1" l="1"/>
  <c r="CE108" i="1"/>
  <c r="CR104" i="5"/>
  <c r="CQ103" i="5"/>
  <c r="CQ53" i="5"/>
  <c r="CP52" i="5"/>
  <c r="CQ9" i="5"/>
  <c r="CR10" i="5"/>
  <c r="BM10" i="4"/>
  <c r="BL9" i="4"/>
  <c r="BM103" i="4"/>
  <c r="BN104" i="4"/>
  <c r="BL52" i="4"/>
  <c r="BM53" i="4"/>
  <c r="CI58" i="1"/>
  <c r="CI57" i="1"/>
  <c r="CI106" i="1"/>
  <c r="CF57" i="1"/>
  <c r="CF58" i="1"/>
  <c r="CF106" i="1"/>
  <c r="CH109" i="1"/>
  <c r="CH108" i="1"/>
  <c r="CD108" i="1"/>
  <c r="CD109" i="1"/>
  <c r="AN15" i="1"/>
  <c r="AN14" i="1"/>
  <c r="AM55" i="1"/>
  <c r="AN55" i="1" s="1"/>
  <c r="AM108" i="1"/>
  <c r="AL108" i="1"/>
  <c r="AL57" i="1"/>
  <c r="AL58" i="1"/>
  <c r="AM15" i="1"/>
  <c r="AL15" i="1"/>
  <c r="AL109" i="1"/>
  <c r="AL14" i="1"/>
  <c r="AM14" i="1"/>
  <c r="AM109" i="1"/>
  <c r="AI163" i="1"/>
  <c r="AI107" i="1"/>
  <c r="AI70" i="1"/>
  <c r="AI66" i="1"/>
  <c r="AH163" i="1"/>
  <c r="AH107" i="1"/>
  <c r="AH70" i="1"/>
  <c r="AH66" i="1"/>
  <c r="AG163" i="1"/>
  <c r="AG107" i="1"/>
  <c r="AG70" i="1"/>
  <c r="AG66" i="1"/>
  <c r="CR53" i="5" l="1"/>
  <c r="CQ52" i="5"/>
  <c r="CS104" i="5"/>
  <c r="CR103" i="5"/>
  <c r="CS10" i="5"/>
  <c r="CR9" i="5"/>
  <c r="BN103" i="4"/>
  <c r="BO104" i="4"/>
  <c r="BM9" i="4"/>
  <c r="BN10" i="4"/>
  <c r="BM52" i="4"/>
  <c r="BN53" i="4"/>
  <c r="CJ106" i="1"/>
  <c r="CJ58" i="1"/>
  <c r="CJ57" i="1"/>
  <c r="CG58" i="1"/>
  <c r="CG57" i="1"/>
  <c r="CG106" i="1"/>
  <c r="CF109" i="1"/>
  <c r="CF108" i="1"/>
  <c r="CI109" i="1"/>
  <c r="CI108" i="1"/>
  <c r="AM57" i="1"/>
  <c r="AO55" i="1"/>
  <c r="AS55" i="1" s="1"/>
  <c r="AN58" i="1"/>
  <c r="AM58" i="1"/>
  <c r="AN109" i="1"/>
  <c r="AN108" i="1"/>
  <c r="AN57" i="1"/>
  <c r="AF163" i="1"/>
  <c r="AF107" i="1"/>
  <c r="AF70" i="1"/>
  <c r="AF66" i="1"/>
  <c r="AD107" i="1"/>
  <c r="AE107" i="1"/>
  <c r="CN107" i="1"/>
  <c r="GY107" i="1" s="1"/>
  <c r="CT10" i="5" l="1"/>
  <c r="CS9" i="5"/>
  <c r="CT104" i="5"/>
  <c r="CS103" i="5"/>
  <c r="CR52" i="5"/>
  <c r="CS53" i="5"/>
  <c r="BO53" i="4"/>
  <c r="BN52" i="4"/>
  <c r="BN9" i="4"/>
  <c r="BO10" i="4"/>
  <c r="BP104" i="4"/>
  <c r="BO103" i="4"/>
  <c r="CG109" i="1"/>
  <c r="CG108" i="1"/>
  <c r="CN106" i="1"/>
  <c r="CN109" i="1" s="1"/>
  <c r="CJ109" i="1"/>
  <c r="CJ108" i="1"/>
  <c r="AT55" i="1"/>
  <c r="AU55" i="1" s="1"/>
  <c r="AR57" i="1"/>
  <c r="AR58" i="1"/>
  <c r="AP57" i="1"/>
  <c r="AO58" i="1"/>
  <c r="AO57" i="1"/>
  <c r="AE12" i="1"/>
  <c r="AF12" i="1" s="1"/>
  <c r="AG12" i="1" s="1"/>
  <c r="AE163" i="1"/>
  <c r="AE70" i="1"/>
  <c r="AE66" i="1"/>
  <c r="CU104" i="5" l="1"/>
  <c r="CT103" i="5"/>
  <c r="CT9" i="5"/>
  <c r="CU10" i="5"/>
  <c r="CS52" i="5"/>
  <c r="CT53" i="5"/>
  <c r="BO9" i="4"/>
  <c r="BP10" i="4"/>
  <c r="BO52" i="4"/>
  <c r="BP53" i="4"/>
  <c r="BQ104" i="4"/>
  <c r="BP103" i="4"/>
  <c r="AT58" i="1"/>
  <c r="AT57" i="1"/>
  <c r="AV55" i="1"/>
  <c r="AU58" i="1"/>
  <c r="AW57" i="1"/>
  <c r="AU57" i="1"/>
  <c r="AP58" i="1"/>
  <c r="AQ57" i="1"/>
  <c r="AH12" i="1"/>
  <c r="AK15" i="1"/>
  <c r="AK14" i="1"/>
  <c r="AI15" i="1"/>
  <c r="AE15" i="1"/>
  <c r="AE14" i="1"/>
  <c r="AD14" i="1"/>
  <c r="CU53" i="5" l="1"/>
  <c r="CT52" i="5"/>
  <c r="CV10" i="5"/>
  <c r="CU9" i="5"/>
  <c r="CU103" i="5"/>
  <c r="CV104" i="5"/>
  <c r="BR104" i="4"/>
  <c r="BQ103" i="4"/>
  <c r="BQ53" i="4"/>
  <c r="BP52" i="4"/>
  <c r="BP9" i="4"/>
  <c r="BQ10" i="4"/>
  <c r="AV58" i="1"/>
  <c r="AV57" i="1"/>
  <c r="AX57" i="1"/>
  <c r="AS57" i="1"/>
  <c r="AS58" i="1"/>
  <c r="AQ58" i="1"/>
  <c r="AJ14" i="1"/>
  <c r="AJ15" i="1"/>
  <c r="AI14" i="1"/>
  <c r="AH15" i="1"/>
  <c r="AH14" i="1"/>
  <c r="AF15" i="1"/>
  <c r="AF14" i="1"/>
  <c r="AG14" i="1"/>
  <c r="AG15" i="1"/>
  <c r="AA55" i="1"/>
  <c r="AD55" i="1" s="1"/>
  <c r="AE55" i="1" s="1"/>
  <c r="AF55" i="1" s="1"/>
  <c r="AG55" i="1" s="1"/>
  <c r="AH55" i="1" s="1"/>
  <c r="AD163" i="1"/>
  <c r="AD70" i="1"/>
  <c r="AD66" i="1"/>
  <c r="AD15" i="1"/>
  <c r="AB107" i="1"/>
  <c r="AC107" i="1"/>
  <c r="CV9" i="5" l="1"/>
  <c r="CW10" i="5"/>
  <c r="CV53" i="5"/>
  <c r="CU52" i="5"/>
  <c r="CW104" i="5"/>
  <c r="CV103" i="5"/>
  <c r="BR10" i="4"/>
  <c r="BQ9" i="4"/>
  <c r="BR53" i="4"/>
  <c r="BQ52" i="4"/>
  <c r="BR103" i="4"/>
  <c r="BS104" i="4"/>
  <c r="BD58" i="1"/>
  <c r="BD57" i="1"/>
  <c r="AZ58" i="1"/>
  <c r="AZ57" i="1"/>
  <c r="AK57" i="1"/>
  <c r="AK58" i="1"/>
  <c r="AH57" i="1"/>
  <c r="AH58" i="1"/>
  <c r="CN14" i="1"/>
  <c r="AD58" i="1"/>
  <c r="AD57" i="1"/>
  <c r="CV52" i="5" l="1"/>
  <c r="CW53" i="5"/>
  <c r="CW9" i="5"/>
  <c r="CX10" i="5"/>
  <c r="CX104" i="5"/>
  <c r="CW103" i="5"/>
  <c r="BS103" i="4"/>
  <c r="BT104" i="4"/>
  <c r="BS53" i="4"/>
  <c r="BR52" i="4"/>
  <c r="BS10" i="4"/>
  <c r="BR9" i="4"/>
  <c r="BA58" i="1"/>
  <c r="BA57" i="1"/>
  <c r="AJ57" i="1"/>
  <c r="AJ58" i="1"/>
  <c r="AI57" i="1"/>
  <c r="AI58" i="1"/>
  <c r="AG57" i="1"/>
  <c r="AG58" i="1"/>
  <c r="AE57" i="1"/>
  <c r="AE58" i="1"/>
  <c r="AF57" i="1"/>
  <c r="AF58" i="1"/>
  <c r="AC106" i="1"/>
  <c r="CY10" i="5" l="1"/>
  <c r="CX9" i="5"/>
  <c r="CW52" i="5"/>
  <c r="CX53" i="5"/>
  <c r="CX103" i="5"/>
  <c r="CY104" i="5"/>
  <c r="BT10" i="4"/>
  <c r="BS9" i="4"/>
  <c r="BT53" i="4"/>
  <c r="BS52" i="4"/>
  <c r="BU104" i="4"/>
  <c r="BT103" i="4"/>
  <c r="CN58" i="1"/>
  <c r="AA106" i="1"/>
  <c r="AC163" i="1"/>
  <c r="AC109" i="1"/>
  <c r="AC70" i="1"/>
  <c r="AC66" i="1"/>
  <c r="AC15" i="1"/>
  <c r="AC14" i="1"/>
  <c r="AB163" i="1"/>
  <c r="AB109" i="1"/>
  <c r="AB70" i="1"/>
  <c r="AB66" i="1"/>
  <c r="AB58" i="1"/>
  <c r="AB57" i="1"/>
  <c r="AB15" i="1"/>
  <c r="AB14" i="1"/>
  <c r="AA163" i="1"/>
  <c r="AA70" i="1"/>
  <c r="AA66" i="1"/>
  <c r="AA58" i="1"/>
  <c r="AA15" i="1"/>
  <c r="AA14" i="1"/>
  <c r="Z163" i="1"/>
  <c r="Z109" i="1"/>
  <c r="Z108" i="1"/>
  <c r="Z70" i="1"/>
  <c r="Z66" i="1"/>
  <c r="Z58" i="1"/>
  <c r="Z57" i="1"/>
  <c r="Z15" i="1"/>
  <c r="Z14" i="1"/>
  <c r="CX52" i="5" l="1"/>
  <c r="CY53" i="5"/>
  <c r="CZ10" i="5"/>
  <c r="CY9" i="5"/>
  <c r="CZ104" i="5"/>
  <c r="CY103" i="5"/>
  <c r="BT52" i="4"/>
  <c r="BU53" i="4"/>
  <c r="BV104" i="4"/>
  <c r="BU103" i="4"/>
  <c r="BU10" i="4"/>
  <c r="BT9" i="4"/>
  <c r="AD106" i="1"/>
  <c r="AE106" i="1" s="1"/>
  <c r="AF106" i="1" s="1"/>
  <c r="AG106" i="1" s="1"/>
  <c r="AH106" i="1" s="1"/>
  <c r="AA108" i="1"/>
  <c r="AA109" i="1"/>
  <c r="AC108" i="1"/>
  <c r="AB108" i="1"/>
  <c r="AA57" i="1"/>
  <c r="CZ103" i="5" l="1"/>
  <c r="DA104" i="5"/>
  <c r="CZ9" i="5"/>
  <c r="DA10" i="5"/>
  <c r="CY52" i="5"/>
  <c r="CZ53" i="5"/>
  <c r="BU9" i="4"/>
  <c r="BV10" i="4"/>
  <c r="BV103" i="4"/>
  <c r="BW104" i="4"/>
  <c r="BU52" i="4"/>
  <c r="BV53" i="4"/>
  <c r="AK108" i="1"/>
  <c r="AK109" i="1"/>
  <c r="AH109" i="1"/>
  <c r="AH108" i="1"/>
  <c r="AD109" i="1"/>
  <c r="AD108" i="1"/>
  <c r="AC58" i="1"/>
  <c r="AC57" i="1"/>
  <c r="Y163" i="1"/>
  <c r="Y109" i="1"/>
  <c r="Y108" i="1"/>
  <c r="Y70" i="1"/>
  <c r="Y66" i="1"/>
  <c r="Y58" i="1"/>
  <c r="Y57" i="1"/>
  <c r="Y15" i="1"/>
  <c r="Y14" i="1"/>
  <c r="X163" i="1"/>
  <c r="X109" i="1"/>
  <c r="X108" i="1"/>
  <c r="X70" i="1"/>
  <c r="X66" i="1"/>
  <c r="X58" i="1"/>
  <c r="X57" i="1"/>
  <c r="X15" i="1"/>
  <c r="X14" i="1"/>
  <c r="W163" i="1"/>
  <c r="W14" i="1"/>
  <c r="W109" i="1"/>
  <c r="W108" i="1"/>
  <c r="W58" i="1"/>
  <c r="CN57" i="1"/>
  <c r="W57" i="1"/>
  <c r="CN70" i="1"/>
  <c r="W70" i="1"/>
  <c r="W66" i="1"/>
  <c r="CN163" i="1"/>
  <c r="CN66" i="1"/>
  <c r="DA9" i="5" l="1"/>
  <c r="DB10" i="5"/>
  <c r="DB104" i="5"/>
  <c r="DA103" i="5"/>
  <c r="DA53" i="5"/>
  <c r="CZ52" i="5"/>
  <c r="BW53" i="4"/>
  <c r="BV52" i="4"/>
  <c r="BW103" i="4"/>
  <c r="BX104" i="4"/>
  <c r="BV9" i="4"/>
  <c r="BW10" i="4"/>
  <c r="AJ109" i="1"/>
  <c r="AJ108" i="1"/>
  <c r="AI109" i="1"/>
  <c r="AI108" i="1"/>
  <c r="AG109" i="1"/>
  <c r="AG108" i="1"/>
  <c r="AE109" i="1"/>
  <c r="AE108" i="1"/>
  <c r="AF109" i="1"/>
  <c r="AF108" i="1"/>
  <c r="W15" i="1"/>
  <c r="GT163" i="1"/>
  <c r="V163" i="1"/>
  <c r="U163" i="1"/>
  <c r="T163" i="1"/>
  <c r="S163" i="1"/>
  <c r="R163" i="1"/>
  <c r="DC104" i="5" l="1"/>
  <c r="DB103" i="5"/>
  <c r="DB9" i="5"/>
  <c r="DC10" i="5"/>
  <c r="DA52" i="5"/>
  <c r="DB53" i="5"/>
  <c r="BW9" i="4"/>
  <c r="BX10" i="4"/>
  <c r="BY104" i="4"/>
  <c r="BX103" i="4"/>
  <c r="BX53" i="4"/>
  <c r="BW52" i="4"/>
  <c r="CN108" i="1"/>
  <c r="U109" i="1"/>
  <c r="U108" i="1"/>
  <c r="U70" i="1"/>
  <c r="U66" i="1"/>
  <c r="U58" i="1"/>
  <c r="U57" i="1"/>
  <c r="U15" i="1"/>
  <c r="U14" i="1"/>
  <c r="GU11" i="1"/>
  <c r="DD10" i="5" l="1"/>
  <c r="DD9" i="5" s="1"/>
  <c r="DC9" i="5"/>
  <c r="DD104" i="5"/>
  <c r="DD103" i="5" s="1"/>
  <c r="DC103" i="5"/>
  <c r="DC53" i="5"/>
  <c r="DB52" i="5"/>
  <c r="BX52" i="4"/>
  <c r="BY53" i="4"/>
  <c r="BZ104" i="4"/>
  <c r="BY103" i="4"/>
  <c r="BY10" i="4"/>
  <c r="BX9" i="4"/>
  <c r="GU107" i="1"/>
  <c r="GU105" i="1"/>
  <c r="GU56" i="1"/>
  <c r="GU55" i="1"/>
  <c r="GU54" i="1"/>
  <c r="GU13" i="1"/>
  <c r="S109" i="1"/>
  <c r="S108" i="1"/>
  <c r="S70" i="1"/>
  <c r="S66" i="1"/>
  <c r="S58" i="1"/>
  <c r="S57" i="1"/>
  <c r="S15" i="1"/>
  <c r="S14" i="1"/>
  <c r="T109" i="1"/>
  <c r="T108" i="1"/>
  <c r="T70" i="1"/>
  <c r="T66" i="1"/>
  <c r="T58" i="1"/>
  <c r="T57" i="1"/>
  <c r="T15" i="1"/>
  <c r="T14" i="1"/>
  <c r="DC52" i="5" l="1"/>
  <c r="DD53" i="5"/>
  <c r="DD52" i="5" s="1"/>
  <c r="BY9" i="4"/>
  <c r="BZ10" i="4"/>
  <c r="CA104" i="4"/>
  <c r="BZ103" i="4"/>
  <c r="BY52" i="4"/>
  <c r="BZ53" i="4"/>
  <c r="R109" i="1"/>
  <c r="R108" i="1"/>
  <c r="R70" i="1"/>
  <c r="R66" i="1"/>
  <c r="R58" i="1"/>
  <c r="R57" i="1"/>
  <c r="R15" i="1"/>
  <c r="R14" i="1"/>
  <c r="CA53" i="4" l="1"/>
  <c r="BZ52" i="4"/>
  <c r="CB104" i="4"/>
  <c r="CA103" i="4"/>
  <c r="BZ9" i="4"/>
  <c r="CA10" i="4"/>
  <c r="V109" i="1"/>
  <c r="V108" i="1"/>
  <c r="V70" i="1"/>
  <c r="V66" i="1"/>
  <c r="V58" i="1"/>
  <c r="V57" i="1"/>
  <c r="V15" i="1"/>
  <c r="V14" i="1"/>
  <c r="CA9" i="4" l="1"/>
  <c r="CB10" i="4"/>
  <c r="CB103" i="4"/>
  <c r="CC104" i="4"/>
  <c r="CA52" i="4"/>
  <c r="CB53" i="4"/>
  <c r="Q108" i="1"/>
  <c r="P108" i="1"/>
  <c r="O108" i="1"/>
  <c r="N108" i="1"/>
  <c r="M108" i="1"/>
  <c r="L108" i="1"/>
  <c r="K108" i="1"/>
  <c r="J108" i="1"/>
  <c r="I108" i="1"/>
  <c r="H108" i="1"/>
  <c r="G108" i="1"/>
  <c r="F108" i="1"/>
  <c r="Q57" i="1"/>
  <c r="P57" i="1"/>
  <c r="O57" i="1"/>
  <c r="N57" i="1"/>
  <c r="M57" i="1"/>
  <c r="L57" i="1"/>
  <c r="K57" i="1"/>
  <c r="J57" i="1"/>
  <c r="I57" i="1"/>
  <c r="H57" i="1"/>
  <c r="G57" i="1"/>
  <c r="F57" i="1"/>
  <c r="F14" i="1"/>
  <c r="G14" i="1"/>
  <c r="H14" i="1"/>
  <c r="I14" i="1"/>
  <c r="J14" i="1"/>
  <c r="K14" i="1"/>
  <c r="L14" i="1"/>
  <c r="M14" i="1"/>
  <c r="N14" i="1"/>
  <c r="O14" i="1"/>
  <c r="P14" i="1"/>
  <c r="Q14" i="1"/>
  <c r="CB52" i="4" l="1"/>
  <c r="CC53" i="4"/>
  <c r="CD104" i="4"/>
  <c r="CC103" i="4"/>
  <c r="CC10" i="4"/>
  <c r="CB9" i="4"/>
  <c r="Q109" i="1"/>
  <c r="Q70" i="1"/>
  <c r="Q66" i="1"/>
  <c r="Q58" i="1"/>
  <c r="Q15" i="1"/>
  <c r="CC9" i="4" l="1"/>
  <c r="CD10" i="4"/>
  <c r="CD103" i="4"/>
  <c r="CE104" i="4"/>
  <c r="CC52" i="4"/>
  <c r="CD53" i="4"/>
  <c r="P109" i="1"/>
  <c r="P70" i="1"/>
  <c r="P66" i="1"/>
  <c r="P58" i="1"/>
  <c r="P15" i="1"/>
  <c r="GT66" i="1"/>
  <c r="O66" i="1"/>
  <c r="N66" i="1"/>
  <c r="M66" i="1"/>
  <c r="L66" i="1"/>
  <c r="K66" i="1"/>
  <c r="J66" i="1"/>
  <c r="I66" i="1"/>
  <c r="H66" i="1"/>
  <c r="G66" i="1"/>
  <c r="F66" i="1"/>
  <c r="GT70" i="1"/>
  <c r="O70" i="1"/>
  <c r="N70" i="1"/>
  <c r="M70" i="1"/>
  <c r="L70" i="1"/>
  <c r="K70" i="1"/>
  <c r="J70" i="1"/>
  <c r="I70" i="1"/>
  <c r="H70" i="1"/>
  <c r="G70" i="1"/>
  <c r="F70" i="1"/>
  <c r="G10" i="1"/>
  <c r="H10" i="1" s="1"/>
  <c r="I10" i="1" s="1"/>
  <c r="J10" i="1" s="1"/>
  <c r="K10" i="1" s="1"/>
  <c r="L10" i="1" s="1"/>
  <c r="M10" i="1" s="1"/>
  <c r="N10" i="1" s="1"/>
  <c r="O10" i="1" s="1"/>
  <c r="P10" i="1" s="1"/>
  <c r="F9" i="1"/>
  <c r="CD52" i="4" l="1"/>
  <c r="CE53" i="4"/>
  <c r="CE103" i="4"/>
  <c r="CF104" i="4"/>
  <c r="CD9" i="4"/>
  <c r="CE10" i="4"/>
  <c r="Q10" i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P9" i="1"/>
  <c r="G9" i="1"/>
  <c r="GV56" i="1"/>
  <c r="GV13" i="1"/>
  <c r="GV107" i="1"/>
  <c r="CF10" i="4" l="1"/>
  <c r="CE9" i="4"/>
  <c r="CF103" i="4"/>
  <c r="CG104" i="4"/>
  <c r="CE52" i="4"/>
  <c r="CF53" i="4"/>
  <c r="AH10" i="1"/>
  <c r="AF9" i="1"/>
  <c r="AD9" i="1"/>
  <c r="AB9" i="1"/>
  <c r="AA9" i="1"/>
  <c r="Z9" i="1"/>
  <c r="Y9" i="1"/>
  <c r="X9" i="1"/>
  <c r="V9" i="1"/>
  <c r="Q9" i="1"/>
  <c r="R9" i="1"/>
  <c r="S9" i="1"/>
  <c r="U9" i="1"/>
  <c r="H9" i="1"/>
  <c r="CG53" i="4" l="1"/>
  <c r="CF52" i="4"/>
  <c r="CH104" i="4"/>
  <c r="CG103" i="4"/>
  <c r="CG10" i="4"/>
  <c r="CF9" i="4"/>
  <c r="AI10" i="1"/>
  <c r="AH9" i="1"/>
  <c r="AG9" i="1"/>
  <c r="AE9" i="1"/>
  <c r="AC9" i="1"/>
  <c r="W9" i="1"/>
  <c r="T9" i="1"/>
  <c r="I9" i="1"/>
  <c r="CH10" i="4" l="1"/>
  <c r="CG9" i="4"/>
  <c r="CH103" i="4"/>
  <c r="CI104" i="4"/>
  <c r="CH53" i="4"/>
  <c r="CG52" i="4"/>
  <c r="AJ10" i="1"/>
  <c r="AK10" i="1" s="1"/>
  <c r="AL10" i="1" s="1"/>
  <c r="AM10" i="1" s="1"/>
  <c r="AN10" i="1" s="1"/>
  <c r="AO10" i="1" s="1"/>
  <c r="AI9" i="1"/>
  <c r="J9" i="1"/>
  <c r="CI53" i="4" l="1"/>
  <c r="CH52" i="4"/>
  <c r="CJ104" i="4"/>
  <c r="CI103" i="4"/>
  <c r="CI10" i="4"/>
  <c r="CH9" i="4"/>
  <c r="AP10" i="1"/>
  <c r="AQ10" i="1" s="1"/>
  <c r="AN9" i="1"/>
  <c r="AL9" i="1"/>
  <c r="AM9" i="1"/>
  <c r="AJ9" i="1"/>
  <c r="K9" i="1"/>
  <c r="CJ10" i="4" l="1"/>
  <c r="CI9" i="4"/>
  <c r="CK104" i="4"/>
  <c r="CJ103" i="4"/>
  <c r="CJ53" i="4"/>
  <c r="CI52" i="4"/>
  <c r="AP9" i="1"/>
  <c r="AR10" i="1"/>
  <c r="AQ9" i="1"/>
  <c r="AK9" i="1"/>
  <c r="L9" i="1"/>
  <c r="CJ52" i="4" l="1"/>
  <c r="CK53" i="4"/>
  <c r="CL104" i="4"/>
  <c r="CL103" i="4" s="1"/>
  <c r="CK103" i="4"/>
  <c r="CK10" i="4"/>
  <c r="CJ9" i="4"/>
  <c r="AS10" i="1"/>
  <c r="AT10" i="1" s="1"/>
  <c r="AR9" i="1"/>
  <c r="AO9" i="1"/>
  <c r="M9" i="1"/>
  <c r="CK9" i="4" l="1"/>
  <c r="CL10" i="4"/>
  <c r="CL9" i="4" s="1"/>
  <c r="CK52" i="4"/>
  <c r="CL53" i="4"/>
  <c r="CL52" i="4" s="1"/>
  <c r="AU10" i="1"/>
  <c r="AT9" i="1"/>
  <c r="AS9" i="1"/>
  <c r="N9" i="1"/>
  <c r="AV10" i="1" l="1"/>
  <c r="AU9" i="1"/>
  <c r="O9" i="1"/>
  <c r="AW10" i="1" l="1"/>
  <c r="AV9" i="1"/>
  <c r="O109" i="1"/>
  <c r="N109" i="1"/>
  <c r="M109" i="1"/>
  <c r="L109" i="1"/>
  <c r="K109" i="1"/>
  <c r="J109" i="1"/>
  <c r="I109" i="1"/>
  <c r="H109" i="1"/>
  <c r="G109" i="1"/>
  <c r="F109" i="1"/>
  <c r="G104" i="1"/>
  <c r="G103" i="1" s="1"/>
  <c r="F103" i="1"/>
  <c r="H58" i="1"/>
  <c r="I58" i="1"/>
  <c r="J58" i="1"/>
  <c r="K58" i="1"/>
  <c r="L58" i="1"/>
  <c r="M58" i="1"/>
  <c r="N58" i="1"/>
  <c r="O58" i="1"/>
  <c r="G58" i="1"/>
  <c r="F58" i="1"/>
  <c r="G53" i="1"/>
  <c r="G52" i="1" s="1"/>
  <c r="F52" i="1"/>
  <c r="AX10" i="1" l="1"/>
  <c r="AW9" i="1"/>
  <c r="H104" i="1"/>
  <c r="H53" i="1"/>
  <c r="AY10" i="1" l="1"/>
  <c r="AZ10" i="1" s="1"/>
  <c r="BA10" i="1" s="1"/>
  <c r="BB10" i="1" s="1"/>
  <c r="BC10" i="1" s="1"/>
  <c r="BD10" i="1" s="1"/>
  <c r="BE10" i="1" s="1"/>
  <c r="AX9" i="1"/>
  <c r="H103" i="1"/>
  <c r="I104" i="1"/>
  <c r="H52" i="1"/>
  <c r="I53" i="1"/>
  <c r="BF10" i="1" l="1"/>
  <c r="BE9" i="1"/>
  <c r="BC9" i="1"/>
  <c r="BB9" i="1"/>
  <c r="AY9" i="1"/>
  <c r="I103" i="1"/>
  <c r="J104" i="1"/>
  <c r="I52" i="1"/>
  <c r="J53" i="1"/>
  <c r="BG10" i="1" l="1"/>
  <c r="BF9" i="1"/>
  <c r="BD9" i="1"/>
  <c r="AZ9" i="1"/>
  <c r="J103" i="1"/>
  <c r="K104" i="1"/>
  <c r="K53" i="1"/>
  <c r="J52" i="1"/>
  <c r="BH10" i="1" l="1"/>
  <c r="BH9" i="1" s="1"/>
  <c r="BG9" i="1"/>
  <c r="BA9" i="1"/>
  <c r="L104" i="1"/>
  <c r="K103" i="1"/>
  <c r="L53" i="1"/>
  <c r="K52" i="1"/>
  <c r="BI10" i="1" l="1"/>
  <c r="BJ10" i="1" s="1"/>
  <c r="BK10" i="1" s="1"/>
  <c r="L103" i="1"/>
  <c r="M104" i="1"/>
  <c r="M53" i="1"/>
  <c r="L52" i="1"/>
  <c r="BL10" i="1" l="1"/>
  <c r="BK9" i="1"/>
  <c r="BI9" i="1"/>
  <c r="N104" i="1"/>
  <c r="M103" i="1"/>
  <c r="N53" i="1"/>
  <c r="M52" i="1"/>
  <c r="BM10" i="1" l="1"/>
  <c r="BN10" i="1" s="1"/>
  <c r="BO10" i="1" s="1"/>
  <c r="BP10" i="1" s="1"/>
  <c r="BQ10" i="1" s="1"/>
  <c r="BR10" i="1" s="1"/>
  <c r="BS10" i="1" s="1"/>
  <c r="BT10" i="1" s="1"/>
  <c r="BU10" i="1" s="1"/>
  <c r="BL9" i="1"/>
  <c r="BJ9" i="1"/>
  <c r="O104" i="1"/>
  <c r="P104" i="1" s="1"/>
  <c r="O53" i="1"/>
  <c r="P53" i="1" s="1"/>
  <c r="N103" i="1"/>
  <c r="N52" i="1"/>
  <c r="BV10" i="1" l="1"/>
  <c r="BW10" i="1" s="1"/>
  <c r="BX10" i="1" s="1"/>
  <c r="BY10" i="1" s="1"/>
  <c r="BU9" i="1"/>
  <c r="BP9" i="1"/>
  <c r="BM9" i="1"/>
  <c r="Q53" i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Q104" i="1"/>
  <c r="P103" i="1"/>
  <c r="P52" i="1"/>
  <c r="O103" i="1"/>
  <c r="O52" i="1"/>
  <c r="BZ10" i="1" l="1"/>
  <c r="CA10" i="1" s="1"/>
  <c r="BY9" i="1"/>
  <c r="BX9" i="1"/>
  <c r="BW9" i="1"/>
  <c r="BT9" i="1"/>
  <c r="BR9" i="1"/>
  <c r="BV9" i="1"/>
  <c r="BQ9" i="1"/>
  <c r="BN9" i="1"/>
  <c r="AD53" i="1"/>
  <c r="AE53" i="1" s="1"/>
  <c r="AF53" i="1" s="1"/>
  <c r="AC52" i="1"/>
  <c r="AB52" i="1"/>
  <c r="AA52" i="1"/>
  <c r="Z52" i="1"/>
  <c r="Y52" i="1"/>
  <c r="X52" i="1"/>
  <c r="V52" i="1"/>
  <c r="Q52" i="1"/>
  <c r="R52" i="1"/>
  <c r="S52" i="1"/>
  <c r="Q103" i="1"/>
  <c r="R104" i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U52" i="1"/>
  <c r="F15" i="1"/>
  <c r="G15" i="1"/>
  <c r="H15" i="1"/>
  <c r="I15" i="1"/>
  <c r="J15" i="1"/>
  <c r="K15" i="1"/>
  <c r="L15" i="1"/>
  <c r="M15" i="1"/>
  <c r="N15" i="1"/>
  <c r="O15" i="1"/>
  <c r="CB10" i="1" l="1"/>
  <c r="CB9" i="1" s="1"/>
  <c r="BZ9" i="1"/>
  <c r="CA9" i="1"/>
  <c r="BS9" i="1"/>
  <c r="BO9" i="1"/>
  <c r="AZ152" i="1"/>
  <c r="BK152" i="1"/>
  <c r="BK151" i="1" s="1"/>
  <c r="AD52" i="1"/>
  <c r="AG53" i="1"/>
  <c r="AH53" i="1" s="1"/>
  <c r="AI53" i="1" s="1"/>
  <c r="AF52" i="1"/>
  <c r="W52" i="1"/>
  <c r="R151" i="1"/>
  <c r="S104" i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R103" i="1"/>
  <c r="T52" i="1"/>
  <c r="CC10" i="1" l="1"/>
  <c r="CC9" i="1" s="1"/>
  <c r="BA152" i="1"/>
  <c r="BL152" i="1"/>
  <c r="BL151" i="1" s="1"/>
  <c r="AJ53" i="1"/>
  <c r="AK53" i="1" s="1"/>
  <c r="AL53" i="1" s="1"/>
  <c r="AL52" i="1" s="1"/>
  <c r="AH52" i="1"/>
  <c r="AG52" i="1"/>
  <c r="AE52" i="1"/>
  <c r="AD104" i="1"/>
  <c r="AE104" i="1" s="1"/>
  <c r="AA103" i="1"/>
  <c r="Z103" i="1"/>
  <c r="Y103" i="1"/>
  <c r="X103" i="1"/>
  <c r="V103" i="1"/>
  <c r="S151" i="1"/>
  <c r="U103" i="1"/>
  <c r="S103" i="1"/>
  <c r="CD10" i="1" l="1"/>
  <c r="CD9" i="1" s="1"/>
  <c r="CE152" i="1"/>
  <c r="CE151" i="1" s="1"/>
  <c r="CH152" i="1"/>
  <c r="EN152" i="1" s="1"/>
  <c r="EN151" i="1" s="1"/>
  <c r="BU152" i="1"/>
  <c r="BU151" i="1" s="1"/>
  <c r="BY152" i="1"/>
  <c r="BY151" i="1" s="1"/>
  <c r="BB152" i="1"/>
  <c r="BM152" i="1"/>
  <c r="BM151" i="1" s="1"/>
  <c r="AV151" i="1"/>
  <c r="AY151" i="1"/>
  <c r="AD103" i="1"/>
  <c r="AJ52" i="1"/>
  <c r="AM53" i="1"/>
  <c r="AN53" i="1" s="1"/>
  <c r="AO53" i="1" s="1"/>
  <c r="AP53" i="1" s="1"/>
  <c r="AQ53" i="1" s="1"/>
  <c r="AR53" i="1" s="1"/>
  <c r="AK52" i="1"/>
  <c r="AF104" i="1"/>
  <c r="AG104" i="1" s="1"/>
  <c r="AH104" i="1" s="1"/>
  <c r="AI104" i="1" s="1"/>
  <c r="AI52" i="1"/>
  <c r="AC103" i="1"/>
  <c r="AB103" i="1"/>
  <c r="W103" i="1"/>
  <c r="T151" i="1"/>
  <c r="T103" i="1"/>
  <c r="CE10" i="1" l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H151" i="1"/>
  <c r="EH152" i="1"/>
  <c r="EH151" i="1" s="1"/>
  <c r="CI152" i="1"/>
  <c r="CL152" i="1"/>
  <c r="CC152" i="1"/>
  <c r="CC151" i="1" s="1"/>
  <c r="CF152" i="1"/>
  <c r="BV152" i="1"/>
  <c r="BV151" i="1" s="1"/>
  <c r="BZ152" i="1"/>
  <c r="BZ151" i="1" s="1"/>
  <c r="BP152" i="1"/>
  <c r="BP151" i="1" s="1"/>
  <c r="BR152" i="1"/>
  <c r="BR151" i="1" s="1"/>
  <c r="BN152" i="1"/>
  <c r="BN151" i="1" s="1"/>
  <c r="BG152" i="1"/>
  <c r="BG151" i="1" s="1"/>
  <c r="BI152" i="1"/>
  <c r="BI151" i="1" s="1"/>
  <c r="BC152" i="1"/>
  <c r="BE152" i="1"/>
  <c r="BE151" i="1" s="1"/>
  <c r="BB151" i="1"/>
  <c r="AW151" i="1"/>
  <c r="AZ151" i="1"/>
  <c r="AS53" i="1"/>
  <c r="AR151" i="1"/>
  <c r="AT151" i="1"/>
  <c r="AR52" i="1"/>
  <c r="AL151" i="1"/>
  <c r="AP151" i="1"/>
  <c r="AP52" i="1"/>
  <c r="AM52" i="1"/>
  <c r="AJ104" i="1"/>
  <c r="AK104" i="1" s="1"/>
  <c r="AL104" i="1" s="1"/>
  <c r="AL103" i="1" s="1"/>
  <c r="AF103" i="1"/>
  <c r="AJ151" i="1"/>
  <c r="AG103" i="1"/>
  <c r="AE103" i="1"/>
  <c r="U151" i="1"/>
  <c r="GO152" i="1" l="1"/>
  <c r="GO151" i="1" s="1"/>
  <c r="GR152" i="1"/>
  <c r="GR151" i="1" s="1"/>
  <c r="GG152" i="1"/>
  <c r="GG151" i="1" s="1"/>
  <c r="GL152" i="1"/>
  <c r="GL151" i="1" s="1"/>
  <c r="CE9" i="1"/>
  <c r="GF152" i="1"/>
  <c r="GF151" i="1" s="1"/>
  <c r="GJ152" i="1"/>
  <c r="GJ151" i="1" s="1"/>
  <c r="GA152" i="1"/>
  <c r="GA151" i="1" s="1"/>
  <c r="GE152" i="1"/>
  <c r="GE151" i="1" s="1"/>
  <c r="FI152" i="1"/>
  <c r="FI151" i="1" s="1"/>
  <c r="FU152" i="1"/>
  <c r="FU151" i="1" s="1"/>
  <c r="FS152" i="1"/>
  <c r="FS151" i="1" s="1"/>
  <c r="FX152" i="1"/>
  <c r="FX151" i="1" s="1"/>
  <c r="FL152" i="1"/>
  <c r="FL151" i="1" s="1"/>
  <c r="FP152" i="1"/>
  <c r="FP151" i="1" s="1"/>
  <c r="FC152" i="1"/>
  <c r="FC151" i="1" s="1"/>
  <c r="FD152" i="1"/>
  <c r="FD151" i="1" s="1"/>
  <c r="ET152" i="1"/>
  <c r="ET151" i="1" s="1"/>
  <c r="EW152" i="1"/>
  <c r="EW151" i="1" s="1"/>
  <c r="EI152" i="1"/>
  <c r="EI151" i="1" s="1"/>
  <c r="EO152" i="1"/>
  <c r="EO151" i="1" s="1"/>
  <c r="EL152" i="1"/>
  <c r="EL151" i="1" s="1"/>
  <c r="ER152" i="1"/>
  <c r="ER151" i="1" s="1"/>
  <c r="CF151" i="1"/>
  <c r="EF152" i="1"/>
  <c r="EF151" i="1" s="1"/>
  <c r="DZ152" i="1"/>
  <c r="DZ151" i="1" s="1"/>
  <c r="ED152" i="1"/>
  <c r="ED151" i="1" s="1"/>
  <c r="DT152" i="1"/>
  <c r="DT151" i="1" s="1"/>
  <c r="DW152" i="1"/>
  <c r="DW151" i="1" s="1"/>
  <c r="CI151" i="1"/>
  <c r="DO152" i="1"/>
  <c r="DO151" i="1" s="1"/>
  <c r="DK152" i="1"/>
  <c r="DK151" i="1" s="1"/>
  <c r="DR152" i="1"/>
  <c r="DR151" i="1" s="1"/>
  <c r="DG152" i="1"/>
  <c r="DG151" i="1" s="1"/>
  <c r="DJ152" i="1"/>
  <c r="DJ151" i="1" s="1"/>
  <c r="DE152" i="1"/>
  <c r="DE151" i="1" s="1"/>
  <c r="DF152" i="1"/>
  <c r="DF151" i="1" s="1"/>
  <c r="DB152" i="1"/>
  <c r="DB151" i="1" s="1"/>
  <c r="DD152" i="1"/>
  <c r="DD151" i="1" s="1"/>
  <c r="CP9" i="1"/>
  <c r="CV10" i="1"/>
  <c r="CV9" i="1" s="1"/>
  <c r="CW152" i="1"/>
  <c r="CW151" i="1" s="1"/>
  <c r="CY152" i="1"/>
  <c r="CY151" i="1" s="1"/>
  <c r="CR9" i="1"/>
  <c r="CT9" i="1"/>
  <c r="CS152" i="1"/>
  <c r="CS151" i="1" s="1"/>
  <c r="CU152" i="1"/>
  <c r="CU151" i="1" s="1"/>
  <c r="CQ9" i="1"/>
  <c r="CL151" i="1"/>
  <c r="CQ152" i="1"/>
  <c r="CQ151" i="1" s="1"/>
  <c r="CK152" i="1"/>
  <c r="CM152" i="1"/>
  <c r="CM9" i="1"/>
  <c r="CH9" i="1"/>
  <c r="CG152" i="1"/>
  <c r="CJ152" i="1"/>
  <c r="CF9" i="1"/>
  <c r="CB152" i="1"/>
  <c r="CB151" i="1" s="1"/>
  <c r="CD152" i="1"/>
  <c r="CD151" i="1" s="1"/>
  <c r="BX152" i="1"/>
  <c r="BX151" i="1" s="1"/>
  <c r="CA152" i="1"/>
  <c r="CA151" i="1" s="1"/>
  <c r="BT152" i="1"/>
  <c r="BT151" i="1" s="1"/>
  <c r="BW152" i="1"/>
  <c r="BW151" i="1" s="1"/>
  <c r="BQ152" i="1"/>
  <c r="BQ151" i="1" s="1"/>
  <c r="BS152" i="1"/>
  <c r="BS151" i="1" s="1"/>
  <c r="BO152" i="1"/>
  <c r="BO151" i="1" s="1"/>
  <c r="BD152" i="1"/>
  <c r="BF152" i="1"/>
  <c r="BF151" i="1" s="1"/>
  <c r="BJ152" i="1"/>
  <c r="BJ151" i="1" s="1"/>
  <c r="BH152" i="1"/>
  <c r="BH151" i="1" s="1"/>
  <c r="BC151" i="1"/>
  <c r="AT53" i="1"/>
  <c r="AU53" i="1" s="1"/>
  <c r="AV53" i="1" s="1"/>
  <c r="AX151" i="1"/>
  <c r="BA151" i="1"/>
  <c r="AS151" i="1"/>
  <c r="AU151" i="1"/>
  <c r="AJ103" i="1"/>
  <c r="AI151" i="1"/>
  <c r="AH151" i="1"/>
  <c r="AM104" i="1"/>
  <c r="AN104" i="1" s="1"/>
  <c r="AO104" i="1" s="1"/>
  <c r="AP104" i="1" s="1"/>
  <c r="AQ104" i="1" s="1"/>
  <c r="AQ52" i="1"/>
  <c r="AN52" i="1"/>
  <c r="AO151" i="1"/>
  <c r="AQ151" i="1"/>
  <c r="AG151" i="1"/>
  <c r="AN151" i="1"/>
  <c r="V151" i="1"/>
  <c r="Y151" i="1"/>
  <c r="X151" i="1"/>
  <c r="AF151" i="1"/>
  <c r="Z151" i="1"/>
  <c r="AC151" i="1"/>
  <c r="AA151" i="1"/>
  <c r="AK151" i="1"/>
  <c r="AM151" i="1"/>
  <c r="AB151" i="1"/>
  <c r="AE151" i="1"/>
  <c r="AD151" i="1"/>
  <c r="AK103" i="1"/>
  <c r="AH103" i="1"/>
  <c r="AI103" i="1"/>
  <c r="GM152" i="1" l="1"/>
  <c r="GM151" i="1" s="1"/>
  <c r="GP152" i="1"/>
  <c r="GP151" i="1" s="1"/>
  <c r="GN152" i="1"/>
  <c r="GN151" i="1" s="1"/>
  <c r="GQ152" i="1"/>
  <c r="GQ151" i="1" s="1"/>
  <c r="GK152" i="1"/>
  <c r="GK151" i="1" s="1"/>
  <c r="GS152" i="1"/>
  <c r="GS151" i="1" s="1"/>
  <c r="GD152" i="1"/>
  <c r="GD151" i="1" s="1"/>
  <c r="GI152" i="1"/>
  <c r="GI151" i="1" s="1"/>
  <c r="GC152" i="1"/>
  <c r="GC151" i="1" s="1"/>
  <c r="GH152" i="1"/>
  <c r="GH151" i="1" s="1"/>
  <c r="FV152" i="1"/>
  <c r="FV151" i="1" s="1"/>
  <c r="FY152" i="1"/>
  <c r="FY151" i="1" s="1"/>
  <c r="FW152" i="1"/>
  <c r="FW151" i="1" s="1"/>
  <c r="FZ152" i="1"/>
  <c r="FZ151" i="1" s="1"/>
  <c r="FT152" i="1"/>
  <c r="FT151" i="1" s="1"/>
  <c r="GB152" i="1"/>
  <c r="GB151" i="1" s="1"/>
  <c r="FN152" i="1"/>
  <c r="FN151" i="1" s="1"/>
  <c r="FQ152" i="1"/>
  <c r="FQ151" i="1" s="1"/>
  <c r="FO152" i="1"/>
  <c r="FO151" i="1" s="1"/>
  <c r="FR152" i="1"/>
  <c r="FR151" i="1" s="1"/>
  <c r="EP152" i="1"/>
  <c r="EP151" i="1" s="1"/>
  <c r="FJ152" i="1"/>
  <c r="FJ151" i="1" s="1"/>
  <c r="FB152" i="1"/>
  <c r="FB151" i="1" s="1"/>
  <c r="FK152" i="1"/>
  <c r="FK151" i="1" s="1"/>
  <c r="FH152" i="1"/>
  <c r="FH151" i="1" s="1"/>
  <c r="FM152" i="1"/>
  <c r="FM151" i="1" s="1"/>
  <c r="FF152" i="1"/>
  <c r="FF151" i="1" s="1"/>
  <c r="FG152" i="1"/>
  <c r="FG151" i="1" s="1"/>
  <c r="FA152" i="1"/>
  <c r="FA151" i="1" s="1"/>
  <c r="FE152" i="1"/>
  <c r="FE151" i="1" s="1"/>
  <c r="EY152" i="1"/>
  <c r="EY151" i="1" s="1"/>
  <c r="EZ152" i="1"/>
  <c r="EZ151" i="1" s="1"/>
  <c r="EU152" i="1"/>
  <c r="EU151" i="1" s="1"/>
  <c r="EV152" i="1"/>
  <c r="EV151" i="1" s="1"/>
  <c r="ES152" i="1"/>
  <c r="ES151" i="1" s="1"/>
  <c r="EX152" i="1"/>
  <c r="EX151" i="1" s="1"/>
  <c r="EK152" i="1"/>
  <c r="EK151" i="1" s="1"/>
  <c r="EQ152" i="1"/>
  <c r="EQ151" i="1" s="1"/>
  <c r="CG151" i="1"/>
  <c r="EG152" i="1"/>
  <c r="EG151" i="1" s="1"/>
  <c r="DX152" i="1"/>
  <c r="DX151" i="1" s="1"/>
  <c r="EJ152" i="1"/>
  <c r="EJ151" i="1" s="1"/>
  <c r="EE152" i="1"/>
  <c r="EE151" i="1" s="1"/>
  <c r="EM152" i="1"/>
  <c r="EM151" i="1" s="1"/>
  <c r="DY152" i="1"/>
  <c r="DY151" i="1" s="1"/>
  <c r="EC152" i="1"/>
  <c r="EC151" i="1" s="1"/>
  <c r="EA152" i="1"/>
  <c r="EA151" i="1" s="1"/>
  <c r="EB152" i="1"/>
  <c r="EB151" i="1" s="1"/>
  <c r="DP152" i="1"/>
  <c r="DP151" i="1" s="1"/>
  <c r="DU152" i="1"/>
  <c r="DU151" i="1" s="1"/>
  <c r="DS152" i="1"/>
  <c r="DS151" i="1" s="1"/>
  <c r="DV152" i="1"/>
  <c r="DV151" i="1" s="1"/>
  <c r="DH152" i="1"/>
  <c r="DH151" i="1" s="1"/>
  <c r="DN152" i="1"/>
  <c r="DN151" i="1" s="1"/>
  <c r="DM152" i="1"/>
  <c r="DM151" i="1" s="1"/>
  <c r="DQ152" i="1"/>
  <c r="DQ151" i="1" s="1"/>
  <c r="DI152" i="1"/>
  <c r="DI151" i="1" s="1"/>
  <c r="DL152" i="1"/>
  <c r="DL151" i="1" s="1"/>
  <c r="DA152" i="1"/>
  <c r="DA151" i="1" s="1"/>
  <c r="DC152" i="1"/>
  <c r="DC151" i="1" s="1"/>
  <c r="CJ151" i="1"/>
  <c r="CZ152" i="1"/>
  <c r="CZ151" i="1" s="1"/>
  <c r="CW10" i="1"/>
  <c r="CV152" i="1"/>
  <c r="CV151" i="1" s="1"/>
  <c r="CX152" i="1"/>
  <c r="CX151" i="1" s="1"/>
  <c r="CR152" i="1"/>
  <c r="CR151" i="1" s="1"/>
  <c r="CT152" i="1"/>
  <c r="CT151" i="1" s="1"/>
  <c r="CU9" i="1"/>
  <c r="CS9" i="1"/>
  <c r="CK151" i="1"/>
  <c r="CP152" i="1"/>
  <c r="CP151" i="1" s="1"/>
  <c r="CM151" i="1"/>
  <c r="CO152" i="1"/>
  <c r="CO151" i="1" s="1"/>
  <c r="CO9" i="1"/>
  <c r="CL9" i="1"/>
  <c r="CK9" i="1"/>
  <c r="CI9" i="1"/>
  <c r="CG9" i="1"/>
  <c r="CN152" i="1"/>
  <c r="GT152" i="1" s="1"/>
  <c r="GT151" i="1" s="1"/>
  <c r="BD151" i="1"/>
  <c r="AW53" i="1"/>
  <c r="AV52" i="1"/>
  <c r="AT52" i="1"/>
  <c r="AR104" i="1"/>
  <c r="AS52" i="1"/>
  <c r="AO52" i="1"/>
  <c r="AP103" i="1"/>
  <c r="AM103" i="1"/>
  <c r="W151" i="1"/>
  <c r="CW9" i="1" l="1"/>
  <c r="CX10" i="1"/>
  <c r="CJ9" i="1"/>
  <c r="CN151" i="1"/>
  <c r="CN9" i="1"/>
  <c r="AX53" i="1"/>
  <c r="AW52" i="1"/>
  <c r="AU52" i="1"/>
  <c r="AS104" i="1"/>
  <c r="AT104" i="1" s="1"/>
  <c r="AT103" i="1" s="1"/>
  <c r="AR103" i="1"/>
  <c r="AQ103" i="1"/>
  <c r="AN103" i="1"/>
  <c r="CY10" i="1" l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CX9" i="1"/>
  <c r="AU104" i="1"/>
  <c r="AY53" i="1"/>
  <c r="AX52" i="1"/>
  <c r="AS103" i="1"/>
  <c r="AO103" i="1"/>
  <c r="DR10" i="1" l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DO9" i="1"/>
  <c r="DP9" i="1"/>
  <c r="DN9" i="1"/>
  <c r="DM9" i="1"/>
  <c r="DL9" i="1"/>
  <c r="DH9" i="1"/>
  <c r="DE9" i="1"/>
  <c r="DC9" i="1"/>
  <c r="CY9" i="1"/>
  <c r="AZ53" i="1"/>
  <c r="BA53" i="1" s="1"/>
  <c r="AY52" i="1"/>
  <c r="AV104" i="1"/>
  <c r="AU103" i="1"/>
  <c r="EG10" i="1" l="1"/>
  <c r="EF9" i="1"/>
  <c r="DS9" i="1"/>
  <c r="DZ9" i="1"/>
  <c r="EC9" i="1"/>
  <c r="ED9" i="1"/>
  <c r="EE9" i="1"/>
  <c r="EB9" i="1"/>
  <c r="DU9" i="1"/>
  <c r="DX9" i="1"/>
  <c r="DV9" i="1"/>
  <c r="DY9" i="1"/>
  <c r="DT9" i="1"/>
  <c r="DQ9" i="1"/>
  <c r="DR9" i="1"/>
  <c r="DK9" i="1"/>
  <c r="DI9" i="1"/>
  <c r="DD9" i="1"/>
  <c r="CZ9" i="1"/>
  <c r="BB53" i="1"/>
  <c r="BC53" i="1" s="1"/>
  <c r="BD53" i="1" s="1"/>
  <c r="BE53" i="1" s="1"/>
  <c r="AW104" i="1"/>
  <c r="AV103" i="1"/>
  <c r="AZ52" i="1"/>
  <c r="EH10" i="1" l="1"/>
  <c r="EG9" i="1"/>
  <c r="DW9" i="1"/>
  <c r="DJ9" i="1"/>
  <c r="DF9" i="1"/>
  <c r="DA9" i="1"/>
  <c r="BF53" i="1"/>
  <c r="BF52" i="1" s="1"/>
  <c r="BB52" i="1"/>
  <c r="BE52" i="1"/>
  <c r="BC52" i="1"/>
  <c r="BA52" i="1"/>
  <c r="AX104" i="1"/>
  <c r="AW103" i="1"/>
  <c r="EH9" i="1" l="1"/>
  <c r="EI10" i="1"/>
  <c r="DG9" i="1"/>
  <c r="DB9" i="1"/>
  <c r="BG53" i="1"/>
  <c r="BH53" i="1" s="1"/>
  <c r="BI53" i="1" s="1"/>
  <c r="BJ53" i="1" s="1"/>
  <c r="BK53" i="1" s="1"/>
  <c r="BD52" i="1"/>
  <c r="AY104" i="1"/>
  <c r="AX103" i="1"/>
  <c r="EJ10" i="1" l="1"/>
  <c r="EI9" i="1"/>
  <c r="EA9" i="1"/>
  <c r="BL53" i="1"/>
  <c r="BK52" i="1"/>
  <c r="BG52" i="1"/>
  <c r="BH52" i="1"/>
  <c r="AZ104" i="1"/>
  <c r="BA104" i="1" s="1"/>
  <c r="AY103" i="1"/>
  <c r="EK10" i="1" l="1"/>
  <c r="EL10" i="1" s="1"/>
  <c r="EM10" i="1" s="1"/>
  <c r="EN10" i="1" s="1"/>
  <c r="EJ9" i="1"/>
  <c r="BM53" i="1"/>
  <c r="BN53" i="1" s="1"/>
  <c r="BO53" i="1" s="1"/>
  <c r="BP53" i="1" s="1"/>
  <c r="BQ53" i="1" s="1"/>
  <c r="BR53" i="1" s="1"/>
  <c r="BS53" i="1" s="1"/>
  <c r="BT53" i="1" s="1"/>
  <c r="BU53" i="1" s="1"/>
  <c r="BL52" i="1"/>
  <c r="BB104" i="1"/>
  <c r="BC104" i="1" s="1"/>
  <c r="BD104" i="1" s="1"/>
  <c r="BE104" i="1" s="1"/>
  <c r="AZ103" i="1"/>
  <c r="EO10" i="1" l="1"/>
  <c r="EN9" i="1"/>
  <c r="EK9" i="1"/>
  <c r="BV53" i="1"/>
  <c r="BV52" i="1" s="1"/>
  <c r="BU52" i="1"/>
  <c r="BP52" i="1"/>
  <c r="BM52" i="1"/>
  <c r="BF104" i="1"/>
  <c r="BF103" i="1" s="1"/>
  <c r="BI52" i="1"/>
  <c r="BB103" i="1"/>
  <c r="BE103" i="1"/>
  <c r="BC103" i="1"/>
  <c r="BA103" i="1"/>
  <c r="EP10" i="1" l="1"/>
  <c r="EO9" i="1"/>
  <c r="EL9" i="1"/>
  <c r="BW53" i="1"/>
  <c r="BR52" i="1"/>
  <c r="BT52" i="1"/>
  <c r="BQ52" i="1"/>
  <c r="BN52" i="1"/>
  <c r="BJ52" i="1"/>
  <c r="BG104" i="1"/>
  <c r="BD103" i="1"/>
  <c r="EQ10" i="1" l="1"/>
  <c r="EP9" i="1"/>
  <c r="EM9" i="1"/>
  <c r="BX53" i="1"/>
  <c r="BW52" i="1"/>
  <c r="BS52" i="1"/>
  <c r="BO52" i="1"/>
  <c r="BH104" i="1"/>
  <c r="BH103" i="1" s="1"/>
  <c r="BG103" i="1"/>
  <c r="ER10" i="1" l="1"/>
  <c r="EQ9" i="1"/>
  <c r="BY53" i="1"/>
  <c r="BX52" i="1"/>
  <c r="BI104" i="1"/>
  <c r="BJ104" i="1" s="1"/>
  <c r="BK104" i="1" s="1"/>
  <c r="ES10" i="1" l="1"/>
  <c r="ET10" i="1" s="1"/>
  <c r="EU10" i="1" s="1"/>
  <c r="EV10" i="1" s="1"/>
  <c r="EW10" i="1" s="1"/>
  <c r="EX10" i="1" s="1"/>
  <c r="ER9" i="1"/>
  <c r="BZ53" i="1"/>
  <c r="BY52" i="1"/>
  <c r="BL104" i="1"/>
  <c r="BK103" i="1"/>
  <c r="BI103" i="1"/>
  <c r="EY10" i="1" l="1"/>
  <c r="EY9" i="1" s="1"/>
  <c r="ET9" i="1"/>
  <c r="EV9" i="1"/>
  <c r="ES9" i="1"/>
  <c r="BZ52" i="1"/>
  <c r="CA53" i="1"/>
  <c r="BM104" i="1"/>
  <c r="BN104" i="1" s="1"/>
  <c r="BO104" i="1" s="1"/>
  <c r="BP104" i="1" s="1"/>
  <c r="BQ104" i="1" s="1"/>
  <c r="BR104" i="1" s="1"/>
  <c r="BS104" i="1" s="1"/>
  <c r="BT104" i="1" s="1"/>
  <c r="BU104" i="1" s="1"/>
  <c r="BL103" i="1"/>
  <c r="BJ103" i="1"/>
  <c r="EZ10" i="1" l="1"/>
  <c r="EU9" i="1"/>
  <c r="CB53" i="1"/>
  <c r="CA52" i="1"/>
  <c r="BV104" i="1"/>
  <c r="BV103" i="1" s="1"/>
  <c r="BU103" i="1"/>
  <c r="BT103" i="1"/>
  <c r="BR103" i="1"/>
  <c r="BS103" i="1"/>
  <c r="BP103" i="1"/>
  <c r="BM103" i="1"/>
  <c r="C13" i="3"/>
  <c r="EZ9" i="1" l="1"/>
  <c r="FA10" i="1"/>
  <c r="FB10" i="1" s="1"/>
  <c r="FC10" i="1" s="1"/>
  <c r="EW9" i="1"/>
  <c r="CC53" i="1"/>
  <c r="CB52" i="1"/>
  <c r="BW104" i="1"/>
  <c r="BQ103" i="1"/>
  <c r="BN103" i="1"/>
  <c r="FA9" i="1" l="1"/>
  <c r="FD10" i="1"/>
  <c r="FD9" i="1"/>
  <c r="FB9" i="1"/>
  <c r="EX9" i="1"/>
  <c r="CD53" i="1"/>
  <c r="CC52" i="1"/>
  <c r="BX104" i="1"/>
  <c r="BW103" i="1"/>
  <c r="BO103" i="1"/>
  <c r="FE10" i="1" l="1"/>
  <c r="FC9" i="1"/>
  <c r="CE53" i="1"/>
  <c r="CD52" i="1"/>
  <c r="BY104" i="1"/>
  <c r="BX103" i="1"/>
  <c r="FF10" i="1" l="1"/>
  <c r="FE9" i="1"/>
  <c r="CF53" i="1"/>
  <c r="CE52" i="1"/>
  <c r="BZ104" i="1"/>
  <c r="BY103" i="1"/>
  <c r="FG10" i="1" l="1"/>
  <c r="FH10" i="1" s="1"/>
  <c r="FI10" i="1" s="1"/>
  <c r="FF9" i="1"/>
  <c r="CG53" i="1"/>
  <c r="CF52" i="1"/>
  <c r="CA104" i="1"/>
  <c r="BZ103" i="1"/>
  <c r="FJ10" i="1" l="1"/>
  <c r="FI9" i="1"/>
  <c r="FG9" i="1"/>
  <c r="CH53" i="1"/>
  <c r="CG52" i="1"/>
  <c r="CB104" i="1"/>
  <c r="CA103" i="1"/>
  <c r="FK10" i="1" l="1"/>
  <c r="FJ9" i="1"/>
  <c r="FH9" i="1"/>
  <c r="CI53" i="1"/>
  <c r="CH52" i="1"/>
  <c r="CB103" i="1"/>
  <c r="CC104" i="1"/>
  <c r="FL10" i="1" l="1"/>
  <c r="FM10" i="1" s="1"/>
  <c r="FN10" i="1" s="1"/>
  <c r="FK9" i="1"/>
  <c r="CJ53" i="1"/>
  <c r="CI52" i="1"/>
  <c r="CC103" i="1"/>
  <c r="CD104" i="1"/>
  <c r="FO10" i="1" l="1"/>
  <c r="FN9" i="1"/>
  <c r="FL9" i="1"/>
  <c r="CK53" i="1"/>
  <c r="CJ52" i="1"/>
  <c r="CE104" i="1"/>
  <c r="CD103" i="1"/>
  <c r="FP10" i="1" l="1"/>
  <c r="FO9" i="1"/>
  <c r="FM9" i="1"/>
  <c r="CL53" i="1"/>
  <c r="CK52" i="1"/>
  <c r="CF104" i="1"/>
  <c r="CE103" i="1"/>
  <c r="FQ10" i="1" l="1"/>
  <c r="FP9" i="1"/>
  <c r="CM53" i="1"/>
  <c r="CL52" i="1"/>
  <c r="CG104" i="1"/>
  <c r="CF103" i="1"/>
  <c r="FR10" i="1" l="1"/>
  <c r="FQ9" i="1"/>
  <c r="CN53" i="1"/>
  <c r="CM52" i="1"/>
  <c r="CH104" i="1"/>
  <c r="CG103" i="1"/>
  <c r="FS10" i="1" l="1"/>
  <c r="FR9" i="1"/>
  <c r="CO53" i="1"/>
  <c r="CN52" i="1"/>
  <c r="CI104" i="1"/>
  <c r="CH103" i="1"/>
  <c r="FT10" i="1" l="1"/>
  <c r="FU10" i="1" s="1"/>
  <c r="FS9" i="1"/>
  <c r="CP53" i="1"/>
  <c r="CO52" i="1"/>
  <c r="CJ104" i="1"/>
  <c r="CI103" i="1"/>
  <c r="FV10" i="1" l="1"/>
  <c r="FU9" i="1"/>
  <c r="FT9" i="1"/>
  <c r="CQ53" i="1"/>
  <c r="CP52" i="1"/>
  <c r="CK104" i="1"/>
  <c r="CJ103" i="1"/>
  <c r="FW10" i="1" l="1"/>
  <c r="FX10" i="1" s="1"/>
  <c r="FV9" i="1"/>
  <c r="CR53" i="1"/>
  <c r="CQ52" i="1"/>
  <c r="CL104" i="1"/>
  <c r="CK103" i="1"/>
  <c r="FY10" i="1" l="1"/>
  <c r="FZ10" i="1"/>
  <c r="FY9" i="1"/>
  <c r="FW9" i="1"/>
  <c r="CS53" i="1"/>
  <c r="CR52" i="1"/>
  <c r="CM104" i="1"/>
  <c r="CL103" i="1"/>
  <c r="GA10" i="1" l="1"/>
  <c r="FZ9" i="1"/>
  <c r="FX9" i="1"/>
  <c r="CT53" i="1"/>
  <c r="CS52" i="1"/>
  <c r="CN104" i="1"/>
  <c r="CM103" i="1"/>
  <c r="GB10" i="1" l="1"/>
  <c r="GA9" i="1"/>
  <c r="GB9" i="1"/>
  <c r="CU53" i="1"/>
  <c r="CT52" i="1"/>
  <c r="CO104" i="1"/>
  <c r="CN103" i="1"/>
  <c r="GC10" i="1" l="1"/>
  <c r="CV53" i="1"/>
  <c r="CU52" i="1"/>
  <c r="CP104" i="1"/>
  <c r="CQ104" i="1" s="1"/>
  <c r="CR104" i="1" s="1"/>
  <c r="CS104" i="1" s="1"/>
  <c r="CT104" i="1" s="1"/>
  <c r="CO103" i="1"/>
  <c r="GC9" i="1" l="1"/>
  <c r="GD10" i="1"/>
  <c r="GE10" i="1" s="1"/>
  <c r="GF10" i="1" s="1"/>
  <c r="CR103" i="1"/>
  <c r="CW53" i="1"/>
  <c r="CX53" i="1" s="1"/>
  <c r="CU104" i="1"/>
  <c r="CV104" i="1" s="1"/>
  <c r="CV103" i="1" s="1"/>
  <c r="CV52" i="1"/>
  <c r="CT103" i="1"/>
  <c r="CP103" i="1"/>
  <c r="CS103" i="1"/>
  <c r="GG10" i="1" l="1"/>
  <c r="GF9" i="1"/>
  <c r="GD9" i="1"/>
  <c r="CY53" i="1"/>
  <c r="CX52" i="1"/>
  <c r="CU103" i="1"/>
  <c r="CW104" i="1"/>
  <c r="CX104" i="1" s="1"/>
  <c r="CW52" i="1"/>
  <c r="CQ103" i="1"/>
  <c r="GH10" i="1" l="1"/>
  <c r="GG9" i="1"/>
  <c r="GE9" i="1"/>
  <c r="CY104" i="1"/>
  <c r="CZ104" i="1" s="1"/>
  <c r="DA104" i="1" s="1"/>
  <c r="DB104" i="1" s="1"/>
  <c r="DC104" i="1" s="1"/>
  <c r="DD104" i="1" s="1"/>
  <c r="DE104" i="1" s="1"/>
  <c r="DF104" i="1" s="1"/>
  <c r="DG104" i="1" s="1"/>
  <c r="CX103" i="1"/>
  <c r="CZ53" i="1"/>
  <c r="CY52" i="1"/>
  <c r="CW103" i="1"/>
  <c r="GI10" i="1" l="1"/>
  <c r="GP9" i="1" s="1"/>
  <c r="GH9" i="1"/>
  <c r="DH104" i="1"/>
  <c r="DH103" i="1" s="1"/>
  <c r="DF103" i="1"/>
  <c r="DG103" i="1"/>
  <c r="DA53" i="1"/>
  <c r="DB53" i="1" s="1"/>
  <c r="DC53" i="1" s="1"/>
  <c r="DD53" i="1" s="1"/>
  <c r="DE53" i="1" s="1"/>
  <c r="DF53" i="1" s="1"/>
  <c r="DG53" i="1" s="1"/>
  <c r="DE103" i="1"/>
  <c r="CZ52" i="1"/>
  <c r="DC103" i="1"/>
  <c r="CY103" i="1"/>
  <c r="GQ9" i="1" l="1"/>
  <c r="GL9" i="1"/>
  <c r="GI9" i="1"/>
  <c r="DI104" i="1"/>
  <c r="DJ104" i="1" s="1"/>
  <c r="DK104" i="1" s="1"/>
  <c r="DL104" i="1" s="1"/>
  <c r="DH53" i="1"/>
  <c r="DI53" i="1" s="1"/>
  <c r="DJ53" i="1" s="1"/>
  <c r="DK53" i="1" s="1"/>
  <c r="DL53" i="1" s="1"/>
  <c r="DE52" i="1"/>
  <c r="DC52" i="1"/>
  <c r="DA52" i="1"/>
  <c r="DD103" i="1"/>
  <c r="CZ103" i="1"/>
  <c r="GM9" i="1" l="1"/>
  <c r="GJ9" i="1"/>
  <c r="DI103" i="1"/>
  <c r="DH52" i="1"/>
  <c r="DM53" i="1"/>
  <c r="DN53" i="1" s="1"/>
  <c r="DL52" i="1"/>
  <c r="DM104" i="1"/>
  <c r="DL103" i="1"/>
  <c r="DK103" i="1"/>
  <c r="DJ103" i="1"/>
  <c r="DK52" i="1"/>
  <c r="DI52" i="1"/>
  <c r="DD52" i="1"/>
  <c r="DA103" i="1"/>
  <c r="DB52" i="1"/>
  <c r="GR9" i="1" l="1"/>
  <c r="GN9" i="1"/>
  <c r="GK9" i="1"/>
  <c r="DM52" i="1"/>
  <c r="DO53" i="1"/>
  <c r="DP53" i="1" s="1"/>
  <c r="DQ53" i="1" s="1"/>
  <c r="DR53" i="1" s="1"/>
  <c r="DS53" i="1" s="1"/>
  <c r="DT53" i="1" s="1"/>
  <c r="DN52" i="1"/>
  <c r="DN104" i="1"/>
  <c r="DM103" i="1"/>
  <c r="DJ52" i="1"/>
  <c r="DF52" i="1"/>
  <c r="DB103" i="1"/>
  <c r="GO9" i="1" l="1"/>
  <c r="DU53" i="1"/>
  <c r="DV53" i="1" s="1"/>
  <c r="DW53" i="1" s="1"/>
  <c r="DO52" i="1"/>
  <c r="DO104" i="1"/>
  <c r="DN103" i="1"/>
  <c r="DG52" i="1"/>
  <c r="GT9" i="1" l="1"/>
  <c r="GS9" i="1"/>
  <c r="DX53" i="1"/>
  <c r="DP52" i="1"/>
  <c r="DP104" i="1"/>
  <c r="DQ104" i="1" s="1"/>
  <c r="DR104" i="1" s="1"/>
  <c r="DS104" i="1" s="1"/>
  <c r="DT104" i="1" s="1"/>
  <c r="DU104" i="1" s="1"/>
  <c r="DV104" i="1" s="1"/>
  <c r="DW104" i="1" s="1"/>
  <c r="DO103" i="1"/>
  <c r="DX104" i="1" l="1"/>
  <c r="DX103" i="1" s="1"/>
  <c r="DY53" i="1"/>
  <c r="DX52" i="1"/>
  <c r="DU103" i="1"/>
  <c r="DU52" i="1"/>
  <c r="DQ52" i="1"/>
  <c r="DV103" i="1"/>
  <c r="DW103" i="1"/>
  <c r="DS103" i="1"/>
  <c r="DP103" i="1"/>
  <c r="DZ53" i="1" l="1"/>
  <c r="DY52" i="1"/>
  <c r="DY104" i="1"/>
  <c r="DV52" i="1"/>
  <c r="DR52" i="1"/>
  <c r="DT103" i="1"/>
  <c r="DQ103" i="1"/>
  <c r="DZ104" i="1" l="1"/>
  <c r="DY103" i="1"/>
  <c r="EA53" i="1"/>
  <c r="EB53" i="1" s="1"/>
  <c r="EC53" i="1" s="1"/>
  <c r="ED53" i="1" s="1"/>
  <c r="EE53" i="1" s="1"/>
  <c r="EF53" i="1" s="1"/>
  <c r="DZ52" i="1"/>
  <c r="DS52" i="1"/>
  <c r="DW52" i="1"/>
  <c r="DR103" i="1"/>
  <c r="EG53" i="1" l="1"/>
  <c r="EF52" i="1"/>
  <c r="EA104" i="1"/>
  <c r="EB104" i="1" s="1"/>
  <c r="EC104" i="1" s="1"/>
  <c r="ED104" i="1" s="1"/>
  <c r="EE104" i="1" s="1"/>
  <c r="EF104" i="1" s="1"/>
  <c r="DZ103" i="1"/>
  <c r="DT52" i="1"/>
  <c r="EA103" i="1" l="1"/>
  <c r="EG104" i="1"/>
  <c r="EF103" i="1"/>
  <c r="EH53" i="1"/>
  <c r="EG52" i="1"/>
  <c r="EB52" i="1"/>
  <c r="EA52" i="1"/>
  <c r="EI53" i="1" l="1"/>
  <c r="EH52" i="1"/>
  <c r="EH104" i="1"/>
  <c r="EG103" i="1"/>
  <c r="EC52" i="1"/>
  <c r="EB103" i="1"/>
  <c r="EI104" i="1" l="1"/>
  <c r="EH103" i="1"/>
  <c r="EJ53" i="1"/>
  <c r="EI52" i="1"/>
  <c r="EC103" i="1"/>
  <c r="ED52" i="1"/>
  <c r="EK53" i="1" l="1"/>
  <c r="EJ52" i="1"/>
  <c r="EJ104" i="1"/>
  <c r="EI103" i="1"/>
  <c r="EE52" i="1"/>
  <c r="ED103" i="1"/>
  <c r="EL53" i="1" l="1"/>
  <c r="EM53" i="1" s="1"/>
  <c r="EN53" i="1" s="1"/>
  <c r="EK104" i="1"/>
  <c r="EJ103" i="1"/>
  <c r="EK52" i="1"/>
  <c r="EE103" i="1"/>
  <c r="EL104" i="1" l="1"/>
  <c r="EM104" i="1" s="1"/>
  <c r="EN104" i="1" s="1"/>
  <c r="EO53" i="1"/>
  <c r="EN52" i="1"/>
  <c r="EL52" i="1"/>
  <c r="EK103" i="1"/>
  <c r="EP53" i="1" l="1"/>
  <c r="EO52" i="1"/>
  <c r="EO104" i="1"/>
  <c r="EN103" i="1"/>
  <c r="EL103" i="1"/>
  <c r="EM52" i="1"/>
  <c r="EP104" i="1" l="1"/>
  <c r="EO103" i="1"/>
  <c r="EQ53" i="1"/>
  <c r="EP52" i="1"/>
  <c r="EM103" i="1"/>
  <c r="EX15" i="1"/>
  <c r="EX14" i="1"/>
  <c r="ET15" i="1"/>
  <c r="ET14" i="1"/>
  <c r="GU12" i="1"/>
  <c r="ER53" i="1" l="1"/>
  <c r="EQ52" i="1"/>
  <c r="EQ104" i="1"/>
  <c r="EP103" i="1"/>
  <c r="GU106" i="1"/>
  <c r="ER104" i="1" l="1"/>
  <c r="EQ103" i="1"/>
  <c r="ES53" i="1"/>
  <c r="ET53" i="1" s="1"/>
  <c r="EU53" i="1" s="1"/>
  <c r="EV53" i="1" s="1"/>
  <c r="EW53" i="1" s="1"/>
  <c r="ER52" i="1"/>
  <c r="EU52" i="1" l="1"/>
  <c r="EX53" i="1"/>
  <c r="EY53" i="1" s="1"/>
  <c r="EY52" i="1"/>
  <c r="EV52" i="1"/>
  <c r="EW52" i="1"/>
  <c r="ES52" i="1"/>
  <c r="ES104" i="1"/>
  <c r="ET104" i="1" s="1"/>
  <c r="EU104" i="1" s="1"/>
  <c r="EV104" i="1" s="1"/>
  <c r="ER103" i="1"/>
  <c r="EU103" i="1" l="1"/>
  <c r="EZ53" i="1"/>
  <c r="EW104" i="1"/>
  <c r="EX104" i="1" s="1"/>
  <c r="EY104" i="1" s="1"/>
  <c r="EY103" i="1"/>
  <c r="EV103" i="1"/>
  <c r="ES103" i="1"/>
  <c r="ET52" i="1"/>
  <c r="EZ52" i="1" l="1"/>
  <c r="FA53" i="1"/>
  <c r="FB53" i="1" s="1"/>
  <c r="FC53" i="1" s="1"/>
  <c r="EZ104" i="1"/>
  <c r="FA52" i="1"/>
  <c r="EW103" i="1"/>
  <c r="EX52" i="1"/>
  <c r="ET103" i="1"/>
  <c r="FD53" i="1" l="1"/>
  <c r="EZ103" i="1"/>
  <c r="FA104" i="1"/>
  <c r="FB104" i="1" s="1"/>
  <c r="FC104" i="1" s="1"/>
  <c r="FD52" i="1"/>
  <c r="FB52" i="1"/>
  <c r="EX103" i="1"/>
  <c r="FD104" i="1" l="1"/>
  <c r="FD103" i="1" s="1"/>
  <c r="FE53" i="1"/>
  <c r="FA103" i="1"/>
  <c r="FC52" i="1"/>
  <c r="FB103" i="1"/>
  <c r="FF53" i="1" l="1"/>
  <c r="FE104" i="1"/>
  <c r="FC103" i="1"/>
  <c r="FE52" i="1"/>
  <c r="FF104" i="1" l="1"/>
  <c r="FG53" i="1"/>
  <c r="FH53" i="1" s="1"/>
  <c r="FI53" i="1" s="1"/>
  <c r="FF52" i="1"/>
  <c r="FE103" i="1"/>
  <c r="FJ53" i="1" l="1"/>
  <c r="FI52" i="1"/>
  <c r="FG52" i="1"/>
  <c r="FG104" i="1"/>
  <c r="FH104" i="1" s="1"/>
  <c r="FI104" i="1" s="1"/>
  <c r="FF103" i="1"/>
  <c r="FJ104" i="1" l="1"/>
  <c r="FK104" i="1" s="1"/>
  <c r="FL104" i="1" s="1"/>
  <c r="FM104" i="1" s="1"/>
  <c r="FK53" i="1"/>
  <c r="FL53" i="1" s="1"/>
  <c r="FM53" i="1" s="1"/>
  <c r="FI103" i="1"/>
  <c r="FJ52" i="1"/>
  <c r="FG103" i="1"/>
  <c r="FH52" i="1"/>
  <c r="FN53" i="1" l="1"/>
  <c r="FO53" i="1" s="1"/>
  <c r="FN104" i="1"/>
  <c r="FO104" i="1" s="1"/>
  <c r="FK52" i="1"/>
  <c r="FJ103" i="1"/>
  <c r="FH103" i="1"/>
  <c r="FP104" i="1" l="1"/>
  <c r="FP53" i="1"/>
  <c r="FN103" i="1"/>
  <c r="FN52" i="1"/>
  <c r="FK103" i="1"/>
  <c r="FL52" i="1"/>
  <c r="FQ53" i="1" l="1"/>
  <c r="FQ52" i="1" s="1"/>
  <c r="FQ104" i="1"/>
  <c r="FQ103" i="1" s="1"/>
  <c r="FO52" i="1"/>
  <c r="FO103" i="1"/>
  <c r="FM52" i="1"/>
  <c r="FL103" i="1"/>
  <c r="FR104" i="1" l="1"/>
  <c r="FR53" i="1"/>
  <c r="FP103" i="1"/>
  <c r="FP52" i="1"/>
  <c r="FM103" i="1"/>
  <c r="FR52" i="1" l="1"/>
  <c r="FS53" i="1"/>
  <c r="FT53" i="1" s="1"/>
  <c r="FU53" i="1" s="1"/>
  <c r="FR103" i="1"/>
  <c r="FS104" i="1"/>
  <c r="FT104" i="1" s="1"/>
  <c r="FU104" i="1" s="1"/>
  <c r="FV104" i="1" l="1"/>
  <c r="FW104" i="1" s="1"/>
  <c r="FX104" i="1" s="1"/>
  <c r="FU103" i="1"/>
  <c r="FV53" i="1"/>
  <c r="FW53" i="1" s="1"/>
  <c r="FX53" i="1" s="1"/>
  <c r="FU52" i="1"/>
  <c r="FS103" i="1"/>
  <c r="FS52" i="1"/>
  <c r="FY53" i="1" l="1"/>
  <c r="FY104" i="1"/>
  <c r="FY52" i="1"/>
  <c r="FV52" i="1"/>
  <c r="FV103" i="1"/>
  <c r="FT52" i="1"/>
  <c r="FT103" i="1"/>
  <c r="FZ104" i="1" l="1"/>
  <c r="FY103" i="1"/>
  <c r="FZ53" i="1"/>
  <c r="FW103" i="1"/>
  <c r="FW52" i="1"/>
  <c r="FZ52" i="1" l="1"/>
  <c r="GA53" i="1"/>
  <c r="FZ103" i="1"/>
  <c r="GA104" i="1"/>
  <c r="FX52" i="1"/>
  <c r="FX103" i="1"/>
  <c r="GB104" i="1" l="1"/>
  <c r="GB53" i="1"/>
  <c r="GA103" i="1"/>
  <c r="GA52" i="1"/>
  <c r="GB103" i="1"/>
  <c r="GB52" i="1"/>
  <c r="GC53" i="1" l="1"/>
  <c r="GD53" i="1" s="1"/>
  <c r="GE53" i="1" s="1"/>
  <c r="GF53" i="1" s="1"/>
  <c r="GC104" i="1"/>
  <c r="GD104" i="1" s="1"/>
  <c r="GE104" i="1" s="1"/>
  <c r="GF104" i="1" s="1"/>
  <c r="GG104" i="1" l="1"/>
  <c r="GP103" i="1" s="1"/>
  <c r="GL103" i="1"/>
  <c r="GG53" i="1"/>
  <c r="GP52" i="1" s="1"/>
  <c r="GL52" i="1"/>
  <c r="GC103" i="1"/>
  <c r="GC52" i="1"/>
  <c r="GH53" i="1" l="1"/>
  <c r="GQ52" i="1" s="1"/>
  <c r="GM52" i="1"/>
  <c r="GG52" i="1"/>
  <c r="GH104" i="1"/>
  <c r="GQ103" i="1" s="1"/>
  <c r="GM103" i="1"/>
  <c r="GG103" i="1"/>
  <c r="GF52" i="1"/>
  <c r="GD52" i="1"/>
  <c r="GF103" i="1"/>
  <c r="GD103" i="1"/>
  <c r="GI104" i="1" l="1"/>
  <c r="GR103" i="1" s="1"/>
  <c r="GN103" i="1"/>
  <c r="GH103" i="1"/>
  <c r="GI53" i="1"/>
  <c r="GR52" i="1" s="1"/>
  <c r="GN52" i="1"/>
  <c r="GH52" i="1"/>
  <c r="GE103" i="1"/>
  <c r="GE52" i="1"/>
  <c r="GO52" i="1" l="1"/>
  <c r="GI52" i="1"/>
  <c r="GO103" i="1"/>
  <c r="GI103" i="1"/>
  <c r="GS103" i="1" l="1"/>
  <c r="GJ103" i="1"/>
  <c r="GS52" i="1"/>
  <c r="GJ52" i="1"/>
  <c r="GT52" i="1" l="1"/>
  <c r="GK52" i="1"/>
  <c r="GT103" i="1"/>
  <c r="GK1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Hurtado Pedro</author>
  </authors>
  <commentList>
    <comment ref="BG12" authorId="0" shapeId="0" xr:uid="{B31509FC-CCAC-45D3-9EEC-580DAB126D84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1 baja</t>
        </r>
      </text>
    </comment>
    <comment ref="BN12" authorId="0" shapeId="0" xr:uid="{7AB4732D-1180-4897-B477-2A5BB2238FBB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1 baja</t>
        </r>
      </text>
    </comment>
    <comment ref="BO12" authorId="0" shapeId="0" xr:uid="{B99DF8FE-CD70-4806-90FD-02450D77E840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Incremento de capacidad por 3er mes del grupo del 16 de nov 2023</t>
        </r>
      </text>
    </comment>
    <comment ref="CQ12" authorId="0" shapeId="0" xr:uid="{6BDC3C46-6929-48F3-83C4-6B5A170E17D3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Decremento de capacidad por asesores en asignaciones especiales y Rotación</t>
        </r>
      </text>
    </comment>
    <comment ref="DM12" authorId="0" shapeId="0" xr:uid="{CD0DDD9C-F971-4C77-84FC-227DD0B4D991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Decremento de capacidad por Rotación (BAJA)</t>
        </r>
      </text>
    </comment>
    <comment ref="DQ12" authorId="0" shapeId="0" xr:uid="{CC760E73-E6BB-434C-BAB5-27D837CFB228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1,565
1,373</t>
        </r>
      </text>
    </comment>
    <comment ref="GF12" authorId="0" shapeId="0" xr:uid="{59EBBD32-3FEC-4C38-8D5D-C1BF18E750C9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Incremento de capacidad por conexión de Nov Gpo.</t>
        </r>
      </text>
    </comment>
    <comment ref="GC55" authorId="0" shapeId="0" xr:uid="{6E78F1AA-D375-4C9B-88B8-F677E713C210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Se ajusta Capacidad.
Solo 4 RAC's para procesar TAF.</t>
        </r>
      </text>
    </comment>
    <comment ref="GD55" authorId="0" shapeId="0" xr:uid="{AFB49EE2-4BF7-4729-9DBC-4BD88F4C1430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Se ajusta Capacidad.
Solo 5 RAC's para procesar TAF.</t>
        </r>
      </text>
    </comment>
    <comment ref="GF55" authorId="0" shapeId="0" xr:uid="{5A50DABA-C6AC-4180-ACB1-757853BC6CB7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Incremento de capacidad por conexión de Nov Gpo.</t>
        </r>
      </text>
    </comment>
    <comment ref="EG71" authorId="0" shapeId="0" xr:uid="{7DD7BBC0-E88D-4DEA-8B6F-27EEFF01F9D5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+1 Devoluciones Taf</t>
        </r>
      </text>
    </comment>
    <comment ref="BG106" authorId="0" shapeId="0" xr:uid="{E1BF23CF-CA9A-463D-8E24-C0FF725C3802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2 bajas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Hurtado Pedro</author>
  </authors>
  <commentList>
    <comment ref="BG12" authorId="0" shapeId="0" xr:uid="{61DEB03B-C53B-4075-8FD7-152028E73708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1 baja</t>
        </r>
      </text>
    </comment>
    <comment ref="BN12" authorId="0" shapeId="0" xr:uid="{92EBEA4B-19B9-4FCA-9FAB-C73D5F85CAEB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1 baja</t>
        </r>
      </text>
    </comment>
    <comment ref="BO12" authorId="0" shapeId="0" xr:uid="{D0847F9D-5A26-458A-A0F7-06CE54C4EC78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Incremento de capacidad por 3er mes del grupo del 16 de nov 2023</t>
        </r>
      </text>
    </comment>
    <comment ref="CQ12" authorId="0" shapeId="0" xr:uid="{02948E41-407F-4C3B-9FB4-C985FE230B30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Decremento de capacidad por asesores en asignaciones especiales y Rotación</t>
        </r>
      </text>
    </comment>
    <comment ref="BG106" authorId="0" shapeId="0" xr:uid="{2CE09824-4D87-45BE-8373-CD486A61E817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2 bajas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Hurtado Pedro</author>
  </authors>
  <commentList>
    <comment ref="BG12" authorId="0" shapeId="0" xr:uid="{A0CA4DE0-7CDD-4FD7-B115-BF379531ED6D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1 baja</t>
        </r>
      </text>
    </comment>
    <comment ref="BN12" authorId="0" shapeId="0" xr:uid="{A010023D-4382-4599-811B-EC3DD8C2FEE6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1 baja</t>
        </r>
      </text>
    </comment>
    <comment ref="BO12" authorId="0" shapeId="0" xr:uid="{549794F1-2474-47F8-8F3D-9230910E3E4E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Incremento de capacidad por 3er mes del grupo del 16 de nov 2023</t>
        </r>
      </text>
    </comment>
    <comment ref="BG106" authorId="0" shapeId="0" xr:uid="{DD067621-5EBD-43FD-996F-288BF776176F}">
      <text>
        <r>
          <rPr>
            <b/>
            <sz val="9"/>
            <color indexed="81"/>
            <rFont val="Tahoma"/>
            <family val="2"/>
          </rPr>
          <t>Hurtado Pedro:</t>
        </r>
        <r>
          <rPr>
            <sz val="9"/>
            <color indexed="81"/>
            <rFont val="Tahoma"/>
            <family val="2"/>
          </rPr>
          <t xml:space="preserve">
2 bajas</t>
        </r>
      </text>
    </comment>
  </commentList>
</comments>
</file>

<file path=xl/sharedStrings.xml><?xml version="1.0" encoding="utf-8"?>
<sst xmlns="http://schemas.openxmlformats.org/spreadsheetml/2006/main" count="627" uniqueCount="132">
  <si>
    <t>Buen fin</t>
  </si>
  <si>
    <t>Recibido</t>
  </si>
  <si>
    <t>Capacidad</t>
  </si>
  <si>
    <t>Var.</t>
  </si>
  <si>
    <t>Dif.</t>
  </si>
  <si>
    <t>Procesado</t>
  </si>
  <si>
    <t>archivo elegido por Andrea</t>
  </si>
  <si>
    <t xml:space="preserve">Datos generales * </t>
  </si>
  <si>
    <t>datos curiosos e interesantes</t>
  </si>
  <si>
    <t>capacidad</t>
  </si>
  <si>
    <t>s</t>
  </si>
  <si>
    <t>d</t>
  </si>
  <si>
    <t>l</t>
  </si>
  <si>
    <t>gráficas</t>
  </si>
  <si>
    <t>TAF L&amp;L / Athletics</t>
  </si>
  <si>
    <t>AXO / LifeStyle</t>
  </si>
  <si>
    <t>TAF L&amp;L / AXO</t>
  </si>
  <si>
    <t>MARCAS</t>
  </si>
  <si>
    <t>LACES</t>
  </si>
  <si>
    <t>Lust</t>
  </si>
  <si>
    <t>Taf</t>
  </si>
  <si>
    <t>Ticktes</t>
  </si>
  <si>
    <t>Chat</t>
  </si>
  <si>
    <t>Llamadas</t>
  </si>
  <si>
    <t>Old Navy</t>
  </si>
  <si>
    <t>Bath &amp; Body Works</t>
  </si>
  <si>
    <t>Victoria´s Secret</t>
  </si>
  <si>
    <t>Tommy Hilfiger</t>
  </si>
  <si>
    <t>Calvin Klein</t>
  </si>
  <si>
    <t>GUESS</t>
  </si>
  <si>
    <t>Speedo</t>
  </si>
  <si>
    <t>Rapsodia</t>
  </si>
  <si>
    <t>Coach</t>
  </si>
  <si>
    <t>Brooks Brothers</t>
  </si>
  <si>
    <t>Minigráfico</t>
  </si>
  <si>
    <t>Experto Procesa: 77</t>
  </si>
  <si>
    <t>Novato Procesa: 39</t>
  </si>
  <si>
    <t>31 totales</t>
  </si>
  <si>
    <t>15 expertos</t>
  </si>
  <si>
    <t>16 nuevos</t>
  </si>
  <si>
    <t>+ 2 mermas</t>
  </si>
  <si>
    <t>* Decremento en Tickets TAF/AXO y en el CHAT AXO</t>
  </si>
  <si>
    <t>Juan Chagolla (Inboxero-Novato)</t>
  </si>
  <si>
    <t>* Decremento en Llamadas y CHAT de AXO</t>
  </si>
  <si>
    <t>* Decremento en Tickets TAF</t>
  </si>
  <si>
    <t>* Decremento en ambos grupos TAF/AXO</t>
  </si>
  <si>
    <t>Rodrigo Alcalá</t>
  </si>
  <si>
    <t>Cindi Sánchez</t>
  </si>
  <si>
    <t>Karla Pérez</t>
  </si>
  <si>
    <t>José Chávez</t>
  </si>
  <si>
    <t>Demetrio Sánchez</t>
  </si>
  <si>
    <t>Citlali Rodríguez</t>
  </si>
  <si>
    <t>April Casillas</t>
  </si>
  <si>
    <t>Federico Villicaña</t>
  </si>
  <si>
    <t>Constantino Oliveros</t>
  </si>
  <si>
    <t>Serguio Villasenor</t>
  </si>
  <si>
    <t>* Decrem general en ambos grupos TAF/AXO, solo increm en Inbound</t>
  </si>
  <si>
    <t>* Decrem en Tickets TAF/AXO e inbound de TAF</t>
  </si>
  <si>
    <t>* Decrem inbound de TAF</t>
  </si>
  <si>
    <t>Experto Procesa: 104</t>
  </si>
  <si>
    <t>Novato Procesa: 64</t>
  </si>
  <si>
    <r>
      <t xml:space="preserve">Capa Actual: </t>
    </r>
    <r>
      <rPr>
        <b/>
        <sz val="11"/>
        <color theme="1"/>
        <rFont val="Calibri Light"/>
        <family val="2"/>
        <scheme val="major"/>
      </rPr>
      <t>1,692</t>
    </r>
  </si>
  <si>
    <r>
      <t xml:space="preserve">Capa Actual: </t>
    </r>
    <r>
      <rPr>
        <b/>
        <sz val="11"/>
        <color theme="1"/>
        <rFont val="Calibri Light"/>
        <family val="2"/>
        <scheme val="major"/>
      </rPr>
      <t>1,764</t>
    </r>
  </si>
  <si>
    <r>
      <t xml:space="preserve">Capa Nueva: </t>
    </r>
    <r>
      <rPr>
        <b/>
        <sz val="11"/>
        <color theme="1"/>
        <rFont val="Calibri Light"/>
        <family val="2"/>
        <scheme val="major"/>
      </rPr>
      <t>1,764</t>
    </r>
  </si>
  <si>
    <t xml:space="preserve">* Decrem en Tickets TAF/AXO </t>
  </si>
  <si>
    <r>
      <t xml:space="preserve">Capa Nueva: </t>
    </r>
    <r>
      <rPr>
        <b/>
        <sz val="11"/>
        <color theme="1"/>
        <rFont val="Calibri Light"/>
        <family val="2"/>
        <scheme val="major"/>
      </rPr>
      <t>2,141</t>
    </r>
  </si>
  <si>
    <t>BL</t>
  </si>
  <si>
    <t>Var. BL</t>
  </si>
  <si>
    <t>Nvo. Prono</t>
  </si>
  <si>
    <t>Pronóstico</t>
  </si>
  <si>
    <t>* Decremento en Tickets TAF y Chat de AXO</t>
  </si>
  <si>
    <t>* Decremento general en ambos grupos</t>
  </si>
  <si>
    <t>* Decremento en Chat de AXO</t>
  </si>
  <si>
    <t>* Decremento general en TAF</t>
  </si>
  <si>
    <t>* Incremento en AXO</t>
  </si>
  <si>
    <t>* Incremento en Inbound</t>
  </si>
  <si>
    <t>* Incremento en Ticktes TAF</t>
  </si>
  <si>
    <t>* Incremento en el Chat AXO</t>
  </si>
  <si>
    <t>* Incremento en Ticktes</t>
  </si>
  <si>
    <t>* Incremento en el Chat AXO e Inbound</t>
  </si>
  <si>
    <t>* Incremento en Tickets TAF/AXO y en el inbound de AXO</t>
  </si>
  <si>
    <t>* Incremento en Tickets y Chat de AXO</t>
  </si>
  <si>
    <t>* Incremento en Chat de AXO</t>
  </si>
  <si>
    <t>* Incremento en INBOUND de TAF</t>
  </si>
  <si>
    <t>* Incremento general en ambos grupos</t>
  </si>
  <si>
    <t>* Incremento en TAF y Decremento en AXO</t>
  </si>
  <si>
    <t>* Incremento en Tickets de ambos grupos</t>
  </si>
  <si>
    <t>* Decremento principal en TAF</t>
  </si>
  <si>
    <t>* Incremento en Tickets AXO</t>
  </si>
  <si>
    <t>* Incremento en Tickets e Inbound AXO</t>
  </si>
  <si>
    <t>* Incremento general en AXO</t>
  </si>
  <si>
    <t>ENERO</t>
  </si>
  <si>
    <t>Recibido prom L-V</t>
  </si>
  <si>
    <t>TAF</t>
  </si>
  <si>
    <t>AXO</t>
  </si>
  <si>
    <t>Procesado prom L-V</t>
  </si>
  <si>
    <t>STAFF Autorizado HH</t>
  </si>
  <si>
    <t>* Se mantiene incremento en Inbound AXO</t>
  </si>
  <si>
    <t>* Decremento en Inbound AXO</t>
  </si>
  <si>
    <t>* Decremento en Tickets e Inbound AXO</t>
  </si>
  <si>
    <t>* Decremento general en AXO</t>
  </si>
  <si>
    <t>* Incremento en Chat AXO</t>
  </si>
  <si>
    <t>* Decremento en Tickets y Chat AXO</t>
  </si>
  <si>
    <t>* Incremento en Llamadas y Chat AXO</t>
  </si>
  <si>
    <t>* Incremento principal en TAF</t>
  </si>
  <si>
    <t>&lt;</t>
  </si>
  <si>
    <t>* Incremento en Llamadas AXO</t>
  </si>
  <si>
    <t>* Decremento mínimo en ambos grupos</t>
  </si>
  <si>
    <t>* Incremento principal en AXO</t>
  </si>
  <si>
    <t>* Incremento en Tickets de TAF y AXO</t>
  </si>
  <si>
    <t>Var. Capa vs Rec</t>
  </si>
  <si>
    <t>Dif. Capa vs Rec</t>
  </si>
  <si>
    <t>* Incremento ligero en TAF</t>
  </si>
  <si>
    <t>* Incremento en Tickets de TAF y Decremento en Llamadas de AXO</t>
  </si>
  <si>
    <t>* Incremento en Tickets y Chat AXO</t>
  </si>
  <si>
    <t>* Incremento en Tickets TAF y Decremento en Chat AXO</t>
  </si>
  <si>
    <t>* Decremento en Chat AXO</t>
  </si>
  <si>
    <t>* Incremento en Inbound TAF</t>
  </si>
  <si>
    <t>* Incremento principal en Tickets</t>
  </si>
  <si>
    <t>* Incremento principal en Tickets de AXO</t>
  </si>
  <si>
    <t>* Incremento en Tickets TAF y en Chat AXO</t>
  </si>
  <si>
    <t>* Decremento principal en AXO</t>
  </si>
  <si>
    <t>* Incremento en TAF</t>
  </si>
  <si>
    <t>* Incremento en al Chat AXO</t>
  </si>
  <si>
    <t>* Incremento en Inbound y Chat de AXO</t>
  </si>
  <si>
    <t>* Decremento en la tendencia de VS para AXO</t>
  </si>
  <si>
    <t>* Incremento en AXO, por promoción VS</t>
  </si>
  <si>
    <t>* Incremento en la tendencia de VS para AXO</t>
  </si>
  <si>
    <t>* Decremento en Tendencia esperada del Chat de AXO</t>
  </si>
  <si>
    <t>* Decremento en Tendencia esperada para AXO</t>
  </si>
  <si>
    <t>% Propor</t>
  </si>
  <si>
    <t>* Decremento en Tendencia para ambos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</si>
</sst>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dddd"/>
    <numFmt numFmtId="165" formatCode="0.000"/>
    <numFmt numFmtId="166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i/>
      <sz val="9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0"/>
      <color theme="1" tint="0.249977111117893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i/>
      <sz val="10"/>
      <color theme="5"/>
      <name val="Calibri Light"/>
      <family val="2"/>
      <scheme val="major"/>
    </font>
    <font>
      <b/>
      <i/>
      <sz val="10"/>
      <color theme="0"/>
      <name val="Calibri Light"/>
      <family val="2"/>
      <scheme val="major"/>
    </font>
    <font>
      <b/>
      <i/>
      <sz val="10"/>
      <name val="Calibri Light"/>
      <family val="2"/>
      <scheme val="major"/>
    </font>
    <font>
      <sz val="1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0"/>
      <color theme="1"/>
      <name val="Calibri Light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theme="0" tint="-0.14996795556505021"/>
      </top>
      <bottom/>
      <diagonal/>
    </border>
    <border>
      <left/>
      <right/>
      <top/>
      <bottom style="hair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164" fontId="4" fillId="7" borderId="0" xfId="0" applyNumberFormat="1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3" fontId="3" fillId="8" borderId="1" xfId="0" applyNumberFormat="1" applyFont="1" applyFill="1" applyBorder="1" applyAlignment="1">
      <alignment horizontal="center" vertical="center" wrapText="1"/>
    </xf>
    <xf numFmtId="16" fontId="4" fillId="11" borderId="0" xfId="0" applyNumberFormat="1" applyFont="1" applyFill="1" applyAlignment="1">
      <alignment horizontal="center" vertical="center" wrapText="1"/>
    </xf>
    <xf numFmtId="16" fontId="4" fillId="1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6" borderId="2" xfId="0" applyFont="1" applyFill="1" applyBorder="1" applyAlignment="1">
      <alignment horizontal="right" vertical="center" wrapText="1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10" fontId="3" fillId="0" borderId="1" xfId="1" applyNumberFormat="1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3" fontId="3" fillId="10" borderId="0" xfId="0" applyNumberFormat="1" applyFont="1" applyFill="1" applyAlignment="1">
      <alignment vertical="center"/>
    </xf>
    <xf numFmtId="10" fontId="3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9" borderId="0" xfId="0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0" fontId="3" fillId="5" borderId="9" xfId="0" applyFont="1" applyFill="1" applyBorder="1" applyAlignment="1">
      <alignment horizontal="right" vertical="center"/>
    </xf>
    <xf numFmtId="0" fontId="3" fillId="5" borderId="9" xfId="0" applyFont="1" applyFill="1" applyBorder="1" applyAlignment="1">
      <alignment vertical="center"/>
    </xf>
    <xf numFmtId="0" fontId="5" fillId="0" borderId="0" xfId="0" applyFont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3" borderId="9" xfId="0" applyFont="1" applyFill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 wrapText="1"/>
    </xf>
    <xf numFmtId="10" fontId="14" fillId="0" borderId="1" xfId="1" applyNumberFormat="1" applyFont="1" applyBorder="1" applyAlignment="1">
      <alignment horizontal="center" vertical="center"/>
    </xf>
    <xf numFmtId="0" fontId="15" fillId="13" borderId="1" xfId="0" applyFont="1" applyFill="1" applyBorder="1" applyAlignment="1">
      <alignment horizontal="right" vertical="center" wrapText="1"/>
    </xf>
    <xf numFmtId="0" fontId="16" fillId="6" borderId="1" xfId="0" applyFont="1" applyFill="1" applyBorder="1" applyAlignment="1">
      <alignment horizontal="right" vertical="center" wrapText="1"/>
    </xf>
    <xf numFmtId="0" fontId="15" fillId="14" borderId="1" xfId="0" applyFont="1" applyFill="1" applyBorder="1" applyAlignment="1">
      <alignment horizontal="right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164" fontId="4" fillId="15" borderId="0" xfId="0" applyNumberFormat="1" applyFont="1" applyFill="1" applyAlignment="1">
      <alignment horizontal="center" vertical="center" wrapText="1"/>
    </xf>
    <xf numFmtId="16" fontId="17" fillId="16" borderId="0" xfId="0" applyNumberFormat="1" applyFont="1" applyFill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center" vertical="center" wrapText="1"/>
    </xf>
    <xf numFmtId="1" fontId="11" fillId="4" borderId="0" xfId="0" applyNumberFormat="1" applyFont="1" applyFill="1" applyAlignment="1">
      <alignment horizontal="center" vertical="center" wrapText="1"/>
    </xf>
    <xf numFmtId="164" fontId="11" fillId="15" borderId="0" xfId="0" applyNumberFormat="1" applyFont="1" applyFill="1" applyAlignment="1">
      <alignment horizontal="center" vertical="center" wrapText="1"/>
    </xf>
    <xf numFmtId="164" fontId="11" fillId="7" borderId="0" xfId="0" applyNumberFormat="1" applyFont="1" applyFill="1" applyAlignment="1">
      <alignment horizontal="center" vertical="center" wrapText="1"/>
    </xf>
    <xf numFmtId="0" fontId="15" fillId="17" borderId="1" xfId="0" applyFont="1" applyFill="1" applyBorder="1" applyAlignment="1">
      <alignment horizontal="right" vertical="center" wrapText="1"/>
    </xf>
    <xf numFmtId="3" fontId="2" fillId="18" borderId="1" xfId="0" applyNumberFormat="1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8" fontId="20" fillId="0" borderId="0" xfId="0" applyNumberFormat="1" applyFont="1" applyAlignment="1">
      <alignment vertical="center" wrapText="1"/>
    </xf>
    <xf numFmtId="9" fontId="3" fillId="0" borderId="0" xfId="1" applyFont="1" applyAlignment="1">
      <alignment vertical="center"/>
    </xf>
    <xf numFmtId="9" fontId="3" fillId="0" borderId="0" xfId="0" applyNumberFormat="1" applyFont="1" applyAlignment="1">
      <alignment vertical="center"/>
    </xf>
    <xf numFmtId="3" fontId="21" fillId="0" borderId="0" xfId="0" applyNumberFormat="1" applyFont="1" applyAlignment="1">
      <alignment vertical="center"/>
    </xf>
    <xf numFmtId="3" fontId="2" fillId="5" borderId="0" xfId="0" applyNumberFormat="1" applyFont="1" applyFill="1" applyAlignment="1">
      <alignment vertical="center"/>
    </xf>
    <xf numFmtId="165" fontId="3" fillId="0" borderId="0" xfId="0" applyNumberFormat="1" applyFont="1" applyAlignment="1">
      <alignment vertical="center"/>
    </xf>
    <xf numFmtId="166" fontId="22" fillId="0" borderId="0" xfId="1" applyNumberFormat="1" applyFont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3" fontId="11" fillId="20" borderId="0" xfId="0" applyNumberFormat="1" applyFont="1" applyFill="1" applyAlignment="1">
      <alignment vertical="center"/>
    </xf>
    <xf numFmtId="0" fontId="2" fillId="6" borderId="5" xfId="0" applyFont="1" applyFill="1" applyBorder="1" applyAlignment="1">
      <alignment horizontal="center" vertical="center" textRotation="90"/>
    </xf>
    <xf numFmtId="0" fontId="6" fillId="6" borderId="1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5">
    <cellStyle name="Comma 2" xfId="2" xr:uid="{3D78E368-A936-48D2-A961-8F04FEC91E99}"/>
    <cellStyle name="Comma 2 2" xfId="4" xr:uid="{16326A90-27EE-4E01-8BF6-1BB9BDF82F1E}"/>
    <cellStyle name="Normal" xfId="0" builtinId="0"/>
    <cellStyle name="Normal 2" xfId="3" xr:uid="{365A0080-CAE3-45F5-B029-657578F5DD01}"/>
    <cellStyle name="Percent" xfId="1" builtinId="5"/>
  </cellStyles>
  <dxfs count="38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color theme="1"/>
      </font>
      <fill>
        <patternFill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rgb="FFFF373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FF3737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ALVARO 01" pivot="0" table="0" count="2" xr9:uid="{4E7D8409-349C-47A4-84A2-65A99C373BFC}">
      <tableStyleElement type="wholeTable" dxfId="37"/>
      <tableStyleElement type="headerRow" dxfId="36"/>
    </tableStyle>
    <tableStyle name="ALVARO 01 2" pivot="0" table="0" count="2" xr9:uid="{6321EFA7-4C0B-43C4-9100-D4444832D330}">
      <tableStyleElement type="wholeTable" dxfId="35"/>
      <tableStyleElement type="headerRow" dxfId="34"/>
    </tableStyle>
    <tableStyle name="ALVARO 02" pivot="0" table="0" count="2" xr9:uid="{603BD2D1-4CD8-45E6-B85C-6B988A3AA412}">
      <tableStyleElement type="wholeTable" dxfId="33"/>
      <tableStyleElement type="headerRow" dxfId="32"/>
    </tableStyle>
    <tableStyle name="ALVARO 03" pivot="0" table="0" count="2" xr9:uid="{EF86D6DF-977E-4E1E-B17E-F87EA651BCBA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TAF-AXO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Comportamiento!$E$18</c:f>
              <c:strCache>
                <c:ptCount val="1"/>
                <c:pt idx="0">
                  <c:v>Pronóstico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Comportamiento!$F$10:$GT$10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Comportamiento!$F$18:$GT$18</c:f>
              <c:numCache>
                <c:formatCode>#,##0</c:formatCode>
                <c:ptCount val="192"/>
                <c:pt idx="0">
                  <c:v>1521</c:v>
                </c:pt>
                <c:pt idx="1">
                  <c:v>1177</c:v>
                </c:pt>
                <c:pt idx="2">
                  <c:v>1057</c:v>
                </c:pt>
                <c:pt idx="3">
                  <c:v>1981</c:v>
                </c:pt>
                <c:pt idx="4">
                  <c:v>2637</c:v>
                </c:pt>
                <c:pt idx="5">
                  <c:v>2588</c:v>
                </c:pt>
                <c:pt idx="6">
                  <c:v>2473</c:v>
                </c:pt>
                <c:pt idx="7">
                  <c:v>2807</c:v>
                </c:pt>
                <c:pt idx="8">
                  <c:v>2011</c:v>
                </c:pt>
                <c:pt idx="9">
                  <c:v>1341</c:v>
                </c:pt>
                <c:pt idx="10">
                  <c:v>4841</c:v>
                </c:pt>
                <c:pt idx="11">
                  <c:v>4393</c:v>
                </c:pt>
                <c:pt idx="12">
                  <c:v>4390</c:v>
                </c:pt>
                <c:pt idx="13">
                  <c:v>3683</c:v>
                </c:pt>
                <c:pt idx="14">
                  <c:v>3052</c:v>
                </c:pt>
                <c:pt idx="15">
                  <c:v>2182</c:v>
                </c:pt>
                <c:pt idx="16">
                  <c:v>1052</c:v>
                </c:pt>
                <c:pt idx="17">
                  <c:v>2838</c:v>
                </c:pt>
                <c:pt idx="18">
                  <c:v>2808</c:v>
                </c:pt>
                <c:pt idx="19">
                  <c:v>2221</c:v>
                </c:pt>
                <c:pt idx="20">
                  <c:v>2110</c:v>
                </c:pt>
                <c:pt idx="21">
                  <c:v>2038</c:v>
                </c:pt>
                <c:pt idx="22">
                  <c:v>1430</c:v>
                </c:pt>
                <c:pt idx="23">
                  <c:v>1074</c:v>
                </c:pt>
                <c:pt idx="24">
                  <c:v>1860</c:v>
                </c:pt>
                <c:pt idx="25">
                  <c:v>1834</c:v>
                </c:pt>
                <c:pt idx="26">
                  <c:v>2320</c:v>
                </c:pt>
                <c:pt idx="27">
                  <c:v>2265</c:v>
                </c:pt>
                <c:pt idx="28">
                  <c:v>2200</c:v>
                </c:pt>
                <c:pt idx="29">
                  <c:v>1420</c:v>
                </c:pt>
                <c:pt idx="30">
                  <c:v>1127</c:v>
                </c:pt>
                <c:pt idx="31">
                  <c:v>2753</c:v>
                </c:pt>
                <c:pt idx="32">
                  <c:v>3133</c:v>
                </c:pt>
                <c:pt idx="33">
                  <c:v>2837</c:v>
                </c:pt>
                <c:pt idx="34">
                  <c:v>2681</c:v>
                </c:pt>
                <c:pt idx="35">
                  <c:v>2413</c:v>
                </c:pt>
                <c:pt idx="36">
                  <c:v>1329</c:v>
                </c:pt>
                <c:pt idx="37">
                  <c:v>842</c:v>
                </c:pt>
                <c:pt idx="38">
                  <c:v>657</c:v>
                </c:pt>
                <c:pt idx="39">
                  <c:v>2334</c:v>
                </c:pt>
                <c:pt idx="40">
                  <c:v>2010</c:v>
                </c:pt>
                <c:pt idx="41">
                  <c:v>1911</c:v>
                </c:pt>
                <c:pt idx="42">
                  <c:v>1777</c:v>
                </c:pt>
                <c:pt idx="43">
                  <c:v>1141</c:v>
                </c:pt>
                <c:pt idx="44">
                  <c:v>653</c:v>
                </c:pt>
                <c:pt idx="45">
                  <c:v>547</c:v>
                </c:pt>
                <c:pt idx="46">
                  <c:v>2764</c:v>
                </c:pt>
                <c:pt idx="47">
                  <c:v>2400</c:v>
                </c:pt>
                <c:pt idx="48">
                  <c:v>2065</c:v>
                </c:pt>
                <c:pt idx="49">
                  <c:v>1866</c:v>
                </c:pt>
                <c:pt idx="50">
                  <c:v>1218</c:v>
                </c:pt>
                <c:pt idx="51">
                  <c:v>669</c:v>
                </c:pt>
                <c:pt idx="52">
                  <c:v>2452</c:v>
                </c:pt>
                <c:pt idx="53">
                  <c:v>2018</c:v>
                </c:pt>
                <c:pt idx="54">
                  <c:v>2384</c:v>
                </c:pt>
                <c:pt idx="55">
                  <c:v>2332</c:v>
                </c:pt>
                <c:pt idx="56">
                  <c:v>2240</c:v>
                </c:pt>
                <c:pt idx="57">
                  <c:v>1338</c:v>
                </c:pt>
                <c:pt idx="58">
                  <c:v>854</c:v>
                </c:pt>
                <c:pt idx="59">
                  <c:v>2605</c:v>
                </c:pt>
                <c:pt idx="60">
                  <c:v>2439</c:v>
                </c:pt>
                <c:pt idx="61">
                  <c:v>2658</c:v>
                </c:pt>
                <c:pt idx="62">
                  <c:v>2312</c:v>
                </c:pt>
                <c:pt idx="63">
                  <c:v>2272</c:v>
                </c:pt>
                <c:pt idx="64">
                  <c:v>1378</c:v>
                </c:pt>
                <c:pt idx="65">
                  <c:v>840</c:v>
                </c:pt>
                <c:pt idx="66">
                  <c:v>2960</c:v>
                </c:pt>
                <c:pt idx="67">
                  <c:v>2541</c:v>
                </c:pt>
                <c:pt idx="68">
                  <c:v>1913</c:v>
                </c:pt>
                <c:pt idx="69">
                  <c:v>1822</c:v>
                </c:pt>
                <c:pt idx="70">
                  <c:v>1613</c:v>
                </c:pt>
                <c:pt idx="71">
                  <c:v>840</c:v>
                </c:pt>
                <c:pt idx="72">
                  <c:v>564</c:v>
                </c:pt>
                <c:pt idx="73">
                  <c:v>1600</c:v>
                </c:pt>
                <c:pt idx="74">
                  <c:v>1515</c:v>
                </c:pt>
                <c:pt idx="75">
                  <c:v>1359</c:v>
                </c:pt>
                <c:pt idx="76">
                  <c:v>1254</c:v>
                </c:pt>
                <c:pt idx="77">
                  <c:v>1153</c:v>
                </c:pt>
                <c:pt idx="78">
                  <c:v>670</c:v>
                </c:pt>
                <c:pt idx="79">
                  <c:v>445</c:v>
                </c:pt>
                <c:pt idx="80">
                  <c:v>558</c:v>
                </c:pt>
                <c:pt idx="81">
                  <c:v>1247</c:v>
                </c:pt>
                <c:pt idx="82">
                  <c:v>1057</c:v>
                </c:pt>
                <c:pt idx="83">
                  <c:v>983</c:v>
                </c:pt>
                <c:pt idx="84">
                  <c:v>904</c:v>
                </c:pt>
                <c:pt idx="85">
                  <c:v>575</c:v>
                </c:pt>
                <c:pt idx="86">
                  <c:v>372</c:v>
                </c:pt>
                <c:pt idx="87">
                  <c:v>1090</c:v>
                </c:pt>
                <c:pt idx="88">
                  <c:v>979</c:v>
                </c:pt>
                <c:pt idx="89">
                  <c:v>926</c:v>
                </c:pt>
                <c:pt idx="90">
                  <c:v>858</c:v>
                </c:pt>
                <c:pt idx="91">
                  <c:v>762</c:v>
                </c:pt>
                <c:pt idx="92">
                  <c:v>505</c:v>
                </c:pt>
                <c:pt idx="93">
                  <c:v>315</c:v>
                </c:pt>
                <c:pt idx="94">
                  <c:v>1003</c:v>
                </c:pt>
                <c:pt idx="95">
                  <c:v>921</c:v>
                </c:pt>
                <c:pt idx="96">
                  <c:v>964</c:v>
                </c:pt>
                <c:pt idx="97">
                  <c:v>907</c:v>
                </c:pt>
                <c:pt idx="98">
                  <c:v>791</c:v>
                </c:pt>
                <c:pt idx="99">
                  <c:v>496</c:v>
                </c:pt>
                <c:pt idx="100">
                  <c:v>330</c:v>
                </c:pt>
                <c:pt idx="101">
                  <c:v>930</c:v>
                </c:pt>
                <c:pt idx="102">
                  <c:v>928</c:v>
                </c:pt>
                <c:pt idx="103">
                  <c:v>853</c:v>
                </c:pt>
                <c:pt idx="104">
                  <c:v>886</c:v>
                </c:pt>
                <c:pt idx="105">
                  <c:v>784</c:v>
                </c:pt>
                <c:pt idx="106">
                  <c:v>436</c:v>
                </c:pt>
                <c:pt idx="107">
                  <c:v>302</c:v>
                </c:pt>
                <c:pt idx="108">
                  <c:v>879</c:v>
                </c:pt>
                <c:pt idx="109">
                  <c:v>836</c:v>
                </c:pt>
                <c:pt idx="110">
                  <c:v>760</c:v>
                </c:pt>
                <c:pt idx="111">
                  <c:v>717</c:v>
                </c:pt>
                <c:pt idx="112">
                  <c:v>658</c:v>
                </c:pt>
                <c:pt idx="113">
                  <c:v>408</c:v>
                </c:pt>
                <c:pt idx="114">
                  <c:v>298</c:v>
                </c:pt>
                <c:pt idx="115">
                  <c:v>807</c:v>
                </c:pt>
                <c:pt idx="116">
                  <c:v>760</c:v>
                </c:pt>
                <c:pt idx="117">
                  <c:v>727</c:v>
                </c:pt>
                <c:pt idx="118">
                  <c:v>669</c:v>
                </c:pt>
                <c:pt idx="119">
                  <c:v>639</c:v>
                </c:pt>
                <c:pt idx="120">
                  <c:v>379</c:v>
                </c:pt>
                <c:pt idx="121">
                  <c:v>272</c:v>
                </c:pt>
                <c:pt idx="122">
                  <c:v>317</c:v>
                </c:pt>
                <c:pt idx="123">
                  <c:v>846</c:v>
                </c:pt>
                <c:pt idx="124">
                  <c:v>797</c:v>
                </c:pt>
                <c:pt idx="125">
                  <c:v>720</c:v>
                </c:pt>
                <c:pt idx="126">
                  <c:v>652</c:v>
                </c:pt>
                <c:pt idx="127">
                  <c:v>429</c:v>
                </c:pt>
                <c:pt idx="128">
                  <c:v>304</c:v>
                </c:pt>
                <c:pt idx="129">
                  <c:v>854</c:v>
                </c:pt>
                <c:pt idx="130">
                  <c:v>814</c:v>
                </c:pt>
                <c:pt idx="131">
                  <c:v>723</c:v>
                </c:pt>
                <c:pt idx="132">
                  <c:v>421</c:v>
                </c:pt>
                <c:pt idx="133">
                  <c:v>378</c:v>
                </c:pt>
                <c:pt idx="134">
                  <c:v>273</c:v>
                </c:pt>
                <c:pt idx="135">
                  <c:v>226</c:v>
                </c:pt>
                <c:pt idx="136">
                  <c:v>853</c:v>
                </c:pt>
                <c:pt idx="137">
                  <c:v>716</c:v>
                </c:pt>
                <c:pt idx="138">
                  <c:v>684</c:v>
                </c:pt>
                <c:pt idx="139">
                  <c:v>622</c:v>
                </c:pt>
                <c:pt idx="140">
                  <c:v>569</c:v>
                </c:pt>
                <c:pt idx="141">
                  <c:v>360</c:v>
                </c:pt>
                <c:pt idx="142">
                  <c:v>277</c:v>
                </c:pt>
                <c:pt idx="143">
                  <c:v>694</c:v>
                </c:pt>
                <c:pt idx="144">
                  <c:v>636</c:v>
                </c:pt>
                <c:pt idx="145">
                  <c:v>604</c:v>
                </c:pt>
                <c:pt idx="146">
                  <c:v>579</c:v>
                </c:pt>
                <c:pt idx="147">
                  <c:v>548</c:v>
                </c:pt>
                <c:pt idx="148">
                  <c:v>358</c:v>
                </c:pt>
                <c:pt idx="149">
                  <c:v>249</c:v>
                </c:pt>
                <c:pt idx="150">
                  <c:v>664</c:v>
                </c:pt>
                <c:pt idx="151">
                  <c:v>622</c:v>
                </c:pt>
                <c:pt idx="152">
                  <c:v>588</c:v>
                </c:pt>
                <c:pt idx="153">
                  <c:v>619</c:v>
                </c:pt>
                <c:pt idx="154">
                  <c:v>577</c:v>
                </c:pt>
                <c:pt idx="155">
                  <c:v>398</c:v>
                </c:pt>
                <c:pt idx="156">
                  <c:v>271</c:v>
                </c:pt>
                <c:pt idx="157">
                  <c:v>1029</c:v>
                </c:pt>
                <c:pt idx="158">
                  <c:v>953</c:v>
                </c:pt>
                <c:pt idx="159">
                  <c:v>902</c:v>
                </c:pt>
                <c:pt idx="160">
                  <c:v>723</c:v>
                </c:pt>
                <c:pt idx="161">
                  <c:v>667</c:v>
                </c:pt>
                <c:pt idx="162">
                  <c:v>380</c:v>
                </c:pt>
                <c:pt idx="163">
                  <c:v>273</c:v>
                </c:pt>
                <c:pt idx="164">
                  <c:v>1069</c:v>
                </c:pt>
                <c:pt idx="165">
                  <c:v>985</c:v>
                </c:pt>
                <c:pt idx="166">
                  <c:v>694</c:v>
                </c:pt>
                <c:pt idx="167">
                  <c:v>1880</c:v>
                </c:pt>
                <c:pt idx="168">
                  <c:v>1590</c:v>
                </c:pt>
                <c:pt idx="169">
                  <c:v>1095</c:v>
                </c:pt>
                <c:pt idx="170">
                  <c:v>897</c:v>
                </c:pt>
                <c:pt idx="171">
                  <c:v>2097</c:v>
                </c:pt>
                <c:pt idx="172">
                  <c:v>2023</c:v>
                </c:pt>
                <c:pt idx="173">
                  <c:v>1893</c:v>
                </c:pt>
                <c:pt idx="174">
                  <c:v>2094</c:v>
                </c:pt>
                <c:pt idx="175">
                  <c:v>1892</c:v>
                </c:pt>
                <c:pt idx="176">
                  <c:v>1242</c:v>
                </c:pt>
                <c:pt idx="177">
                  <c:v>833</c:v>
                </c:pt>
                <c:pt idx="178">
                  <c:v>2632</c:v>
                </c:pt>
                <c:pt idx="179">
                  <c:v>2508</c:v>
                </c:pt>
                <c:pt idx="180">
                  <c:v>3923</c:v>
                </c:pt>
                <c:pt idx="181">
                  <c:v>4185</c:v>
                </c:pt>
                <c:pt idx="182">
                  <c:v>4313</c:v>
                </c:pt>
                <c:pt idx="183">
                  <c:v>3219</c:v>
                </c:pt>
                <c:pt idx="184">
                  <c:v>2437</c:v>
                </c:pt>
                <c:pt idx="185">
                  <c:v>3438</c:v>
                </c:pt>
                <c:pt idx="186">
                  <c:v>3384</c:v>
                </c:pt>
                <c:pt idx="187">
                  <c:v>3669</c:v>
                </c:pt>
                <c:pt idx="188">
                  <c:v>3446</c:v>
                </c:pt>
                <c:pt idx="189">
                  <c:v>2961</c:v>
                </c:pt>
                <c:pt idx="190">
                  <c:v>1719</c:v>
                </c:pt>
                <c:pt idx="191">
                  <c:v>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5FD-9AF4-B83F0F6E8073}"/>
            </c:ext>
          </c:extLst>
        </c:ser>
        <c:ser>
          <c:idx val="0"/>
          <c:order val="1"/>
          <c:tx>
            <c:strRef>
              <c:f>Comportamiento!$E$11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Comportamiento!$F$10:$GT$10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Comportamiento!$F$11:$GT$11</c:f>
              <c:numCache>
                <c:formatCode>#,##0</c:formatCode>
                <c:ptCount val="192"/>
                <c:pt idx="0">
                  <c:v>1502</c:v>
                </c:pt>
                <c:pt idx="1">
                  <c:v>1204</c:v>
                </c:pt>
                <c:pt idx="2">
                  <c:v>1206</c:v>
                </c:pt>
                <c:pt idx="3">
                  <c:v>1981</c:v>
                </c:pt>
                <c:pt idx="4">
                  <c:v>2637</c:v>
                </c:pt>
                <c:pt idx="5">
                  <c:v>2588</c:v>
                </c:pt>
                <c:pt idx="6">
                  <c:v>2473</c:v>
                </c:pt>
                <c:pt idx="7">
                  <c:v>2807</c:v>
                </c:pt>
                <c:pt idx="8">
                  <c:v>2011</c:v>
                </c:pt>
                <c:pt idx="9">
                  <c:v>1341</c:v>
                </c:pt>
                <c:pt idx="10">
                  <c:v>4687</c:v>
                </c:pt>
                <c:pt idx="11">
                  <c:v>4393</c:v>
                </c:pt>
                <c:pt idx="12">
                  <c:v>4367</c:v>
                </c:pt>
                <c:pt idx="13">
                  <c:v>3683</c:v>
                </c:pt>
                <c:pt idx="14">
                  <c:v>3052</c:v>
                </c:pt>
                <c:pt idx="15">
                  <c:v>2182</c:v>
                </c:pt>
                <c:pt idx="16">
                  <c:v>1052</c:v>
                </c:pt>
                <c:pt idx="17">
                  <c:v>2947</c:v>
                </c:pt>
                <c:pt idx="18">
                  <c:v>3012</c:v>
                </c:pt>
                <c:pt idx="19">
                  <c:v>2264</c:v>
                </c:pt>
                <c:pt idx="20">
                  <c:v>1919</c:v>
                </c:pt>
                <c:pt idx="21">
                  <c:v>1917</c:v>
                </c:pt>
                <c:pt idx="22">
                  <c:v>1264</c:v>
                </c:pt>
                <c:pt idx="23">
                  <c:v>1082</c:v>
                </c:pt>
                <c:pt idx="24">
                  <c:v>2672</c:v>
                </c:pt>
                <c:pt idx="25">
                  <c:v>2452</c:v>
                </c:pt>
                <c:pt idx="26">
                  <c:v>2522</c:v>
                </c:pt>
                <c:pt idx="27">
                  <c:v>2304</c:v>
                </c:pt>
                <c:pt idx="28">
                  <c:v>2232</c:v>
                </c:pt>
                <c:pt idx="29">
                  <c:v>1460</c:v>
                </c:pt>
                <c:pt idx="30">
                  <c:v>1223</c:v>
                </c:pt>
                <c:pt idx="31">
                  <c:v>3463</c:v>
                </c:pt>
                <c:pt idx="32">
                  <c:v>2831</c:v>
                </c:pt>
                <c:pt idx="33">
                  <c:v>2531</c:v>
                </c:pt>
                <c:pt idx="34">
                  <c:v>2362</c:v>
                </c:pt>
                <c:pt idx="35">
                  <c:v>2204</c:v>
                </c:pt>
                <c:pt idx="36">
                  <c:v>1384</c:v>
                </c:pt>
                <c:pt idx="37">
                  <c:v>738</c:v>
                </c:pt>
                <c:pt idx="38">
                  <c:v>640</c:v>
                </c:pt>
                <c:pt idx="39">
                  <c:v>2553</c:v>
                </c:pt>
                <c:pt idx="40">
                  <c:v>1888</c:v>
                </c:pt>
                <c:pt idx="41">
                  <c:v>2029</c:v>
                </c:pt>
                <c:pt idx="42">
                  <c:v>1611</c:v>
                </c:pt>
                <c:pt idx="43">
                  <c:v>1072</c:v>
                </c:pt>
                <c:pt idx="44">
                  <c:v>548</c:v>
                </c:pt>
                <c:pt idx="45">
                  <c:v>474</c:v>
                </c:pt>
                <c:pt idx="46">
                  <c:v>2331</c:v>
                </c:pt>
                <c:pt idx="47">
                  <c:v>2206</c:v>
                </c:pt>
                <c:pt idx="48">
                  <c:v>1940</c:v>
                </c:pt>
                <c:pt idx="49">
                  <c:v>1893</c:v>
                </c:pt>
                <c:pt idx="50">
                  <c:v>1138</c:v>
                </c:pt>
                <c:pt idx="51">
                  <c:v>785</c:v>
                </c:pt>
                <c:pt idx="52">
                  <c:v>2134</c:v>
                </c:pt>
                <c:pt idx="53">
                  <c:v>2286</c:v>
                </c:pt>
                <c:pt idx="54">
                  <c:v>2473</c:v>
                </c:pt>
                <c:pt idx="55">
                  <c:v>2452</c:v>
                </c:pt>
                <c:pt idx="56">
                  <c:v>2147</c:v>
                </c:pt>
                <c:pt idx="57">
                  <c:v>1090</c:v>
                </c:pt>
                <c:pt idx="58">
                  <c:v>709</c:v>
                </c:pt>
                <c:pt idx="59">
                  <c:v>3193</c:v>
                </c:pt>
                <c:pt idx="60">
                  <c:v>3019</c:v>
                </c:pt>
                <c:pt idx="61">
                  <c:v>2646</c:v>
                </c:pt>
                <c:pt idx="62">
                  <c:v>2167</c:v>
                </c:pt>
                <c:pt idx="63">
                  <c:v>1892</c:v>
                </c:pt>
                <c:pt idx="64">
                  <c:v>918</c:v>
                </c:pt>
                <c:pt idx="65">
                  <c:v>568</c:v>
                </c:pt>
                <c:pt idx="66">
                  <c:v>2441</c:v>
                </c:pt>
                <c:pt idx="67">
                  <c:v>2220</c:v>
                </c:pt>
                <c:pt idx="68">
                  <c:v>1330</c:v>
                </c:pt>
                <c:pt idx="69">
                  <c:v>1320</c:v>
                </c:pt>
                <c:pt idx="70">
                  <c:v>920</c:v>
                </c:pt>
                <c:pt idx="71">
                  <c:v>518</c:v>
                </c:pt>
                <c:pt idx="72">
                  <c:v>359</c:v>
                </c:pt>
                <c:pt idx="73">
                  <c:v>1244</c:v>
                </c:pt>
                <c:pt idx="74">
                  <c:v>1193</c:v>
                </c:pt>
                <c:pt idx="75">
                  <c:v>1206</c:v>
                </c:pt>
                <c:pt idx="76">
                  <c:v>1038</c:v>
                </c:pt>
                <c:pt idx="77">
                  <c:v>868</c:v>
                </c:pt>
                <c:pt idx="78">
                  <c:v>576</c:v>
                </c:pt>
                <c:pt idx="79">
                  <c:v>399</c:v>
                </c:pt>
                <c:pt idx="80">
                  <c:v>613</c:v>
                </c:pt>
                <c:pt idx="81">
                  <c:v>1090</c:v>
                </c:pt>
                <c:pt idx="82">
                  <c:v>981</c:v>
                </c:pt>
                <c:pt idx="83">
                  <c:v>968</c:v>
                </c:pt>
                <c:pt idx="84">
                  <c:v>788</c:v>
                </c:pt>
                <c:pt idx="85">
                  <c:v>529</c:v>
                </c:pt>
                <c:pt idx="86">
                  <c:v>336</c:v>
                </c:pt>
                <c:pt idx="87">
                  <c:v>998</c:v>
                </c:pt>
                <c:pt idx="88">
                  <c:v>1020</c:v>
                </c:pt>
                <c:pt idx="89">
                  <c:v>748</c:v>
                </c:pt>
                <c:pt idx="90">
                  <c:v>947</c:v>
                </c:pt>
                <c:pt idx="91">
                  <c:v>817</c:v>
                </c:pt>
                <c:pt idx="92">
                  <c:v>486</c:v>
                </c:pt>
                <c:pt idx="93">
                  <c:v>361</c:v>
                </c:pt>
                <c:pt idx="94">
                  <c:v>1019</c:v>
                </c:pt>
                <c:pt idx="95">
                  <c:v>1125</c:v>
                </c:pt>
                <c:pt idx="96">
                  <c:v>1007</c:v>
                </c:pt>
                <c:pt idx="97">
                  <c:v>835</c:v>
                </c:pt>
                <c:pt idx="98">
                  <c:v>774</c:v>
                </c:pt>
                <c:pt idx="99">
                  <c:v>425</c:v>
                </c:pt>
                <c:pt idx="100">
                  <c:v>335</c:v>
                </c:pt>
                <c:pt idx="101">
                  <c:v>912</c:v>
                </c:pt>
                <c:pt idx="102">
                  <c:v>883</c:v>
                </c:pt>
                <c:pt idx="103">
                  <c:v>742</c:v>
                </c:pt>
                <c:pt idx="104">
                  <c:v>711</c:v>
                </c:pt>
                <c:pt idx="105">
                  <c:v>797</c:v>
                </c:pt>
                <c:pt idx="106">
                  <c:v>550</c:v>
                </c:pt>
                <c:pt idx="107">
                  <c:v>380</c:v>
                </c:pt>
                <c:pt idx="108">
                  <c:v>895</c:v>
                </c:pt>
                <c:pt idx="109">
                  <c:v>833</c:v>
                </c:pt>
                <c:pt idx="110">
                  <c:v>823</c:v>
                </c:pt>
                <c:pt idx="111">
                  <c:v>678</c:v>
                </c:pt>
                <c:pt idx="112">
                  <c:v>531</c:v>
                </c:pt>
                <c:pt idx="113">
                  <c:v>389</c:v>
                </c:pt>
                <c:pt idx="114">
                  <c:v>250</c:v>
                </c:pt>
                <c:pt idx="115">
                  <c:v>870</c:v>
                </c:pt>
                <c:pt idx="116">
                  <c:v>763</c:v>
                </c:pt>
                <c:pt idx="117">
                  <c:v>758</c:v>
                </c:pt>
                <c:pt idx="118">
                  <c:v>638</c:v>
                </c:pt>
                <c:pt idx="119">
                  <c:v>654</c:v>
                </c:pt>
                <c:pt idx="120">
                  <c:v>467</c:v>
                </c:pt>
                <c:pt idx="121">
                  <c:v>333</c:v>
                </c:pt>
                <c:pt idx="122">
                  <c:v>357</c:v>
                </c:pt>
                <c:pt idx="123">
                  <c:v>877</c:v>
                </c:pt>
                <c:pt idx="124">
                  <c:v>806</c:v>
                </c:pt>
                <c:pt idx="125">
                  <c:v>794</c:v>
                </c:pt>
                <c:pt idx="126">
                  <c:v>710</c:v>
                </c:pt>
                <c:pt idx="127">
                  <c:v>415</c:v>
                </c:pt>
                <c:pt idx="128">
                  <c:v>318</c:v>
                </c:pt>
                <c:pt idx="129">
                  <c:v>814</c:v>
                </c:pt>
                <c:pt idx="130">
                  <c:v>661</c:v>
                </c:pt>
                <c:pt idx="131">
                  <c:v>696</c:v>
                </c:pt>
                <c:pt idx="132">
                  <c:v>375</c:v>
                </c:pt>
                <c:pt idx="133">
                  <c:v>357</c:v>
                </c:pt>
                <c:pt idx="134">
                  <c:v>256</c:v>
                </c:pt>
                <c:pt idx="135">
                  <c:v>229</c:v>
                </c:pt>
                <c:pt idx="136">
                  <c:v>837</c:v>
                </c:pt>
                <c:pt idx="137">
                  <c:v>605</c:v>
                </c:pt>
                <c:pt idx="138">
                  <c:v>650</c:v>
                </c:pt>
                <c:pt idx="139">
                  <c:v>592</c:v>
                </c:pt>
                <c:pt idx="140">
                  <c:v>545</c:v>
                </c:pt>
                <c:pt idx="141">
                  <c:v>363</c:v>
                </c:pt>
                <c:pt idx="142">
                  <c:v>276</c:v>
                </c:pt>
                <c:pt idx="143">
                  <c:v>690</c:v>
                </c:pt>
                <c:pt idx="144">
                  <c:v>625</c:v>
                </c:pt>
                <c:pt idx="145">
                  <c:v>608</c:v>
                </c:pt>
                <c:pt idx="146">
                  <c:v>526</c:v>
                </c:pt>
                <c:pt idx="147">
                  <c:v>535</c:v>
                </c:pt>
                <c:pt idx="148">
                  <c:v>336</c:v>
                </c:pt>
                <c:pt idx="149">
                  <c:v>296</c:v>
                </c:pt>
                <c:pt idx="150">
                  <c:v>624</c:v>
                </c:pt>
                <c:pt idx="151">
                  <c:v>623</c:v>
                </c:pt>
                <c:pt idx="152">
                  <c:v>660</c:v>
                </c:pt>
                <c:pt idx="153">
                  <c:v>677</c:v>
                </c:pt>
                <c:pt idx="154">
                  <c:v>783</c:v>
                </c:pt>
                <c:pt idx="155">
                  <c:v>506</c:v>
                </c:pt>
                <c:pt idx="156">
                  <c:v>460</c:v>
                </c:pt>
                <c:pt idx="157">
                  <c:v>1134</c:v>
                </c:pt>
                <c:pt idx="158">
                  <c:v>839</c:v>
                </c:pt>
                <c:pt idx="159">
                  <c:v>781</c:v>
                </c:pt>
                <c:pt idx="160">
                  <c:v>765</c:v>
                </c:pt>
                <c:pt idx="161">
                  <c:v>860</c:v>
                </c:pt>
                <c:pt idx="162">
                  <c:v>654</c:v>
                </c:pt>
                <c:pt idx="163">
                  <c:v>548</c:v>
                </c:pt>
                <c:pt idx="164">
                  <c:v>1895</c:v>
                </c:pt>
                <c:pt idx="165">
                  <c:v>1724</c:v>
                </c:pt>
                <c:pt idx="166">
                  <c:v>1048</c:v>
                </c:pt>
                <c:pt idx="167">
                  <c:v>2409</c:v>
                </c:pt>
                <c:pt idx="168">
                  <c:v>1932</c:v>
                </c:pt>
                <c:pt idx="169">
                  <c:v>1030</c:v>
                </c:pt>
                <c:pt idx="170">
                  <c:v>684</c:v>
                </c:pt>
                <c:pt idx="171">
                  <c:v>2556</c:v>
                </c:pt>
                <c:pt idx="172">
                  <c:v>2355</c:v>
                </c:pt>
                <c:pt idx="173">
                  <c:v>2084</c:v>
                </c:pt>
                <c:pt idx="174">
                  <c:v>2315</c:v>
                </c:pt>
                <c:pt idx="175">
                  <c:v>2039</c:v>
                </c:pt>
                <c:pt idx="176">
                  <c:v>1320</c:v>
                </c:pt>
                <c:pt idx="177">
                  <c:v>572</c:v>
                </c:pt>
                <c:pt idx="178">
                  <c:v>2911</c:v>
                </c:pt>
                <c:pt idx="179">
                  <c:v>2893</c:v>
                </c:pt>
                <c:pt idx="180">
                  <c:v>3305</c:v>
                </c:pt>
                <c:pt idx="181">
                  <c:v>2939</c:v>
                </c:pt>
                <c:pt idx="182">
                  <c:v>2776</c:v>
                </c:pt>
                <c:pt idx="183">
                  <c:v>1619</c:v>
                </c:pt>
                <c:pt idx="184">
                  <c:v>1013</c:v>
                </c:pt>
                <c:pt idx="185">
                  <c:v>3185</c:v>
                </c:pt>
                <c:pt idx="186">
                  <c:v>3733</c:v>
                </c:pt>
                <c:pt idx="187">
                  <c:v>3648</c:v>
                </c:pt>
                <c:pt idx="188">
                  <c:v>3423</c:v>
                </c:pt>
                <c:pt idx="189">
                  <c:v>2902</c:v>
                </c:pt>
                <c:pt idx="190">
                  <c:v>1396</c:v>
                </c:pt>
                <c:pt idx="191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9-4D45-A3D9-894FD829A9E0}"/>
            </c:ext>
          </c:extLst>
        </c:ser>
        <c:ser>
          <c:idx val="4"/>
          <c:order val="2"/>
          <c:tx>
            <c:strRef>
              <c:f>Comportamiento!$E$16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Comportamiento!$F$10:$GT$10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Comportamiento!$F$16:$GT$16</c:f>
              <c:numCache>
                <c:formatCode>#,##0</c:formatCode>
                <c:ptCount val="192"/>
                <c:pt idx="5">
                  <c:v>1009</c:v>
                </c:pt>
                <c:pt idx="6">
                  <c:v>1396</c:v>
                </c:pt>
                <c:pt idx="7">
                  <c:v>1690</c:v>
                </c:pt>
                <c:pt idx="8">
                  <c:v>2184</c:v>
                </c:pt>
                <c:pt idx="9">
                  <c:v>2468</c:v>
                </c:pt>
                <c:pt idx="10">
                  <c:v>2859</c:v>
                </c:pt>
                <c:pt idx="11">
                  <c:v>4011</c:v>
                </c:pt>
                <c:pt idx="12">
                  <c:v>2732</c:v>
                </c:pt>
                <c:pt idx="13">
                  <c:v>3600</c:v>
                </c:pt>
                <c:pt idx="14">
                  <c:v>3610</c:v>
                </c:pt>
                <c:pt idx="15">
                  <c:v>4322</c:v>
                </c:pt>
                <c:pt idx="16">
                  <c:v>5055</c:v>
                </c:pt>
                <c:pt idx="17">
                  <c:v>4652</c:v>
                </c:pt>
                <c:pt idx="18">
                  <c:v>4404</c:v>
                </c:pt>
                <c:pt idx="19">
                  <c:v>3887</c:v>
                </c:pt>
                <c:pt idx="20">
                  <c:v>4149</c:v>
                </c:pt>
                <c:pt idx="21">
                  <c:v>3984</c:v>
                </c:pt>
                <c:pt idx="22">
                  <c:v>3578</c:v>
                </c:pt>
                <c:pt idx="23">
                  <c:v>3772</c:v>
                </c:pt>
                <c:pt idx="24">
                  <c:v>3081</c:v>
                </c:pt>
                <c:pt idx="25">
                  <c:v>3406</c:v>
                </c:pt>
                <c:pt idx="26">
                  <c:v>3512</c:v>
                </c:pt>
                <c:pt idx="27">
                  <c:v>3574</c:v>
                </c:pt>
                <c:pt idx="28">
                  <c:v>3040</c:v>
                </c:pt>
                <c:pt idx="29">
                  <c:v>3190</c:v>
                </c:pt>
                <c:pt idx="30">
                  <c:v>3298</c:v>
                </c:pt>
                <c:pt idx="31">
                  <c:v>4160</c:v>
                </c:pt>
                <c:pt idx="32">
                  <c:v>5110</c:v>
                </c:pt>
                <c:pt idx="33">
                  <c:v>5019</c:v>
                </c:pt>
                <c:pt idx="34">
                  <c:v>4494</c:v>
                </c:pt>
                <c:pt idx="35">
                  <c:v>4709</c:v>
                </c:pt>
                <c:pt idx="36">
                  <c:v>4659</c:v>
                </c:pt>
                <c:pt idx="37">
                  <c:v>4571</c:v>
                </c:pt>
                <c:pt idx="38">
                  <c:v>4079</c:v>
                </c:pt>
                <c:pt idx="39">
                  <c:v>3158</c:v>
                </c:pt>
                <c:pt idx="40">
                  <c:v>3429</c:v>
                </c:pt>
                <c:pt idx="41">
                  <c:v>2422</c:v>
                </c:pt>
                <c:pt idx="42">
                  <c:v>1657</c:v>
                </c:pt>
                <c:pt idx="43">
                  <c:v>1405</c:v>
                </c:pt>
                <c:pt idx="44">
                  <c:v>1301</c:v>
                </c:pt>
                <c:pt idx="45">
                  <c:v>662</c:v>
                </c:pt>
                <c:pt idx="46">
                  <c:v>310</c:v>
                </c:pt>
                <c:pt idx="47">
                  <c:v>702</c:v>
                </c:pt>
                <c:pt idx="48">
                  <c:v>931</c:v>
                </c:pt>
                <c:pt idx="49">
                  <c:v>935</c:v>
                </c:pt>
                <c:pt idx="50">
                  <c:v>1212</c:v>
                </c:pt>
                <c:pt idx="51">
                  <c:v>1317</c:v>
                </c:pt>
                <c:pt idx="52">
                  <c:v>1091</c:v>
                </c:pt>
                <c:pt idx="53">
                  <c:v>1283</c:v>
                </c:pt>
                <c:pt idx="54">
                  <c:v>1537</c:v>
                </c:pt>
                <c:pt idx="55">
                  <c:v>1783</c:v>
                </c:pt>
                <c:pt idx="56">
                  <c:v>1943</c:v>
                </c:pt>
                <c:pt idx="57">
                  <c:v>1635</c:v>
                </c:pt>
                <c:pt idx="58">
                  <c:v>1728</c:v>
                </c:pt>
                <c:pt idx="59">
                  <c:v>1848</c:v>
                </c:pt>
                <c:pt idx="60">
                  <c:v>2089</c:v>
                </c:pt>
                <c:pt idx="61">
                  <c:v>2055</c:v>
                </c:pt>
                <c:pt idx="62">
                  <c:v>1906</c:v>
                </c:pt>
                <c:pt idx="63">
                  <c:v>1470</c:v>
                </c:pt>
                <c:pt idx="64">
                  <c:v>1120</c:v>
                </c:pt>
                <c:pt idx="65">
                  <c:v>847</c:v>
                </c:pt>
                <c:pt idx="66">
                  <c:v>669</c:v>
                </c:pt>
                <c:pt idx="67">
                  <c:v>453</c:v>
                </c:pt>
                <c:pt idx="68">
                  <c:v>108</c:v>
                </c:pt>
                <c:pt idx="69">
                  <c:v>193</c:v>
                </c:pt>
                <c:pt idx="70">
                  <c:v>246</c:v>
                </c:pt>
                <c:pt idx="71">
                  <c:v>258</c:v>
                </c:pt>
                <c:pt idx="72">
                  <c:v>406</c:v>
                </c:pt>
                <c:pt idx="73">
                  <c:v>226</c:v>
                </c:pt>
                <c:pt idx="74">
                  <c:v>205</c:v>
                </c:pt>
                <c:pt idx="75">
                  <c:v>223</c:v>
                </c:pt>
                <c:pt idx="76">
                  <c:v>203</c:v>
                </c:pt>
                <c:pt idx="77">
                  <c:v>76</c:v>
                </c:pt>
                <c:pt idx="78">
                  <c:v>107</c:v>
                </c:pt>
                <c:pt idx="79">
                  <c:v>48</c:v>
                </c:pt>
                <c:pt idx="80">
                  <c:v>85</c:v>
                </c:pt>
                <c:pt idx="81">
                  <c:v>107</c:v>
                </c:pt>
                <c:pt idx="82">
                  <c:v>227</c:v>
                </c:pt>
                <c:pt idx="83">
                  <c:v>41</c:v>
                </c:pt>
                <c:pt idx="84">
                  <c:v>125</c:v>
                </c:pt>
                <c:pt idx="85">
                  <c:v>26</c:v>
                </c:pt>
                <c:pt idx="86">
                  <c:v>64</c:v>
                </c:pt>
                <c:pt idx="87">
                  <c:v>17</c:v>
                </c:pt>
                <c:pt idx="88">
                  <c:v>91</c:v>
                </c:pt>
                <c:pt idx="89">
                  <c:v>125</c:v>
                </c:pt>
                <c:pt idx="90">
                  <c:v>46</c:v>
                </c:pt>
                <c:pt idx="91">
                  <c:v>98</c:v>
                </c:pt>
                <c:pt idx="92">
                  <c:v>92</c:v>
                </c:pt>
                <c:pt idx="93">
                  <c:v>50</c:v>
                </c:pt>
                <c:pt idx="94">
                  <c:v>59</c:v>
                </c:pt>
                <c:pt idx="95">
                  <c:v>115</c:v>
                </c:pt>
                <c:pt idx="96">
                  <c:v>294</c:v>
                </c:pt>
                <c:pt idx="97">
                  <c:v>283</c:v>
                </c:pt>
                <c:pt idx="98">
                  <c:v>192</c:v>
                </c:pt>
                <c:pt idx="99">
                  <c:v>68</c:v>
                </c:pt>
                <c:pt idx="100">
                  <c:v>67</c:v>
                </c:pt>
                <c:pt idx="101">
                  <c:v>14</c:v>
                </c:pt>
                <c:pt idx="102">
                  <c:v>48</c:v>
                </c:pt>
                <c:pt idx="103">
                  <c:v>91</c:v>
                </c:pt>
                <c:pt idx="104">
                  <c:v>22</c:v>
                </c:pt>
                <c:pt idx="105">
                  <c:v>29</c:v>
                </c:pt>
                <c:pt idx="106">
                  <c:v>80</c:v>
                </c:pt>
                <c:pt idx="107">
                  <c:v>52</c:v>
                </c:pt>
                <c:pt idx="108">
                  <c:v>12</c:v>
                </c:pt>
                <c:pt idx="109">
                  <c:v>39</c:v>
                </c:pt>
                <c:pt idx="110">
                  <c:v>37</c:v>
                </c:pt>
                <c:pt idx="111">
                  <c:v>19</c:v>
                </c:pt>
                <c:pt idx="112">
                  <c:v>10</c:v>
                </c:pt>
                <c:pt idx="113">
                  <c:v>44</c:v>
                </c:pt>
                <c:pt idx="114">
                  <c:v>61</c:v>
                </c:pt>
                <c:pt idx="115">
                  <c:v>19</c:v>
                </c:pt>
                <c:pt idx="116">
                  <c:v>60</c:v>
                </c:pt>
                <c:pt idx="117">
                  <c:v>23</c:v>
                </c:pt>
                <c:pt idx="118">
                  <c:v>88</c:v>
                </c:pt>
                <c:pt idx="119">
                  <c:v>17</c:v>
                </c:pt>
                <c:pt idx="120">
                  <c:v>69</c:v>
                </c:pt>
                <c:pt idx="121">
                  <c:v>48</c:v>
                </c:pt>
                <c:pt idx="122">
                  <c:v>76</c:v>
                </c:pt>
                <c:pt idx="123">
                  <c:v>48</c:v>
                </c:pt>
                <c:pt idx="124">
                  <c:v>14</c:v>
                </c:pt>
                <c:pt idx="125">
                  <c:v>16</c:v>
                </c:pt>
                <c:pt idx="126">
                  <c:v>83</c:v>
                </c:pt>
                <c:pt idx="127">
                  <c:v>42</c:v>
                </c:pt>
                <c:pt idx="128">
                  <c:v>31</c:v>
                </c:pt>
                <c:pt idx="129">
                  <c:v>77</c:v>
                </c:pt>
                <c:pt idx="130">
                  <c:v>14</c:v>
                </c:pt>
                <c:pt idx="131">
                  <c:v>17</c:v>
                </c:pt>
                <c:pt idx="132">
                  <c:v>18</c:v>
                </c:pt>
                <c:pt idx="133">
                  <c:v>21</c:v>
                </c:pt>
                <c:pt idx="134">
                  <c:v>45</c:v>
                </c:pt>
                <c:pt idx="135">
                  <c:v>44</c:v>
                </c:pt>
                <c:pt idx="136">
                  <c:v>7</c:v>
                </c:pt>
                <c:pt idx="137">
                  <c:v>29</c:v>
                </c:pt>
                <c:pt idx="138">
                  <c:v>22</c:v>
                </c:pt>
                <c:pt idx="139">
                  <c:v>25</c:v>
                </c:pt>
                <c:pt idx="140">
                  <c:v>16</c:v>
                </c:pt>
                <c:pt idx="141">
                  <c:v>71</c:v>
                </c:pt>
                <c:pt idx="142">
                  <c:v>38</c:v>
                </c:pt>
                <c:pt idx="143">
                  <c:v>21</c:v>
                </c:pt>
                <c:pt idx="144">
                  <c:v>23</c:v>
                </c:pt>
                <c:pt idx="145">
                  <c:v>18</c:v>
                </c:pt>
                <c:pt idx="146">
                  <c:v>15</c:v>
                </c:pt>
                <c:pt idx="147">
                  <c:v>6</c:v>
                </c:pt>
                <c:pt idx="148">
                  <c:v>26</c:v>
                </c:pt>
                <c:pt idx="149">
                  <c:v>11</c:v>
                </c:pt>
                <c:pt idx="150">
                  <c:v>10</c:v>
                </c:pt>
                <c:pt idx="151">
                  <c:v>21</c:v>
                </c:pt>
                <c:pt idx="152">
                  <c:v>42</c:v>
                </c:pt>
                <c:pt idx="153">
                  <c:v>20</c:v>
                </c:pt>
                <c:pt idx="154">
                  <c:v>36</c:v>
                </c:pt>
                <c:pt idx="155">
                  <c:v>88</c:v>
                </c:pt>
                <c:pt idx="156">
                  <c:v>86</c:v>
                </c:pt>
                <c:pt idx="157">
                  <c:v>84</c:v>
                </c:pt>
                <c:pt idx="158">
                  <c:v>72</c:v>
                </c:pt>
                <c:pt idx="159">
                  <c:v>237</c:v>
                </c:pt>
                <c:pt idx="160">
                  <c:v>188</c:v>
                </c:pt>
                <c:pt idx="161">
                  <c:v>163</c:v>
                </c:pt>
                <c:pt idx="162">
                  <c:v>301</c:v>
                </c:pt>
                <c:pt idx="163">
                  <c:v>161</c:v>
                </c:pt>
                <c:pt idx="164">
                  <c:v>875</c:v>
                </c:pt>
                <c:pt idx="165">
                  <c:v>908</c:v>
                </c:pt>
                <c:pt idx="166">
                  <c:v>1359</c:v>
                </c:pt>
                <c:pt idx="167">
                  <c:v>1989</c:v>
                </c:pt>
                <c:pt idx="168">
                  <c:v>2078</c:v>
                </c:pt>
                <c:pt idx="169">
                  <c:v>2189</c:v>
                </c:pt>
                <c:pt idx="170">
                  <c:v>2090</c:v>
                </c:pt>
                <c:pt idx="171">
                  <c:v>1982</c:v>
                </c:pt>
                <c:pt idx="172">
                  <c:v>2237</c:v>
                </c:pt>
                <c:pt idx="173">
                  <c:v>2549</c:v>
                </c:pt>
                <c:pt idx="174">
                  <c:v>2302</c:v>
                </c:pt>
                <c:pt idx="175">
                  <c:v>1819</c:v>
                </c:pt>
                <c:pt idx="176">
                  <c:v>1950</c:v>
                </c:pt>
                <c:pt idx="177">
                  <c:v>1989</c:v>
                </c:pt>
                <c:pt idx="178">
                  <c:v>1761</c:v>
                </c:pt>
                <c:pt idx="179">
                  <c:v>1951</c:v>
                </c:pt>
                <c:pt idx="180">
                  <c:v>2104</c:v>
                </c:pt>
                <c:pt idx="181">
                  <c:v>2375</c:v>
                </c:pt>
                <c:pt idx="182">
                  <c:v>2374</c:v>
                </c:pt>
                <c:pt idx="183">
                  <c:v>2402</c:v>
                </c:pt>
                <c:pt idx="184">
                  <c:v>2447</c:v>
                </c:pt>
                <c:pt idx="185">
                  <c:v>2252</c:v>
                </c:pt>
                <c:pt idx="186">
                  <c:v>2381</c:v>
                </c:pt>
                <c:pt idx="187">
                  <c:v>2391</c:v>
                </c:pt>
                <c:pt idx="188">
                  <c:v>2304</c:v>
                </c:pt>
                <c:pt idx="189">
                  <c:v>2565</c:v>
                </c:pt>
                <c:pt idx="190">
                  <c:v>2495</c:v>
                </c:pt>
                <c:pt idx="191">
                  <c:v>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5-45FD-9AF4-B83F0F6E8073}"/>
            </c:ext>
          </c:extLst>
        </c:ser>
        <c:ser>
          <c:idx val="5"/>
          <c:order val="3"/>
          <c:tx>
            <c:strRef>
              <c:f>Comportamiento!$E$19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Comportamiento!$F$10:$GT$10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Comportamiento!$F$19:$GT$19</c:f>
              <c:numCache>
                <c:formatCode>#,##0</c:formatCode>
                <c:ptCount val="192"/>
                <c:pt idx="0">
                  <c:v>1521</c:v>
                </c:pt>
                <c:pt idx="1">
                  <c:v>1177</c:v>
                </c:pt>
                <c:pt idx="2">
                  <c:v>1057</c:v>
                </c:pt>
                <c:pt idx="3">
                  <c:v>1981</c:v>
                </c:pt>
                <c:pt idx="4">
                  <c:v>2637</c:v>
                </c:pt>
                <c:pt idx="5">
                  <c:v>3597</c:v>
                </c:pt>
                <c:pt idx="6">
                  <c:v>3869</c:v>
                </c:pt>
                <c:pt idx="7">
                  <c:v>4497</c:v>
                </c:pt>
                <c:pt idx="8">
                  <c:v>4195</c:v>
                </c:pt>
                <c:pt idx="9">
                  <c:v>3809</c:v>
                </c:pt>
                <c:pt idx="10">
                  <c:v>7700</c:v>
                </c:pt>
                <c:pt idx="11">
                  <c:v>8404</c:v>
                </c:pt>
                <c:pt idx="12">
                  <c:v>7122</c:v>
                </c:pt>
                <c:pt idx="13">
                  <c:v>7283</c:v>
                </c:pt>
                <c:pt idx="14">
                  <c:v>6662</c:v>
                </c:pt>
                <c:pt idx="15">
                  <c:v>6504</c:v>
                </c:pt>
                <c:pt idx="16">
                  <c:v>6107</c:v>
                </c:pt>
                <c:pt idx="17">
                  <c:v>7490</c:v>
                </c:pt>
                <c:pt idx="18">
                  <c:v>7212</c:v>
                </c:pt>
                <c:pt idx="19">
                  <c:v>6108</c:v>
                </c:pt>
                <c:pt idx="20">
                  <c:v>6259</c:v>
                </c:pt>
                <c:pt idx="21">
                  <c:v>6022</c:v>
                </c:pt>
                <c:pt idx="22">
                  <c:v>5008</c:v>
                </c:pt>
                <c:pt idx="23">
                  <c:v>4846</c:v>
                </c:pt>
                <c:pt idx="24">
                  <c:v>4941</c:v>
                </c:pt>
                <c:pt idx="25">
                  <c:v>5240</c:v>
                </c:pt>
                <c:pt idx="26">
                  <c:v>5832</c:v>
                </c:pt>
                <c:pt idx="27">
                  <c:v>5839</c:v>
                </c:pt>
                <c:pt idx="28">
                  <c:v>5240</c:v>
                </c:pt>
                <c:pt idx="29">
                  <c:v>4610</c:v>
                </c:pt>
                <c:pt idx="30">
                  <c:v>4425</c:v>
                </c:pt>
                <c:pt idx="31">
                  <c:v>6913</c:v>
                </c:pt>
                <c:pt idx="32">
                  <c:v>8243</c:v>
                </c:pt>
                <c:pt idx="33">
                  <c:v>7856</c:v>
                </c:pt>
                <c:pt idx="34">
                  <c:v>7175</c:v>
                </c:pt>
                <c:pt idx="35">
                  <c:v>7122</c:v>
                </c:pt>
                <c:pt idx="36">
                  <c:v>5988</c:v>
                </c:pt>
                <c:pt idx="37">
                  <c:v>5413</c:v>
                </c:pt>
                <c:pt idx="38">
                  <c:v>4736</c:v>
                </c:pt>
                <c:pt idx="39">
                  <c:v>5492</c:v>
                </c:pt>
                <c:pt idx="40">
                  <c:v>5439</c:v>
                </c:pt>
                <c:pt idx="41">
                  <c:v>4333</c:v>
                </c:pt>
                <c:pt idx="42">
                  <c:v>3434</c:v>
                </c:pt>
                <c:pt idx="43">
                  <c:v>2546</c:v>
                </c:pt>
                <c:pt idx="44">
                  <c:v>1954</c:v>
                </c:pt>
                <c:pt idx="45">
                  <c:v>1209</c:v>
                </c:pt>
                <c:pt idx="46">
                  <c:v>3074</c:v>
                </c:pt>
                <c:pt idx="47">
                  <c:v>3102</c:v>
                </c:pt>
                <c:pt idx="48">
                  <c:v>2996</c:v>
                </c:pt>
                <c:pt idx="49">
                  <c:v>2801</c:v>
                </c:pt>
                <c:pt idx="50">
                  <c:v>2430</c:v>
                </c:pt>
                <c:pt idx="51">
                  <c:v>1986</c:v>
                </c:pt>
                <c:pt idx="52">
                  <c:v>3543</c:v>
                </c:pt>
                <c:pt idx="53">
                  <c:v>3301</c:v>
                </c:pt>
                <c:pt idx="54">
                  <c:v>3921</c:v>
                </c:pt>
                <c:pt idx="55">
                  <c:v>4115</c:v>
                </c:pt>
                <c:pt idx="56">
                  <c:v>4183</c:v>
                </c:pt>
                <c:pt idx="57">
                  <c:v>2973</c:v>
                </c:pt>
                <c:pt idx="58">
                  <c:v>2582</c:v>
                </c:pt>
                <c:pt idx="59">
                  <c:v>4453</c:v>
                </c:pt>
                <c:pt idx="60">
                  <c:v>4528</c:v>
                </c:pt>
                <c:pt idx="61">
                  <c:v>4713</c:v>
                </c:pt>
                <c:pt idx="62">
                  <c:v>4218</c:v>
                </c:pt>
                <c:pt idx="63">
                  <c:v>3742</c:v>
                </c:pt>
                <c:pt idx="64">
                  <c:v>2498</c:v>
                </c:pt>
                <c:pt idx="65">
                  <c:v>1687</c:v>
                </c:pt>
                <c:pt idx="66">
                  <c:v>3629</c:v>
                </c:pt>
                <c:pt idx="67">
                  <c:v>2994</c:v>
                </c:pt>
                <c:pt idx="68">
                  <c:v>2021</c:v>
                </c:pt>
                <c:pt idx="69">
                  <c:v>2015</c:v>
                </c:pt>
                <c:pt idx="70">
                  <c:v>1859</c:v>
                </c:pt>
                <c:pt idx="71">
                  <c:v>1098</c:v>
                </c:pt>
                <c:pt idx="72">
                  <c:v>970</c:v>
                </c:pt>
                <c:pt idx="73">
                  <c:v>1826</c:v>
                </c:pt>
                <c:pt idx="74">
                  <c:v>1720</c:v>
                </c:pt>
                <c:pt idx="75">
                  <c:v>1582</c:v>
                </c:pt>
                <c:pt idx="76">
                  <c:v>1457</c:v>
                </c:pt>
                <c:pt idx="77">
                  <c:v>944</c:v>
                </c:pt>
                <c:pt idx="78">
                  <c:v>683</c:v>
                </c:pt>
                <c:pt idx="79">
                  <c:v>447</c:v>
                </c:pt>
                <c:pt idx="80">
                  <c:v>698</c:v>
                </c:pt>
                <c:pt idx="81">
                  <c:v>1197</c:v>
                </c:pt>
                <c:pt idx="82">
                  <c:v>1208</c:v>
                </c:pt>
                <c:pt idx="83">
                  <c:v>1009</c:v>
                </c:pt>
                <c:pt idx="84">
                  <c:v>913</c:v>
                </c:pt>
                <c:pt idx="85">
                  <c:v>555</c:v>
                </c:pt>
                <c:pt idx="86">
                  <c:v>400</c:v>
                </c:pt>
                <c:pt idx="87">
                  <c:v>1015</c:v>
                </c:pt>
                <c:pt idx="88">
                  <c:v>1111</c:v>
                </c:pt>
                <c:pt idx="89">
                  <c:v>873</c:v>
                </c:pt>
                <c:pt idx="90">
                  <c:v>993</c:v>
                </c:pt>
                <c:pt idx="91">
                  <c:v>915</c:v>
                </c:pt>
                <c:pt idx="92">
                  <c:v>578</c:v>
                </c:pt>
                <c:pt idx="93">
                  <c:v>411</c:v>
                </c:pt>
                <c:pt idx="94">
                  <c:v>1078</c:v>
                </c:pt>
                <c:pt idx="95">
                  <c:v>1240</c:v>
                </c:pt>
                <c:pt idx="96">
                  <c:v>1301</c:v>
                </c:pt>
                <c:pt idx="97">
                  <c:v>1118</c:v>
                </c:pt>
                <c:pt idx="98">
                  <c:v>966</c:v>
                </c:pt>
                <c:pt idx="99">
                  <c:v>493</c:v>
                </c:pt>
                <c:pt idx="100">
                  <c:v>402</c:v>
                </c:pt>
                <c:pt idx="101">
                  <c:v>926</c:v>
                </c:pt>
                <c:pt idx="102">
                  <c:v>931</c:v>
                </c:pt>
                <c:pt idx="103">
                  <c:v>833</c:v>
                </c:pt>
                <c:pt idx="104">
                  <c:v>733</c:v>
                </c:pt>
                <c:pt idx="105">
                  <c:v>826</c:v>
                </c:pt>
                <c:pt idx="106">
                  <c:v>630</c:v>
                </c:pt>
                <c:pt idx="107">
                  <c:v>432</c:v>
                </c:pt>
                <c:pt idx="108">
                  <c:v>907</c:v>
                </c:pt>
                <c:pt idx="109">
                  <c:v>872</c:v>
                </c:pt>
                <c:pt idx="110">
                  <c:v>860</c:v>
                </c:pt>
                <c:pt idx="111">
                  <c:v>697</c:v>
                </c:pt>
                <c:pt idx="112">
                  <c:v>541</c:v>
                </c:pt>
                <c:pt idx="113">
                  <c:v>433</c:v>
                </c:pt>
                <c:pt idx="114">
                  <c:v>311</c:v>
                </c:pt>
                <c:pt idx="115">
                  <c:v>889</c:v>
                </c:pt>
                <c:pt idx="116">
                  <c:v>823</c:v>
                </c:pt>
                <c:pt idx="117">
                  <c:v>781</c:v>
                </c:pt>
                <c:pt idx="118">
                  <c:v>726</c:v>
                </c:pt>
                <c:pt idx="119">
                  <c:v>671</c:v>
                </c:pt>
                <c:pt idx="120">
                  <c:v>536</c:v>
                </c:pt>
                <c:pt idx="121">
                  <c:v>381</c:v>
                </c:pt>
                <c:pt idx="122">
                  <c:v>433</c:v>
                </c:pt>
                <c:pt idx="123">
                  <c:v>925</c:v>
                </c:pt>
                <c:pt idx="124">
                  <c:v>820</c:v>
                </c:pt>
                <c:pt idx="125">
                  <c:v>810</c:v>
                </c:pt>
                <c:pt idx="126">
                  <c:v>793</c:v>
                </c:pt>
                <c:pt idx="127">
                  <c:v>457</c:v>
                </c:pt>
                <c:pt idx="128">
                  <c:v>349</c:v>
                </c:pt>
                <c:pt idx="129">
                  <c:v>891</c:v>
                </c:pt>
                <c:pt idx="130">
                  <c:v>675</c:v>
                </c:pt>
                <c:pt idx="131">
                  <c:v>713</c:v>
                </c:pt>
                <c:pt idx="132">
                  <c:v>393</c:v>
                </c:pt>
                <c:pt idx="133">
                  <c:v>378</c:v>
                </c:pt>
                <c:pt idx="134">
                  <c:v>301</c:v>
                </c:pt>
                <c:pt idx="135">
                  <c:v>273</c:v>
                </c:pt>
                <c:pt idx="136">
                  <c:v>844</c:v>
                </c:pt>
                <c:pt idx="137">
                  <c:v>634</c:v>
                </c:pt>
                <c:pt idx="138">
                  <c:v>672</c:v>
                </c:pt>
                <c:pt idx="139">
                  <c:v>617</c:v>
                </c:pt>
                <c:pt idx="140">
                  <c:v>561</c:v>
                </c:pt>
                <c:pt idx="141">
                  <c:v>434</c:v>
                </c:pt>
                <c:pt idx="142">
                  <c:v>314</c:v>
                </c:pt>
                <c:pt idx="143">
                  <c:v>711</c:v>
                </c:pt>
                <c:pt idx="144">
                  <c:v>648</c:v>
                </c:pt>
                <c:pt idx="145">
                  <c:v>626</c:v>
                </c:pt>
                <c:pt idx="146">
                  <c:v>541</c:v>
                </c:pt>
                <c:pt idx="147">
                  <c:v>541</c:v>
                </c:pt>
                <c:pt idx="148">
                  <c:v>362</c:v>
                </c:pt>
                <c:pt idx="149">
                  <c:v>307</c:v>
                </c:pt>
                <c:pt idx="150">
                  <c:v>634</c:v>
                </c:pt>
                <c:pt idx="151">
                  <c:v>644</c:v>
                </c:pt>
                <c:pt idx="152">
                  <c:v>702</c:v>
                </c:pt>
                <c:pt idx="153">
                  <c:v>697</c:v>
                </c:pt>
                <c:pt idx="154">
                  <c:v>819</c:v>
                </c:pt>
                <c:pt idx="155">
                  <c:v>594</c:v>
                </c:pt>
                <c:pt idx="156">
                  <c:v>546</c:v>
                </c:pt>
                <c:pt idx="157">
                  <c:v>1218</c:v>
                </c:pt>
                <c:pt idx="158">
                  <c:v>911</c:v>
                </c:pt>
                <c:pt idx="159">
                  <c:v>1018</c:v>
                </c:pt>
                <c:pt idx="160">
                  <c:v>953</c:v>
                </c:pt>
                <c:pt idx="161">
                  <c:v>1023</c:v>
                </c:pt>
                <c:pt idx="162">
                  <c:v>955</c:v>
                </c:pt>
                <c:pt idx="163">
                  <c:v>709</c:v>
                </c:pt>
                <c:pt idx="164">
                  <c:v>2770</c:v>
                </c:pt>
                <c:pt idx="165">
                  <c:v>2632</c:v>
                </c:pt>
                <c:pt idx="166">
                  <c:v>2407</c:v>
                </c:pt>
                <c:pt idx="167">
                  <c:v>4487</c:v>
                </c:pt>
                <c:pt idx="168">
                  <c:v>4121</c:v>
                </c:pt>
                <c:pt idx="169">
                  <c:v>3120</c:v>
                </c:pt>
                <c:pt idx="170">
                  <c:v>2666</c:v>
                </c:pt>
                <c:pt idx="171">
                  <c:v>4793</c:v>
                </c:pt>
                <c:pt idx="172">
                  <c:v>4904</c:v>
                </c:pt>
                <c:pt idx="173">
                  <c:v>4386</c:v>
                </c:pt>
                <c:pt idx="174">
                  <c:v>4134</c:v>
                </c:pt>
                <c:pt idx="175">
                  <c:v>3989</c:v>
                </c:pt>
                <c:pt idx="176">
                  <c:v>3309</c:v>
                </c:pt>
                <c:pt idx="177">
                  <c:v>2333</c:v>
                </c:pt>
                <c:pt idx="178">
                  <c:v>4862</c:v>
                </c:pt>
                <c:pt idx="179">
                  <c:v>4997</c:v>
                </c:pt>
                <c:pt idx="180">
                  <c:v>5680</c:v>
                </c:pt>
                <c:pt idx="181">
                  <c:v>5313</c:v>
                </c:pt>
                <c:pt idx="182">
                  <c:v>5178</c:v>
                </c:pt>
                <c:pt idx="183">
                  <c:v>4066</c:v>
                </c:pt>
                <c:pt idx="184">
                  <c:v>3265</c:v>
                </c:pt>
                <c:pt idx="185">
                  <c:v>5566</c:v>
                </c:pt>
                <c:pt idx="186">
                  <c:v>6114</c:v>
                </c:pt>
                <c:pt idx="187">
                  <c:v>6039</c:v>
                </c:pt>
                <c:pt idx="188">
                  <c:v>5727</c:v>
                </c:pt>
                <c:pt idx="189">
                  <c:v>5467</c:v>
                </c:pt>
                <c:pt idx="190">
                  <c:v>3891</c:v>
                </c:pt>
                <c:pt idx="191">
                  <c:v>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5-45FD-9AF4-B83F0F6E8073}"/>
            </c:ext>
          </c:extLst>
        </c:ser>
        <c:ser>
          <c:idx val="1"/>
          <c:order val="4"/>
          <c:tx>
            <c:strRef>
              <c:f>Comportamiento!$E$12</c:f>
              <c:strCache>
                <c:ptCount val="1"/>
                <c:pt idx="0">
                  <c:v>Capacidad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Comportamiento!$F$10:$GT$10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Comportamiento!$F$12:$GT$12</c:f>
              <c:numCache>
                <c:formatCode>#,##0</c:formatCode>
                <c:ptCount val="192"/>
                <c:pt idx="0">
                  <c:v>1748</c:v>
                </c:pt>
                <c:pt idx="1">
                  <c:v>846</c:v>
                </c:pt>
                <c:pt idx="2">
                  <c:v>702</c:v>
                </c:pt>
                <c:pt idx="3">
                  <c:v>1091</c:v>
                </c:pt>
                <c:pt idx="4">
                  <c:v>1748</c:v>
                </c:pt>
                <c:pt idx="5">
                  <c:v>1748</c:v>
                </c:pt>
                <c:pt idx="6">
                  <c:v>1748</c:v>
                </c:pt>
                <c:pt idx="7">
                  <c:v>1748</c:v>
                </c:pt>
                <c:pt idx="8">
                  <c:v>960</c:v>
                </c:pt>
                <c:pt idx="9">
                  <c:v>774</c:v>
                </c:pt>
                <c:pt idx="10">
                  <c:v>1748</c:v>
                </c:pt>
                <c:pt idx="11">
                  <c:v>1614.3333333333301</c:v>
                </c:pt>
                <c:pt idx="12">
                  <c:v>1764</c:v>
                </c:pt>
                <c:pt idx="13">
                  <c:v>1764</c:v>
                </c:pt>
                <c:pt idx="14">
                  <c:v>1764</c:v>
                </c:pt>
                <c:pt idx="15">
                  <c:v>945</c:v>
                </c:pt>
                <c:pt idx="16">
                  <c:v>976</c:v>
                </c:pt>
                <c:pt idx="17">
                  <c:v>1764</c:v>
                </c:pt>
                <c:pt idx="18">
                  <c:v>1764</c:v>
                </c:pt>
                <c:pt idx="19">
                  <c:v>1764</c:v>
                </c:pt>
                <c:pt idx="20">
                  <c:v>2297</c:v>
                </c:pt>
                <c:pt idx="21">
                  <c:v>2297</c:v>
                </c:pt>
                <c:pt idx="22">
                  <c:v>1122</c:v>
                </c:pt>
                <c:pt idx="23">
                  <c:v>1117</c:v>
                </c:pt>
                <c:pt idx="24">
                  <c:v>2141</c:v>
                </c:pt>
                <c:pt idx="25">
                  <c:v>2141</c:v>
                </c:pt>
                <c:pt idx="26">
                  <c:v>2141</c:v>
                </c:pt>
                <c:pt idx="27">
                  <c:v>2141</c:v>
                </c:pt>
                <c:pt idx="28">
                  <c:v>2141</c:v>
                </c:pt>
                <c:pt idx="29">
                  <c:v>1141</c:v>
                </c:pt>
                <c:pt idx="30">
                  <c:v>877</c:v>
                </c:pt>
                <c:pt idx="31">
                  <c:v>2398</c:v>
                </c:pt>
                <c:pt idx="32">
                  <c:v>2398</c:v>
                </c:pt>
                <c:pt idx="33">
                  <c:v>2256</c:v>
                </c:pt>
                <c:pt idx="34">
                  <c:v>2256</c:v>
                </c:pt>
                <c:pt idx="35">
                  <c:v>2256</c:v>
                </c:pt>
                <c:pt idx="36">
                  <c:v>1174.125</c:v>
                </c:pt>
                <c:pt idx="37">
                  <c:v>1046</c:v>
                </c:pt>
                <c:pt idx="38">
                  <c:v>1475.25</c:v>
                </c:pt>
                <c:pt idx="39">
                  <c:v>2256</c:v>
                </c:pt>
                <c:pt idx="40">
                  <c:v>2256</c:v>
                </c:pt>
                <c:pt idx="41">
                  <c:v>2256</c:v>
                </c:pt>
                <c:pt idx="42">
                  <c:v>2256</c:v>
                </c:pt>
                <c:pt idx="43">
                  <c:v>1166</c:v>
                </c:pt>
                <c:pt idx="44">
                  <c:v>1135</c:v>
                </c:pt>
                <c:pt idx="45">
                  <c:v>1573</c:v>
                </c:pt>
                <c:pt idx="46">
                  <c:v>1920</c:v>
                </c:pt>
                <c:pt idx="47">
                  <c:v>1920</c:v>
                </c:pt>
                <c:pt idx="48">
                  <c:v>1920</c:v>
                </c:pt>
                <c:pt idx="49">
                  <c:v>1920</c:v>
                </c:pt>
                <c:pt idx="50">
                  <c:v>975</c:v>
                </c:pt>
                <c:pt idx="51">
                  <c:v>871</c:v>
                </c:pt>
                <c:pt idx="52">
                  <c:v>1920</c:v>
                </c:pt>
                <c:pt idx="53">
                  <c:v>1881</c:v>
                </c:pt>
                <c:pt idx="54">
                  <c:v>1881</c:v>
                </c:pt>
                <c:pt idx="55">
                  <c:v>1881</c:v>
                </c:pt>
                <c:pt idx="56">
                  <c:v>1881</c:v>
                </c:pt>
                <c:pt idx="57">
                  <c:v>956</c:v>
                </c:pt>
                <c:pt idx="58">
                  <c:v>803</c:v>
                </c:pt>
                <c:pt idx="59">
                  <c:v>1881</c:v>
                </c:pt>
                <c:pt idx="60">
                  <c:v>1827</c:v>
                </c:pt>
                <c:pt idx="61">
                  <c:v>1971</c:v>
                </c:pt>
                <c:pt idx="62">
                  <c:v>1971</c:v>
                </c:pt>
                <c:pt idx="63">
                  <c:v>1971</c:v>
                </c:pt>
                <c:pt idx="64">
                  <c:v>1013</c:v>
                </c:pt>
                <c:pt idx="65">
                  <c:v>918</c:v>
                </c:pt>
                <c:pt idx="66">
                  <c:v>1971</c:v>
                </c:pt>
                <c:pt idx="67">
                  <c:v>1971</c:v>
                </c:pt>
                <c:pt idx="68">
                  <c:v>1971</c:v>
                </c:pt>
                <c:pt idx="69">
                  <c:v>1971</c:v>
                </c:pt>
                <c:pt idx="70">
                  <c:v>1971</c:v>
                </c:pt>
                <c:pt idx="71">
                  <c:v>956</c:v>
                </c:pt>
                <c:pt idx="72">
                  <c:v>932</c:v>
                </c:pt>
                <c:pt idx="73">
                  <c:v>1971</c:v>
                </c:pt>
                <c:pt idx="74">
                  <c:v>1971</c:v>
                </c:pt>
                <c:pt idx="75">
                  <c:v>1971</c:v>
                </c:pt>
                <c:pt idx="76">
                  <c:v>1971</c:v>
                </c:pt>
                <c:pt idx="77">
                  <c:v>1971</c:v>
                </c:pt>
                <c:pt idx="78">
                  <c:v>969</c:v>
                </c:pt>
                <c:pt idx="79">
                  <c:v>762</c:v>
                </c:pt>
                <c:pt idx="80">
                  <c:v>759</c:v>
                </c:pt>
                <c:pt idx="81">
                  <c:v>1860</c:v>
                </c:pt>
                <c:pt idx="82">
                  <c:v>1860</c:v>
                </c:pt>
                <c:pt idx="83">
                  <c:v>1860</c:v>
                </c:pt>
                <c:pt idx="84">
                  <c:v>1860</c:v>
                </c:pt>
                <c:pt idx="85">
                  <c:v>969</c:v>
                </c:pt>
                <c:pt idx="86">
                  <c:v>767</c:v>
                </c:pt>
                <c:pt idx="87">
                  <c:v>1860</c:v>
                </c:pt>
                <c:pt idx="88">
                  <c:v>1860</c:v>
                </c:pt>
                <c:pt idx="89">
                  <c:v>1633</c:v>
                </c:pt>
                <c:pt idx="90">
                  <c:v>1633</c:v>
                </c:pt>
                <c:pt idx="91">
                  <c:v>1633</c:v>
                </c:pt>
                <c:pt idx="92">
                  <c:v>822</c:v>
                </c:pt>
                <c:pt idx="93">
                  <c:v>688</c:v>
                </c:pt>
                <c:pt idx="94">
                  <c:v>1633</c:v>
                </c:pt>
                <c:pt idx="95">
                  <c:v>1633</c:v>
                </c:pt>
                <c:pt idx="96">
                  <c:v>1633</c:v>
                </c:pt>
                <c:pt idx="97">
                  <c:v>1633</c:v>
                </c:pt>
                <c:pt idx="98">
                  <c:v>1633</c:v>
                </c:pt>
                <c:pt idx="99">
                  <c:v>894</c:v>
                </c:pt>
                <c:pt idx="100">
                  <c:v>822</c:v>
                </c:pt>
                <c:pt idx="101">
                  <c:v>1633</c:v>
                </c:pt>
                <c:pt idx="102">
                  <c:v>1633</c:v>
                </c:pt>
                <c:pt idx="103">
                  <c:v>1633</c:v>
                </c:pt>
                <c:pt idx="104">
                  <c:v>1633</c:v>
                </c:pt>
                <c:pt idx="105">
                  <c:v>1633</c:v>
                </c:pt>
                <c:pt idx="106">
                  <c:v>822</c:v>
                </c:pt>
                <c:pt idx="107">
                  <c:v>822</c:v>
                </c:pt>
                <c:pt idx="108">
                  <c:v>1633</c:v>
                </c:pt>
                <c:pt idx="109">
                  <c:v>1633</c:v>
                </c:pt>
                <c:pt idx="110">
                  <c:v>1633</c:v>
                </c:pt>
                <c:pt idx="111">
                  <c:v>1565</c:v>
                </c:pt>
                <c:pt idx="112">
                  <c:v>1565</c:v>
                </c:pt>
                <c:pt idx="113">
                  <c:v>827</c:v>
                </c:pt>
                <c:pt idx="114">
                  <c:v>751</c:v>
                </c:pt>
                <c:pt idx="115">
                  <c:v>1373</c:v>
                </c:pt>
                <c:pt idx="116">
                  <c:v>1373</c:v>
                </c:pt>
                <c:pt idx="117">
                  <c:v>1373</c:v>
                </c:pt>
                <c:pt idx="118">
                  <c:v>1373</c:v>
                </c:pt>
                <c:pt idx="119">
                  <c:v>1373</c:v>
                </c:pt>
                <c:pt idx="120">
                  <c:v>827</c:v>
                </c:pt>
                <c:pt idx="121">
                  <c:v>755</c:v>
                </c:pt>
                <c:pt idx="122">
                  <c:v>692</c:v>
                </c:pt>
                <c:pt idx="123">
                  <c:v>1373</c:v>
                </c:pt>
                <c:pt idx="124">
                  <c:v>1373</c:v>
                </c:pt>
                <c:pt idx="125">
                  <c:v>1373</c:v>
                </c:pt>
                <c:pt idx="126">
                  <c:v>1373</c:v>
                </c:pt>
                <c:pt idx="127">
                  <c:v>827</c:v>
                </c:pt>
                <c:pt idx="128">
                  <c:v>753</c:v>
                </c:pt>
                <c:pt idx="129">
                  <c:v>1373</c:v>
                </c:pt>
                <c:pt idx="130">
                  <c:v>1373</c:v>
                </c:pt>
                <c:pt idx="131">
                  <c:v>1373</c:v>
                </c:pt>
                <c:pt idx="132">
                  <c:v>1373</c:v>
                </c:pt>
                <c:pt idx="133">
                  <c:v>1373</c:v>
                </c:pt>
                <c:pt idx="134">
                  <c:v>761</c:v>
                </c:pt>
                <c:pt idx="135">
                  <c:v>688</c:v>
                </c:pt>
                <c:pt idx="136">
                  <c:v>1373</c:v>
                </c:pt>
                <c:pt idx="137">
                  <c:v>1373</c:v>
                </c:pt>
                <c:pt idx="138">
                  <c:v>1373</c:v>
                </c:pt>
                <c:pt idx="139">
                  <c:v>1373</c:v>
                </c:pt>
                <c:pt idx="140">
                  <c:v>1373</c:v>
                </c:pt>
                <c:pt idx="141">
                  <c:v>791</c:v>
                </c:pt>
                <c:pt idx="142">
                  <c:v>688</c:v>
                </c:pt>
                <c:pt idx="143">
                  <c:v>1463</c:v>
                </c:pt>
                <c:pt idx="144">
                  <c:v>1463</c:v>
                </c:pt>
                <c:pt idx="145">
                  <c:v>1463</c:v>
                </c:pt>
                <c:pt idx="146">
                  <c:v>1463</c:v>
                </c:pt>
                <c:pt idx="147">
                  <c:v>1463</c:v>
                </c:pt>
                <c:pt idx="148">
                  <c:v>791</c:v>
                </c:pt>
                <c:pt idx="149">
                  <c:v>688</c:v>
                </c:pt>
                <c:pt idx="150">
                  <c:v>1463</c:v>
                </c:pt>
                <c:pt idx="151">
                  <c:v>1463</c:v>
                </c:pt>
                <c:pt idx="152">
                  <c:v>1463</c:v>
                </c:pt>
                <c:pt idx="153">
                  <c:v>1463</c:v>
                </c:pt>
                <c:pt idx="154">
                  <c:v>1463</c:v>
                </c:pt>
                <c:pt idx="155">
                  <c:v>791</c:v>
                </c:pt>
                <c:pt idx="156">
                  <c:v>688</c:v>
                </c:pt>
                <c:pt idx="157">
                  <c:v>1463</c:v>
                </c:pt>
                <c:pt idx="158">
                  <c:v>1463</c:v>
                </c:pt>
                <c:pt idx="159">
                  <c:v>1463</c:v>
                </c:pt>
                <c:pt idx="160">
                  <c:v>1463</c:v>
                </c:pt>
                <c:pt idx="161">
                  <c:v>1463</c:v>
                </c:pt>
                <c:pt idx="162">
                  <c:v>613</c:v>
                </c:pt>
                <c:pt idx="163">
                  <c:v>692</c:v>
                </c:pt>
                <c:pt idx="164">
                  <c:v>1463</c:v>
                </c:pt>
                <c:pt idx="165">
                  <c:v>1463</c:v>
                </c:pt>
                <c:pt idx="166">
                  <c:v>692</c:v>
                </c:pt>
                <c:pt idx="167">
                  <c:v>1463</c:v>
                </c:pt>
                <c:pt idx="168">
                  <c:v>1463</c:v>
                </c:pt>
                <c:pt idx="169">
                  <c:v>688</c:v>
                </c:pt>
                <c:pt idx="170">
                  <c:v>553</c:v>
                </c:pt>
                <c:pt idx="171">
                  <c:v>1463</c:v>
                </c:pt>
                <c:pt idx="172">
                  <c:v>1463</c:v>
                </c:pt>
                <c:pt idx="173">
                  <c:v>1463</c:v>
                </c:pt>
                <c:pt idx="174">
                  <c:v>1463</c:v>
                </c:pt>
                <c:pt idx="175">
                  <c:v>1463</c:v>
                </c:pt>
                <c:pt idx="176">
                  <c:v>692</c:v>
                </c:pt>
                <c:pt idx="177">
                  <c:v>545</c:v>
                </c:pt>
                <c:pt idx="178">
                  <c:v>1463</c:v>
                </c:pt>
                <c:pt idx="179">
                  <c:v>1463</c:v>
                </c:pt>
                <c:pt idx="180">
                  <c:v>1463</c:v>
                </c:pt>
                <c:pt idx="181">
                  <c:v>1463</c:v>
                </c:pt>
                <c:pt idx="182">
                  <c:v>1851</c:v>
                </c:pt>
                <c:pt idx="183">
                  <c:v>862</c:v>
                </c:pt>
                <c:pt idx="184">
                  <c:v>947</c:v>
                </c:pt>
                <c:pt idx="185">
                  <c:v>1851</c:v>
                </c:pt>
                <c:pt idx="186">
                  <c:v>1851</c:v>
                </c:pt>
                <c:pt idx="187">
                  <c:v>1851</c:v>
                </c:pt>
                <c:pt idx="188">
                  <c:v>1851</c:v>
                </c:pt>
                <c:pt idx="189">
                  <c:v>1851</c:v>
                </c:pt>
                <c:pt idx="190">
                  <c:v>910</c:v>
                </c:pt>
                <c:pt idx="191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9-4D45-A3D9-894FD829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2"/>
          <c:order val="5"/>
          <c:tx>
            <c:strRef>
              <c:f>Comportamiento!$E$13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Comportamiento!$F$10:$GT$10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Comportamiento!$F$13:$GT$13</c:f>
              <c:numCache>
                <c:formatCode>#,##0</c:formatCode>
                <c:ptCount val="192"/>
                <c:pt idx="0">
                  <c:v>593</c:v>
                </c:pt>
                <c:pt idx="1">
                  <c:v>892</c:v>
                </c:pt>
                <c:pt idx="2">
                  <c:v>1015</c:v>
                </c:pt>
                <c:pt idx="3">
                  <c:v>1368</c:v>
                </c:pt>
                <c:pt idx="4">
                  <c:v>1888</c:v>
                </c:pt>
                <c:pt idx="5">
                  <c:v>1903</c:v>
                </c:pt>
                <c:pt idx="6">
                  <c:v>2088</c:v>
                </c:pt>
                <c:pt idx="7">
                  <c:v>2093</c:v>
                </c:pt>
                <c:pt idx="8">
                  <c:v>1360</c:v>
                </c:pt>
                <c:pt idx="9">
                  <c:v>842</c:v>
                </c:pt>
                <c:pt idx="10">
                  <c:v>1944</c:v>
                </c:pt>
                <c:pt idx="11">
                  <c:v>1801</c:v>
                </c:pt>
                <c:pt idx="12">
                  <c:v>1970</c:v>
                </c:pt>
                <c:pt idx="13">
                  <c:v>1666</c:v>
                </c:pt>
                <c:pt idx="14">
                  <c:v>1565</c:v>
                </c:pt>
                <c:pt idx="15">
                  <c:v>724</c:v>
                </c:pt>
                <c:pt idx="16">
                  <c:v>1130</c:v>
                </c:pt>
                <c:pt idx="17">
                  <c:v>1860</c:v>
                </c:pt>
                <c:pt idx="18">
                  <c:v>1969</c:v>
                </c:pt>
                <c:pt idx="19">
                  <c:v>1761</c:v>
                </c:pt>
                <c:pt idx="20">
                  <c:v>2028</c:v>
                </c:pt>
                <c:pt idx="21">
                  <c:v>2339</c:v>
                </c:pt>
                <c:pt idx="22">
                  <c:v>1123</c:v>
                </c:pt>
                <c:pt idx="23">
                  <c:v>1365</c:v>
                </c:pt>
                <c:pt idx="24">
                  <c:v>2332</c:v>
                </c:pt>
                <c:pt idx="25">
                  <c:v>2284</c:v>
                </c:pt>
                <c:pt idx="26">
                  <c:v>2499</c:v>
                </c:pt>
                <c:pt idx="27">
                  <c:v>2357</c:v>
                </c:pt>
                <c:pt idx="28">
                  <c:v>2201</c:v>
                </c:pt>
                <c:pt idx="29">
                  <c:v>1290</c:v>
                </c:pt>
                <c:pt idx="30">
                  <c:v>838</c:v>
                </c:pt>
                <c:pt idx="31">
                  <c:v>2195</c:v>
                </c:pt>
                <c:pt idx="32">
                  <c:v>2041</c:v>
                </c:pt>
                <c:pt idx="33">
                  <c:v>2015</c:v>
                </c:pt>
                <c:pt idx="34">
                  <c:v>2145</c:v>
                </c:pt>
                <c:pt idx="35">
                  <c:v>2256</c:v>
                </c:pt>
                <c:pt idx="36">
                  <c:v>1201</c:v>
                </c:pt>
                <c:pt idx="37">
                  <c:v>1192</c:v>
                </c:pt>
                <c:pt idx="38">
                  <c:v>1494</c:v>
                </c:pt>
                <c:pt idx="39">
                  <c:v>2242</c:v>
                </c:pt>
                <c:pt idx="40">
                  <c:v>2382</c:v>
                </c:pt>
                <c:pt idx="41">
                  <c:v>2475</c:v>
                </c:pt>
                <c:pt idx="42">
                  <c:v>2594</c:v>
                </c:pt>
                <c:pt idx="43">
                  <c:v>1295</c:v>
                </c:pt>
                <c:pt idx="44">
                  <c:v>1193</c:v>
                </c:pt>
                <c:pt idx="45">
                  <c:v>1029</c:v>
                </c:pt>
                <c:pt idx="46">
                  <c:v>2153</c:v>
                </c:pt>
                <c:pt idx="47">
                  <c:v>2165</c:v>
                </c:pt>
                <c:pt idx="48">
                  <c:v>2101</c:v>
                </c:pt>
                <c:pt idx="49">
                  <c:v>2041</c:v>
                </c:pt>
                <c:pt idx="50">
                  <c:v>1082</c:v>
                </c:pt>
                <c:pt idx="51">
                  <c:v>883</c:v>
                </c:pt>
                <c:pt idx="52">
                  <c:v>2027</c:v>
                </c:pt>
                <c:pt idx="53">
                  <c:v>2032</c:v>
                </c:pt>
                <c:pt idx="54">
                  <c:v>1885</c:v>
                </c:pt>
                <c:pt idx="55">
                  <c:v>1969</c:v>
                </c:pt>
                <c:pt idx="56">
                  <c:v>1795</c:v>
                </c:pt>
                <c:pt idx="57">
                  <c:v>1022</c:v>
                </c:pt>
                <c:pt idx="58">
                  <c:v>685</c:v>
                </c:pt>
                <c:pt idx="59">
                  <c:v>1788</c:v>
                </c:pt>
                <c:pt idx="60">
                  <c:v>1792</c:v>
                </c:pt>
                <c:pt idx="61">
                  <c:v>1774</c:v>
                </c:pt>
                <c:pt idx="62">
                  <c:v>1958</c:v>
                </c:pt>
                <c:pt idx="63">
                  <c:v>1916</c:v>
                </c:pt>
                <c:pt idx="64">
                  <c:v>1136</c:v>
                </c:pt>
                <c:pt idx="65">
                  <c:v>784</c:v>
                </c:pt>
                <c:pt idx="66">
                  <c:v>1907</c:v>
                </c:pt>
                <c:pt idx="67">
                  <c:v>2097</c:v>
                </c:pt>
                <c:pt idx="68">
                  <c:v>1803</c:v>
                </c:pt>
                <c:pt idx="69">
                  <c:v>1461</c:v>
                </c:pt>
                <c:pt idx="70">
                  <c:v>1810</c:v>
                </c:pt>
                <c:pt idx="71">
                  <c:v>629</c:v>
                </c:pt>
                <c:pt idx="72">
                  <c:v>728</c:v>
                </c:pt>
                <c:pt idx="73">
                  <c:v>1523</c:v>
                </c:pt>
                <c:pt idx="74">
                  <c:v>1665</c:v>
                </c:pt>
                <c:pt idx="75">
                  <c:v>1881</c:v>
                </c:pt>
                <c:pt idx="76">
                  <c:v>1608</c:v>
                </c:pt>
                <c:pt idx="77">
                  <c:v>1339</c:v>
                </c:pt>
                <c:pt idx="78">
                  <c:v>872</c:v>
                </c:pt>
                <c:pt idx="79">
                  <c:v>554</c:v>
                </c:pt>
                <c:pt idx="80">
                  <c:v>755</c:v>
                </c:pt>
                <c:pt idx="81">
                  <c:v>2035</c:v>
                </c:pt>
                <c:pt idx="82">
                  <c:v>1583</c:v>
                </c:pt>
                <c:pt idx="83">
                  <c:v>1642</c:v>
                </c:pt>
                <c:pt idx="84">
                  <c:v>1422</c:v>
                </c:pt>
                <c:pt idx="85">
                  <c:v>840</c:v>
                </c:pt>
                <c:pt idx="86">
                  <c:v>690</c:v>
                </c:pt>
                <c:pt idx="87">
                  <c:v>1595</c:v>
                </c:pt>
                <c:pt idx="88">
                  <c:v>1607</c:v>
                </c:pt>
                <c:pt idx="89">
                  <c:v>1589</c:v>
                </c:pt>
                <c:pt idx="90">
                  <c:v>1395</c:v>
                </c:pt>
                <c:pt idx="91">
                  <c:v>1359</c:v>
                </c:pt>
                <c:pt idx="92">
                  <c:v>778</c:v>
                </c:pt>
                <c:pt idx="93">
                  <c:v>812</c:v>
                </c:pt>
                <c:pt idx="94">
                  <c:v>1516</c:v>
                </c:pt>
                <c:pt idx="95">
                  <c:v>1681</c:v>
                </c:pt>
                <c:pt idx="96">
                  <c:v>1712</c:v>
                </c:pt>
                <c:pt idx="97">
                  <c:v>1301</c:v>
                </c:pt>
                <c:pt idx="98">
                  <c:v>1349</c:v>
                </c:pt>
                <c:pt idx="99">
                  <c:v>1095</c:v>
                </c:pt>
                <c:pt idx="100">
                  <c:v>391</c:v>
                </c:pt>
                <c:pt idx="101">
                  <c:v>1502</c:v>
                </c:pt>
                <c:pt idx="102">
                  <c:v>1201</c:v>
                </c:pt>
                <c:pt idx="103">
                  <c:v>1110</c:v>
                </c:pt>
                <c:pt idx="104">
                  <c:v>1040</c:v>
                </c:pt>
                <c:pt idx="105">
                  <c:v>1039</c:v>
                </c:pt>
                <c:pt idx="106">
                  <c:v>864</c:v>
                </c:pt>
                <c:pt idx="107">
                  <c:v>499</c:v>
                </c:pt>
                <c:pt idx="108">
                  <c:v>1094</c:v>
                </c:pt>
                <c:pt idx="109">
                  <c:v>1021</c:v>
                </c:pt>
                <c:pt idx="110">
                  <c:v>1249</c:v>
                </c:pt>
                <c:pt idx="111">
                  <c:v>974</c:v>
                </c:pt>
                <c:pt idx="112">
                  <c:v>838</c:v>
                </c:pt>
                <c:pt idx="113">
                  <c:v>482</c:v>
                </c:pt>
                <c:pt idx="114">
                  <c:v>291</c:v>
                </c:pt>
                <c:pt idx="115">
                  <c:v>1027</c:v>
                </c:pt>
                <c:pt idx="116">
                  <c:v>981</c:v>
                </c:pt>
                <c:pt idx="117">
                  <c:v>1190</c:v>
                </c:pt>
                <c:pt idx="118">
                  <c:v>941</c:v>
                </c:pt>
                <c:pt idx="119">
                  <c:v>862</c:v>
                </c:pt>
                <c:pt idx="120">
                  <c:v>660</c:v>
                </c:pt>
                <c:pt idx="121">
                  <c:v>427</c:v>
                </c:pt>
                <c:pt idx="122">
                  <c:v>505</c:v>
                </c:pt>
                <c:pt idx="123">
                  <c:v>1178</c:v>
                </c:pt>
                <c:pt idx="124">
                  <c:v>943</c:v>
                </c:pt>
                <c:pt idx="125">
                  <c:v>986</c:v>
                </c:pt>
                <c:pt idx="126">
                  <c:v>911</c:v>
                </c:pt>
                <c:pt idx="127">
                  <c:v>604</c:v>
                </c:pt>
                <c:pt idx="128">
                  <c:v>283</c:v>
                </c:pt>
                <c:pt idx="129">
                  <c:v>1052</c:v>
                </c:pt>
                <c:pt idx="130">
                  <c:v>949</c:v>
                </c:pt>
                <c:pt idx="131">
                  <c:v>940</c:v>
                </c:pt>
                <c:pt idx="132">
                  <c:v>671</c:v>
                </c:pt>
                <c:pt idx="133">
                  <c:v>567</c:v>
                </c:pt>
                <c:pt idx="134">
                  <c:v>332</c:v>
                </c:pt>
                <c:pt idx="135">
                  <c:v>269</c:v>
                </c:pt>
                <c:pt idx="136">
                  <c:v>1042</c:v>
                </c:pt>
                <c:pt idx="137">
                  <c:v>873</c:v>
                </c:pt>
                <c:pt idx="138">
                  <c:v>864</c:v>
                </c:pt>
                <c:pt idx="139">
                  <c:v>891</c:v>
                </c:pt>
                <c:pt idx="140">
                  <c:v>781</c:v>
                </c:pt>
                <c:pt idx="141">
                  <c:v>467</c:v>
                </c:pt>
                <c:pt idx="142">
                  <c:v>452</c:v>
                </c:pt>
                <c:pt idx="143">
                  <c:v>1032</c:v>
                </c:pt>
                <c:pt idx="144">
                  <c:v>958</c:v>
                </c:pt>
                <c:pt idx="145">
                  <c:v>973</c:v>
                </c:pt>
                <c:pt idx="146">
                  <c:v>886</c:v>
                </c:pt>
                <c:pt idx="147">
                  <c:v>826</c:v>
                </c:pt>
                <c:pt idx="148">
                  <c:v>540</c:v>
                </c:pt>
                <c:pt idx="149">
                  <c:v>432</c:v>
                </c:pt>
                <c:pt idx="150">
                  <c:v>922</c:v>
                </c:pt>
                <c:pt idx="151">
                  <c:v>894</c:v>
                </c:pt>
                <c:pt idx="152">
                  <c:v>1032</c:v>
                </c:pt>
                <c:pt idx="153">
                  <c:v>1087</c:v>
                </c:pt>
                <c:pt idx="154">
                  <c:v>1057</c:v>
                </c:pt>
                <c:pt idx="155">
                  <c:v>581</c:v>
                </c:pt>
                <c:pt idx="156">
                  <c:v>558</c:v>
                </c:pt>
                <c:pt idx="157">
                  <c:v>1319</c:v>
                </c:pt>
                <c:pt idx="158">
                  <c:v>1119</c:v>
                </c:pt>
                <c:pt idx="159">
                  <c:v>1030</c:v>
                </c:pt>
                <c:pt idx="160">
                  <c:v>1103</c:v>
                </c:pt>
                <c:pt idx="161">
                  <c:v>883</c:v>
                </c:pt>
                <c:pt idx="162">
                  <c:v>829</c:v>
                </c:pt>
                <c:pt idx="163">
                  <c:v>550</c:v>
                </c:pt>
                <c:pt idx="164">
                  <c:v>1256</c:v>
                </c:pt>
                <c:pt idx="165">
                  <c:v>1347</c:v>
                </c:pt>
                <c:pt idx="166">
                  <c:v>928</c:v>
                </c:pt>
                <c:pt idx="167">
                  <c:v>1420</c:v>
                </c:pt>
                <c:pt idx="168">
                  <c:v>1374</c:v>
                </c:pt>
                <c:pt idx="169">
                  <c:v>1033</c:v>
                </c:pt>
                <c:pt idx="170">
                  <c:v>774</c:v>
                </c:pt>
                <c:pt idx="171">
                  <c:v>1667</c:v>
                </c:pt>
                <c:pt idx="172">
                  <c:v>1437</c:v>
                </c:pt>
                <c:pt idx="173">
                  <c:v>1411</c:v>
                </c:pt>
                <c:pt idx="174">
                  <c:v>1638</c:v>
                </c:pt>
                <c:pt idx="175">
                  <c:v>1502</c:v>
                </c:pt>
                <c:pt idx="176">
                  <c:v>673</c:v>
                </c:pt>
                <c:pt idx="177">
                  <c:v>692</c:v>
                </c:pt>
                <c:pt idx="178">
                  <c:v>1210</c:v>
                </c:pt>
                <c:pt idx="179">
                  <c:v>1354</c:v>
                </c:pt>
                <c:pt idx="180">
                  <c:v>1546</c:v>
                </c:pt>
                <c:pt idx="181">
                  <c:v>1430</c:v>
                </c:pt>
                <c:pt idx="182">
                  <c:v>1354</c:v>
                </c:pt>
                <c:pt idx="183">
                  <c:v>1546</c:v>
                </c:pt>
                <c:pt idx="184">
                  <c:v>1430</c:v>
                </c:pt>
                <c:pt idx="185">
                  <c:v>1390</c:v>
                </c:pt>
                <c:pt idx="186">
                  <c:v>1590</c:v>
                </c:pt>
                <c:pt idx="187">
                  <c:v>1928</c:v>
                </c:pt>
                <c:pt idx="188">
                  <c:v>1991</c:v>
                </c:pt>
                <c:pt idx="189">
                  <c:v>1897</c:v>
                </c:pt>
                <c:pt idx="190">
                  <c:v>1356</c:v>
                </c:pt>
                <c:pt idx="191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9-4D45-A3D9-894FD829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TAF-AXO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'Buen fin (3)'!$E$11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(3)'!$F$10:$DD$10</c15:sqref>
                  </c15:fullRef>
                </c:ext>
              </c:extLst>
              <c:f>'Buen fin (3)'!$CA$10:$CX$10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(3)'!$F$11:$DD$11</c15:sqref>
                  </c15:fullRef>
                </c:ext>
              </c:extLst>
              <c:f>'Buen fin (3)'!$CA$11:$CX$11</c:f>
              <c:numCache>
                <c:formatCode>#,##0</c:formatCode>
                <c:ptCount val="24"/>
                <c:pt idx="0">
                  <c:v>1244</c:v>
                </c:pt>
                <c:pt idx="1">
                  <c:v>1193</c:v>
                </c:pt>
                <c:pt idx="2">
                  <c:v>1206</c:v>
                </c:pt>
                <c:pt idx="3">
                  <c:v>1038</c:v>
                </c:pt>
                <c:pt idx="4">
                  <c:v>868</c:v>
                </c:pt>
                <c:pt idx="5">
                  <c:v>576</c:v>
                </c:pt>
                <c:pt idx="6">
                  <c:v>399</c:v>
                </c:pt>
                <c:pt idx="7">
                  <c:v>613</c:v>
                </c:pt>
                <c:pt idx="8">
                  <c:v>1090</c:v>
                </c:pt>
                <c:pt idx="9">
                  <c:v>981</c:v>
                </c:pt>
                <c:pt idx="10">
                  <c:v>968</c:v>
                </c:pt>
                <c:pt idx="11">
                  <c:v>788</c:v>
                </c:pt>
                <c:pt idx="12">
                  <c:v>529</c:v>
                </c:pt>
                <c:pt idx="13">
                  <c:v>336</c:v>
                </c:pt>
                <c:pt idx="14">
                  <c:v>998</c:v>
                </c:pt>
                <c:pt idx="15">
                  <c:v>1020</c:v>
                </c:pt>
                <c:pt idx="16">
                  <c:v>748</c:v>
                </c:pt>
                <c:pt idx="17">
                  <c:v>947</c:v>
                </c:pt>
                <c:pt idx="18">
                  <c:v>817</c:v>
                </c:pt>
                <c:pt idx="19">
                  <c:v>486</c:v>
                </c:pt>
                <c:pt idx="20">
                  <c:v>361</c:v>
                </c:pt>
                <c:pt idx="21">
                  <c:v>1019</c:v>
                </c:pt>
                <c:pt idx="22">
                  <c:v>1125</c:v>
                </c:pt>
                <c:pt idx="23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F-4E85-A2BF-5D1F12E012A7}"/>
            </c:ext>
          </c:extLst>
        </c:ser>
        <c:ser>
          <c:idx val="4"/>
          <c:order val="2"/>
          <c:tx>
            <c:strRef>
              <c:f>'Buen fin (3)'!$E$15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(3)'!$F$10:$DD$10</c15:sqref>
                  </c15:fullRef>
                </c:ext>
              </c:extLst>
              <c:f>'Buen fin (3)'!$CA$10:$CX$10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(3)'!$F$15:$DD$15</c15:sqref>
                  </c15:fullRef>
                </c:ext>
              </c:extLst>
              <c:f>'Buen fin (3)'!$CA$15:$CX$15</c:f>
              <c:numCache>
                <c:formatCode>#,##0</c:formatCode>
                <c:ptCount val="24"/>
                <c:pt idx="0">
                  <c:v>226</c:v>
                </c:pt>
                <c:pt idx="1">
                  <c:v>205</c:v>
                </c:pt>
                <c:pt idx="2">
                  <c:v>223</c:v>
                </c:pt>
                <c:pt idx="3">
                  <c:v>203</c:v>
                </c:pt>
                <c:pt idx="4">
                  <c:v>76</c:v>
                </c:pt>
                <c:pt idx="5">
                  <c:v>107</c:v>
                </c:pt>
                <c:pt idx="6">
                  <c:v>48</c:v>
                </c:pt>
                <c:pt idx="7">
                  <c:v>85</c:v>
                </c:pt>
                <c:pt idx="8">
                  <c:v>107</c:v>
                </c:pt>
                <c:pt idx="9">
                  <c:v>227</c:v>
                </c:pt>
                <c:pt idx="10">
                  <c:v>41</c:v>
                </c:pt>
                <c:pt idx="11">
                  <c:v>125</c:v>
                </c:pt>
                <c:pt idx="12">
                  <c:v>26</c:v>
                </c:pt>
                <c:pt idx="13">
                  <c:v>64</c:v>
                </c:pt>
                <c:pt idx="14">
                  <c:v>17</c:v>
                </c:pt>
                <c:pt idx="15">
                  <c:v>91</c:v>
                </c:pt>
                <c:pt idx="16">
                  <c:v>125</c:v>
                </c:pt>
                <c:pt idx="17">
                  <c:v>46</c:v>
                </c:pt>
                <c:pt idx="18">
                  <c:v>98</c:v>
                </c:pt>
                <c:pt idx="19">
                  <c:v>92</c:v>
                </c:pt>
                <c:pt idx="20">
                  <c:v>50</c:v>
                </c:pt>
                <c:pt idx="21">
                  <c:v>59</c:v>
                </c:pt>
                <c:pt idx="22">
                  <c:v>115</c:v>
                </c:pt>
                <c:pt idx="23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F-4E85-A2BF-5D1F12E012A7}"/>
            </c:ext>
          </c:extLst>
        </c:ser>
        <c:ser>
          <c:idx val="5"/>
          <c:order val="3"/>
          <c:tx>
            <c:strRef>
              <c:f>'Buen fin (3)'!$E$18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(3)'!$F$10:$DD$10</c15:sqref>
                  </c15:fullRef>
                </c:ext>
              </c:extLst>
              <c:f>'Buen fin (3)'!$CA$10:$CX$10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(3)'!$F$18:$DD$18</c15:sqref>
                  </c15:fullRef>
                </c:ext>
              </c:extLst>
              <c:f>'Buen fin (3)'!$CA$18:$CX$18</c:f>
              <c:numCache>
                <c:formatCode>#,##0</c:formatCode>
                <c:ptCount val="24"/>
                <c:pt idx="0">
                  <c:v>1826</c:v>
                </c:pt>
                <c:pt idx="1">
                  <c:v>1720</c:v>
                </c:pt>
                <c:pt idx="2">
                  <c:v>1582</c:v>
                </c:pt>
                <c:pt idx="3">
                  <c:v>1457</c:v>
                </c:pt>
                <c:pt idx="4">
                  <c:v>944</c:v>
                </c:pt>
                <c:pt idx="5">
                  <c:v>683</c:v>
                </c:pt>
                <c:pt idx="6">
                  <c:v>447</c:v>
                </c:pt>
                <c:pt idx="7">
                  <c:v>698</c:v>
                </c:pt>
                <c:pt idx="8">
                  <c:v>1197</c:v>
                </c:pt>
                <c:pt idx="9">
                  <c:v>1208</c:v>
                </c:pt>
                <c:pt idx="10">
                  <c:v>1009</c:v>
                </c:pt>
                <c:pt idx="11">
                  <c:v>913</c:v>
                </c:pt>
                <c:pt idx="12">
                  <c:v>555</c:v>
                </c:pt>
                <c:pt idx="13">
                  <c:v>400</c:v>
                </c:pt>
                <c:pt idx="14">
                  <c:v>1015</c:v>
                </c:pt>
                <c:pt idx="15">
                  <c:v>1111</c:v>
                </c:pt>
                <c:pt idx="16">
                  <c:v>873</c:v>
                </c:pt>
                <c:pt idx="17">
                  <c:v>993</c:v>
                </c:pt>
                <c:pt idx="18">
                  <c:v>915</c:v>
                </c:pt>
                <c:pt idx="19">
                  <c:v>578</c:v>
                </c:pt>
                <c:pt idx="20">
                  <c:v>411</c:v>
                </c:pt>
                <c:pt idx="21">
                  <c:v>1078</c:v>
                </c:pt>
                <c:pt idx="22">
                  <c:v>1240</c:v>
                </c:pt>
                <c:pt idx="23">
                  <c:v>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DF-4E85-A2BF-5D1F12E0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3"/>
          <c:order val="0"/>
          <c:tx>
            <c:strRef>
              <c:f>'Buen fin (3)'!$E$17</c:f>
              <c:strCache>
                <c:ptCount val="1"/>
                <c:pt idx="0">
                  <c:v>Pronóstico</c:v>
                </c:pt>
              </c:strCache>
            </c:strRef>
          </c:tx>
          <c:spPr>
            <a:ln w="34925" cap="rnd">
              <a:solidFill>
                <a:schemeClr val="accent3">
                  <a:tint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(3)'!$F$10:$DD$10</c15:sqref>
                  </c15:fullRef>
                </c:ext>
              </c:extLst>
              <c:f>'Buen fin (3)'!$CA$10:$CX$10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(3)'!$F$17:$DD$17</c15:sqref>
                  </c15:fullRef>
                </c:ext>
              </c:extLst>
              <c:f>'Buen fin (3)'!$CA$17:$CX$17</c:f>
              <c:numCache>
                <c:formatCode>#,##0</c:formatCode>
                <c:ptCount val="24"/>
                <c:pt idx="0">
                  <c:v>1600</c:v>
                </c:pt>
                <c:pt idx="1">
                  <c:v>1515</c:v>
                </c:pt>
                <c:pt idx="2">
                  <c:v>1359</c:v>
                </c:pt>
                <c:pt idx="3">
                  <c:v>1254</c:v>
                </c:pt>
                <c:pt idx="4">
                  <c:v>1153</c:v>
                </c:pt>
                <c:pt idx="5">
                  <c:v>670</c:v>
                </c:pt>
                <c:pt idx="6">
                  <c:v>445</c:v>
                </c:pt>
                <c:pt idx="7">
                  <c:v>558</c:v>
                </c:pt>
                <c:pt idx="8">
                  <c:v>1247</c:v>
                </c:pt>
                <c:pt idx="9">
                  <c:v>1057</c:v>
                </c:pt>
                <c:pt idx="10">
                  <c:v>983</c:v>
                </c:pt>
                <c:pt idx="11">
                  <c:v>904</c:v>
                </c:pt>
                <c:pt idx="12">
                  <c:v>575</c:v>
                </c:pt>
                <c:pt idx="13">
                  <c:v>372</c:v>
                </c:pt>
                <c:pt idx="14">
                  <c:v>1090</c:v>
                </c:pt>
                <c:pt idx="15">
                  <c:v>979</c:v>
                </c:pt>
                <c:pt idx="16">
                  <c:v>926</c:v>
                </c:pt>
                <c:pt idx="17">
                  <c:v>858</c:v>
                </c:pt>
                <c:pt idx="18">
                  <c:v>762</c:v>
                </c:pt>
                <c:pt idx="19">
                  <c:v>505</c:v>
                </c:pt>
                <c:pt idx="20">
                  <c:v>315</c:v>
                </c:pt>
                <c:pt idx="21">
                  <c:v>1003</c:v>
                </c:pt>
                <c:pt idx="22">
                  <c:v>921</c:v>
                </c:pt>
                <c:pt idx="23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F-4E85-A2BF-5D1F12E012A7}"/>
            </c:ext>
          </c:extLst>
        </c:ser>
        <c:ser>
          <c:idx val="1"/>
          <c:order val="4"/>
          <c:tx>
            <c:strRef>
              <c:f>'Buen fin (3)'!$E$12</c:f>
              <c:strCache>
                <c:ptCount val="1"/>
                <c:pt idx="0">
                  <c:v>Capacidad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(3)'!$F$10:$DD$10</c15:sqref>
                  </c15:fullRef>
                </c:ext>
              </c:extLst>
              <c:f>'Buen fin (3)'!$CA$10:$CX$10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(3)'!$F$12:$DD$12</c15:sqref>
                  </c15:fullRef>
                </c:ext>
              </c:extLst>
              <c:f>'Buen fin (3)'!$CA$12:$CX$12</c:f>
              <c:numCache>
                <c:formatCode>#,##0</c:formatCode>
                <c:ptCount val="24"/>
                <c:pt idx="0">
                  <c:v>1971</c:v>
                </c:pt>
                <c:pt idx="1">
                  <c:v>1971</c:v>
                </c:pt>
                <c:pt idx="2">
                  <c:v>1971</c:v>
                </c:pt>
                <c:pt idx="3">
                  <c:v>1971</c:v>
                </c:pt>
                <c:pt idx="4">
                  <c:v>1971</c:v>
                </c:pt>
                <c:pt idx="5">
                  <c:v>969</c:v>
                </c:pt>
                <c:pt idx="6">
                  <c:v>762</c:v>
                </c:pt>
                <c:pt idx="7">
                  <c:v>759</c:v>
                </c:pt>
                <c:pt idx="8">
                  <c:v>1860</c:v>
                </c:pt>
                <c:pt idx="9">
                  <c:v>1860</c:v>
                </c:pt>
                <c:pt idx="10">
                  <c:v>1860</c:v>
                </c:pt>
                <c:pt idx="11">
                  <c:v>1860</c:v>
                </c:pt>
                <c:pt idx="12">
                  <c:v>969</c:v>
                </c:pt>
                <c:pt idx="13">
                  <c:v>767</c:v>
                </c:pt>
                <c:pt idx="14">
                  <c:v>1860</c:v>
                </c:pt>
                <c:pt idx="15">
                  <c:v>1860</c:v>
                </c:pt>
                <c:pt idx="16">
                  <c:v>1633</c:v>
                </c:pt>
                <c:pt idx="17">
                  <c:v>1633</c:v>
                </c:pt>
                <c:pt idx="18">
                  <c:v>1633</c:v>
                </c:pt>
                <c:pt idx="19">
                  <c:v>822</c:v>
                </c:pt>
                <c:pt idx="20">
                  <c:v>688</c:v>
                </c:pt>
                <c:pt idx="21">
                  <c:v>1633</c:v>
                </c:pt>
                <c:pt idx="22">
                  <c:v>1633</c:v>
                </c:pt>
                <c:pt idx="23">
                  <c:v>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F-4E85-A2BF-5D1F12E012A7}"/>
            </c:ext>
          </c:extLst>
        </c:ser>
        <c:ser>
          <c:idx val="2"/>
          <c:order val="5"/>
          <c:tx>
            <c:strRef>
              <c:f>'Buen fin (3)'!$E$20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(3)'!$F$10:$DD$10</c15:sqref>
                  </c15:fullRef>
                </c:ext>
              </c:extLst>
              <c:f>'Buen fin (3)'!$CA$10:$CX$10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(3)'!$F$20:$DD$20</c15:sqref>
                  </c15:fullRef>
                </c:ext>
              </c:extLst>
              <c:f>'Buen fin (3)'!$CA$20:$CX$20</c:f>
              <c:numCache>
                <c:formatCode>#,##0</c:formatCode>
                <c:ptCount val="24"/>
                <c:pt idx="0">
                  <c:v>1523</c:v>
                </c:pt>
                <c:pt idx="1">
                  <c:v>1665</c:v>
                </c:pt>
                <c:pt idx="2">
                  <c:v>1881</c:v>
                </c:pt>
                <c:pt idx="3">
                  <c:v>1608</c:v>
                </c:pt>
                <c:pt idx="4">
                  <c:v>1339</c:v>
                </c:pt>
                <c:pt idx="5">
                  <c:v>872</c:v>
                </c:pt>
                <c:pt idx="6">
                  <c:v>554</c:v>
                </c:pt>
                <c:pt idx="7">
                  <c:v>755</c:v>
                </c:pt>
                <c:pt idx="8">
                  <c:v>2035</c:v>
                </c:pt>
                <c:pt idx="9">
                  <c:v>1583</c:v>
                </c:pt>
                <c:pt idx="10">
                  <c:v>1642</c:v>
                </c:pt>
                <c:pt idx="11">
                  <c:v>1422</c:v>
                </c:pt>
                <c:pt idx="12">
                  <c:v>840</c:v>
                </c:pt>
                <c:pt idx="13">
                  <c:v>690</c:v>
                </c:pt>
                <c:pt idx="14">
                  <c:v>1595</c:v>
                </c:pt>
                <c:pt idx="15">
                  <c:v>1607</c:v>
                </c:pt>
                <c:pt idx="16">
                  <c:v>1589</c:v>
                </c:pt>
                <c:pt idx="17">
                  <c:v>1395</c:v>
                </c:pt>
                <c:pt idx="18">
                  <c:v>1359</c:v>
                </c:pt>
                <c:pt idx="19">
                  <c:v>778</c:v>
                </c:pt>
                <c:pt idx="20">
                  <c:v>812</c:v>
                </c:pt>
                <c:pt idx="21">
                  <c:v>1516</c:v>
                </c:pt>
                <c:pt idx="22">
                  <c:v>1681</c:v>
                </c:pt>
                <c:pt idx="23">
                  <c:v>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DF-4E85-A2BF-5D1F12E0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TAF-Athletics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'Buen fin (3)'!$E$54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(3)'!$F$53:$DD$53</c15:sqref>
                  </c15:fullRef>
                </c:ext>
              </c:extLst>
              <c:f>'Buen fin (3)'!$CA$53:$CX$53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(3)'!$F$54:$DD$54</c15:sqref>
                  </c15:fullRef>
                </c:ext>
              </c:extLst>
              <c:f>'Buen fin (3)'!$CA$54:$CX$54</c:f>
              <c:numCache>
                <c:formatCode>#,##0</c:formatCode>
                <c:ptCount val="24"/>
                <c:pt idx="0">
                  <c:v>259</c:v>
                </c:pt>
                <c:pt idx="1">
                  <c:v>245</c:v>
                </c:pt>
                <c:pt idx="2">
                  <c:v>232</c:v>
                </c:pt>
                <c:pt idx="3">
                  <c:v>208</c:v>
                </c:pt>
                <c:pt idx="4">
                  <c:v>193</c:v>
                </c:pt>
                <c:pt idx="5">
                  <c:v>180</c:v>
                </c:pt>
                <c:pt idx="6">
                  <c:v>89</c:v>
                </c:pt>
                <c:pt idx="7">
                  <c:v>168</c:v>
                </c:pt>
                <c:pt idx="8">
                  <c:v>264</c:v>
                </c:pt>
                <c:pt idx="9">
                  <c:v>260</c:v>
                </c:pt>
                <c:pt idx="10">
                  <c:v>197</c:v>
                </c:pt>
                <c:pt idx="11">
                  <c:v>155</c:v>
                </c:pt>
                <c:pt idx="12">
                  <c:v>130</c:v>
                </c:pt>
                <c:pt idx="13">
                  <c:v>82</c:v>
                </c:pt>
                <c:pt idx="14">
                  <c:v>252</c:v>
                </c:pt>
                <c:pt idx="15">
                  <c:v>232</c:v>
                </c:pt>
                <c:pt idx="16">
                  <c:v>157</c:v>
                </c:pt>
                <c:pt idx="17">
                  <c:v>243</c:v>
                </c:pt>
                <c:pt idx="18">
                  <c:v>188</c:v>
                </c:pt>
                <c:pt idx="19">
                  <c:v>137</c:v>
                </c:pt>
                <c:pt idx="20">
                  <c:v>100</c:v>
                </c:pt>
                <c:pt idx="21">
                  <c:v>259</c:v>
                </c:pt>
                <c:pt idx="22">
                  <c:v>329</c:v>
                </c:pt>
                <c:pt idx="23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1-4092-819D-746A820C3784}"/>
            </c:ext>
          </c:extLst>
        </c:ser>
        <c:ser>
          <c:idx val="4"/>
          <c:order val="2"/>
          <c:tx>
            <c:strRef>
              <c:f>'Buen fin (3)'!$E$58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(3)'!$F$53:$DD$53</c15:sqref>
                  </c15:fullRef>
                </c:ext>
              </c:extLst>
              <c:f>'Buen fin (3)'!$CA$53:$CX$53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(3)'!$F$58:$DD$58</c15:sqref>
                  </c15:fullRef>
                </c:ext>
              </c:extLst>
              <c:f>'Buen fin (3)'!$CA$58:$CX$58</c:f>
              <c:numCache>
                <c:formatCode>#,##0</c:formatCode>
                <c:ptCount val="24"/>
                <c:pt idx="0">
                  <c:v>47</c:v>
                </c:pt>
                <c:pt idx="1">
                  <c:v>36</c:v>
                </c:pt>
                <c:pt idx="2">
                  <c:v>44</c:v>
                </c:pt>
                <c:pt idx="3">
                  <c:v>40</c:v>
                </c:pt>
                <c:pt idx="4">
                  <c:v>18</c:v>
                </c:pt>
                <c:pt idx="5">
                  <c:v>40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62</c:v>
                </c:pt>
                <c:pt idx="10">
                  <c:v>8</c:v>
                </c:pt>
                <c:pt idx="11">
                  <c:v>41</c:v>
                </c:pt>
                <c:pt idx="12">
                  <c:v>7</c:v>
                </c:pt>
                <c:pt idx="13">
                  <c:v>21</c:v>
                </c:pt>
                <c:pt idx="14">
                  <c:v>1</c:v>
                </c:pt>
                <c:pt idx="15">
                  <c:v>21</c:v>
                </c:pt>
                <c:pt idx="16">
                  <c:v>32</c:v>
                </c:pt>
                <c:pt idx="17">
                  <c:v>11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11</c:v>
                </c:pt>
                <c:pt idx="22">
                  <c:v>35</c:v>
                </c:pt>
                <c:pt idx="2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1-4092-819D-746A820C3784}"/>
            </c:ext>
          </c:extLst>
        </c:ser>
        <c:ser>
          <c:idx val="5"/>
          <c:order val="3"/>
          <c:tx>
            <c:strRef>
              <c:f>'Buen fin (3)'!$E$61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(3)'!$F$53:$DD$53</c15:sqref>
                  </c15:fullRef>
                </c:ext>
              </c:extLst>
              <c:f>'Buen fin (3)'!$CA$53:$CX$53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(3)'!$F$61:$DD$61</c15:sqref>
                  </c15:fullRef>
                </c:ext>
              </c:extLst>
              <c:f>'Buen fin (3)'!$CA$61:$CX$61</c:f>
              <c:numCache>
                <c:formatCode>#,##0</c:formatCode>
                <c:ptCount val="24"/>
                <c:pt idx="0">
                  <c:v>304</c:v>
                </c:pt>
                <c:pt idx="1">
                  <c:v>283</c:v>
                </c:pt>
                <c:pt idx="2">
                  <c:v>285</c:v>
                </c:pt>
                <c:pt idx="3">
                  <c:v>262</c:v>
                </c:pt>
                <c:pt idx="4">
                  <c:v>211</c:v>
                </c:pt>
                <c:pt idx="5">
                  <c:v>220</c:v>
                </c:pt>
                <c:pt idx="6">
                  <c:v>96</c:v>
                </c:pt>
                <c:pt idx="7">
                  <c:v>173</c:v>
                </c:pt>
                <c:pt idx="8">
                  <c:v>272</c:v>
                </c:pt>
                <c:pt idx="9">
                  <c:v>322</c:v>
                </c:pt>
                <c:pt idx="10">
                  <c:v>205</c:v>
                </c:pt>
                <c:pt idx="11">
                  <c:v>196</c:v>
                </c:pt>
                <c:pt idx="12">
                  <c:v>137</c:v>
                </c:pt>
                <c:pt idx="13">
                  <c:v>103</c:v>
                </c:pt>
                <c:pt idx="14">
                  <c:v>253</c:v>
                </c:pt>
                <c:pt idx="15">
                  <c:v>253</c:v>
                </c:pt>
                <c:pt idx="16">
                  <c:v>189</c:v>
                </c:pt>
                <c:pt idx="17">
                  <c:v>254</c:v>
                </c:pt>
                <c:pt idx="18">
                  <c:v>215</c:v>
                </c:pt>
                <c:pt idx="19">
                  <c:v>158</c:v>
                </c:pt>
                <c:pt idx="20">
                  <c:v>111</c:v>
                </c:pt>
                <c:pt idx="21">
                  <c:v>270</c:v>
                </c:pt>
                <c:pt idx="22">
                  <c:v>364</c:v>
                </c:pt>
                <c:pt idx="2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1-4092-819D-746A820C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3"/>
          <c:order val="0"/>
          <c:tx>
            <c:strRef>
              <c:f>'Buen fin (3)'!$E$60</c:f>
              <c:strCache>
                <c:ptCount val="1"/>
                <c:pt idx="0">
                  <c:v>Pronóstico</c:v>
                </c:pt>
              </c:strCache>
            </c:strRef>
          </c:tx>
          <c:spPr>
            <a:ln w="34925" cap="rnd">
              <a:solidFill>
                <a:schemeClr val="accent3">
                  <a:tint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(3)'!$F$53:$DD$53</c15:sqref>
                  </c15:fullRef>
                </c:ext>
              </c:extLst>
              <c:f>'Buen fin (3)'!$CA$53:$CX$53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(3)'!$F$60:$DD$60</c15:sqref>
                  </c15:fullRef>
                </c:ext>
              </c:extLst>
              <c:f>'Buen fin (3)'!$CA$60:$CX$60</c:f>
              <c:numCache>
                <c:formatCode>#,##0</c:formatCode>
                <c:ptCount val="24"/>
                <c:pt idx="0">
                  <c:v>257</c:v>
                </c:pt>
                <c:pt idx="1">
                  <c:v>247</c:v>
                </c:pt>
                <c:pt idx="2">
                  <c:v>241</c:v>
                </c:pt>
                <c:pt idx="3">
                  <c:v>222</c:v>
                </c:pt>
                <c:pt idx="4">
                  <c:v>210</c:v>
                </c:pt>
                <c:pt idx="5">
                  <c:v>162</c:v>
                </c:pt>
                <c:pt idx="6">
                  <c:v>99</c:v>
                </c:pt>
                <c:pt idx="7">
                  <c:v>154</c:v>
                </c:pt>
                <c:pt idx="8">
                  <c:v>299</c:v>
                </c:pt>
                <c:pt idx="9">
                  <c:v>230</c:v>
                </c:pt>
                <c:pt idx="10">
                  <c:v>206</c:v>
                </c:pt>
                <c:pt idx="11">
                  <c:v>178</c:v>
                </c:pt>
                <c:pt idx="12">
                  <c:v>155</c:v>
                </c:pt>
                <c:pt idx="13">
                  <c:v>100</c:v>
                </c:pt>
                <c:pt idx="14">
                  <c:v>256</c:v>
                </c:pt>
                <c:pt idx="15">
                  <c:v>236</c:v>
                </c:pt>
                <c:pt idx="16">
                  <c:v>220</c:v>
                </c:pt>
                <c:pt idx="17">
                  <c:v>194</c:v>
                </c:pt>
                <c:pt idx="18">
                  <c:v>178</c:v>
                </c:pt>
                <c:pt idx="19">
                  <c:v>137</c:v>
                </c:pt>
                <c:pt idx="20">
                  <c:v>85</c:v>
                </c:pt>
                <c:pt idx="21">
                  <c:v>239</c:v>
                </c:pt>
                <c:pt idx="22">
                  <c:v>218</c:v>
                </c:pt>
                <c:pt idx="23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1-4092-819D-746A820C3784}"/>
            </c:ext>
          </c:extLst>
        </c:ser>
        <c:ser>
          <c:idx val="1"/>
          <c:order val="4"/>
          <c:tx>
            <c:strRef>
              <c:f>'Buen fin (3)'!$E$55</c:f>
              <c:strCache>
                <c:ptCount val="1"/>
                <c:pt idx="0">
                  <c:v>Capacidad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(3)'!$F$53:$DD$53</c15:sqref>
                  </c15:fullRef>
                </c:ext>
              </c:extLst>
              <c:f>'Buen fin (3)'!$CA$53:$CX$53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(3)'!$F$55:$DD$55</c15:sqref>
                  </c15:fullRef>
                </c:ext>
              </c:extLst>
              <c:f>'Buen fin (3)'!$CA$55:$CX$55</c:f>
              <c:numCache>
                <c:formatCode>#,##0</c:formatCode>
                <c:ptCount val="24"/>
                <c:pt idx="0">
                  <c:v>373</c:v>
                </c:pt>
                <c:pt idx="1">
                  <c:v>373</c:v>
                </c:pt>
                <c:pt idx="2">
                  <c:v>373</c:v>
                </c:pt>
                <c:pt idx="3">
                  <c:v>373</c:v>
                </c:pt>
                <c:pt idx="4">
                  <c:v>373</c:v>
                </c:pt>
                <c:pt idx="5">
                  <c:v>209</c:v>
                </c:pt>
                <c:pt idx="6">
                  <c:v>171</c:v>
                </c:pt>
                <c:pt idx="7">
                  <c:v>209</c:v>
                </c:pt>
                <c:pt idx="8">
                  <c:v>454</c:v>
                </c:pt>
                <c:pt idx="9">
                  <c:v>454</c:v>
                </c:pt>
                <c:pt idx="10">
                  <c:v>454</c:v>
                </c:pt>
                <c:pt idx="11">
                  <c:v>454</c:v>
                </c:pt>
                <c:pt idx="12">
                  <c:v>209</c:v>
                </c:pt>
                <c:pt idx="13">
                  <c:v>209</c:v>
                </c:pt>
                <c:pt idx="14">
                  <c:v>454</c:v>
                </c:pt>
                <c:pt idx="15">
                  <c:v>454</c:v>
                </c:pt>
                <c:pt idx="16">
                  <c:v>377</c:v>
                </c:pt>
                <c:pt idx="17">
                  <c:v>377</c:v>
                </c:pt>
                <c:pt idx="18">
                  <c:v>377</c:v>
                </c:pt>
                <c:pt idx="19">
                  <c:v>209</c:v>
                </c:pt>
                <c:pt idx="20">
                  <c:v>209</c:v>
                </c:pt>
                <c:pt idx="21">
                  <c:v>377</c:v>
                </c:pt>
                <c:pt idx="22">
                  <c:v>377</c:v>
                </c:pt>
                <c:pt idx="23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E1-4092-819D-746A820C3784}"/>
            </c:ext>
          </c:extLst>
        </c:ser>
        <c:ser>
          <c:idx val="2"/>
          <c:order val="5"/>
          <c:tx>
            <c:strRef>
              <c:f>'Buen fin (3)'!$E$63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(3)'!$F$53:$DD$53</c15:sqref>
                  </c15:fullRef>
                </c:ext>
              </c:extLst>
              <c:f>'Buen fin (3)'!$CA$53:$CX$53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(3)'!$F$63:$DD$63</c15:sqref>
                  </c15:fullRef>
                </c:ext>
              </c:extLst>
              <c:f>'Buen fin (3)'!$CA$63:$CX$63</c:f>
              <c:numCache>
                <c:formatCode>#,##0</c:formatCode>
                <c:ptCount val="24"/>
                <c:pt idx="0">
                  <c:v>280</c:v>
                </c:pt>
                <c:pt idx="1">
                  <c:v>316</c:v>
                </c:pt>
                <c:pt idx="2">
                  <c:v>304</c:v>
                </c:pt>
                <c:pt idx="3">
                  <c:v>333</c:v>
                </c:pt>
                <c:pt idx="4">
                  <c:v>254</c:v>
                </c:pt>
                <c:pt idx="5">
                  <c:v>227</c:v>
                </c:pt>
                <c:pt idx="6">
                  <c:v>123</c:v>
                </c:pt>
                <c:pt idx="7">
                  <c:v>162</c:v>
                </c:pt>
                <c:pt idx="8">
                  <c:v>390</c:v>
                </c:pt>
                <c:pt idx="9">
                  <c:v>323</c:v>
                </c:pt>
                <c:pt idx="10">
                  <c:v>284</c:v>
                </c:pt>
                <c:pt idx="11">
                  <c:v>280</c:v>
                </c:pt>
                <c:pt idx="12">
                  <c:v>176</c:v>
                </c:pt>
                <c:pt idx="13">
                  <c:v>150</c:v>
                </c:pt>
                <c:pt idx="14">
                  <c:v>326</c:v>
                </c:pt>
                <c:pt idx="15">
                  <c:v>278</c:v>
                </c:pt>
                <c:pt idx="16">
                  <c:v>278</c:v>
                </c:pt>
                <c:pt idx="17">
                  <c:v>266</c:v>
                </c:pt>
                <c:pt idx="18">
                  <c:v>221</c:v>
                </c:pt>
                <c:pt idx="19">
                  <c:v>198</c:v>
                </c:pt>
                <c:pt idx="20">
                  <c:v>201</c:v>
                </c:pt>
                <c:pt idx="21">
                  <c:v>234</c:v>
                </c:pt>
                <c:pt idx="22">
                  <c:v>377</c:v>
                </c:pt>
                <c:pt idx="23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1-4092-819D-746A820C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AXO-LifeStyle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'Buen fin (3)'!$E$105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(3)'!$F$104:$DD$104</c15:sqref>
                  </c15:fullRef>
                </c:ext>
              </c:extLst>
              <c:f>'Buen fin (3)'!$CA$104:$CX$104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(3)'!$F$105:$DD$105</c15:sqref>
                  </c15:fullRef>
                </c:ext>
              </c:extLst>
              <c:f>'Buen fin (3)'!$CA$105:$CX$105</c:f>
              <c:numCache>
                <c:formatCode>#,##0</c:formatCode>
                <c:ptCount val="24"/>
                <c:pt idx="0">
                  <c:v>985</c:v>
                </c:pt>
                <c:pt idx="1">
                  <c:v>948</c:v>
                </c:pt>
                <c:pt idx="2">
                  <c:v>974</c:v>
                </c:pt>
                <c:pt idx="3">
                  <c:v>830</c:v>
                </c:pt>
                <c:pt idx="4">
                  <c:v>675</c:v>
                </c:pt>
                <c:pt idx="5">
                  <c:v>396</c:v>
                </c:pt>
                <c:pt idx="6">
                  <c:v>310</c:v>
                </c:pt>
                <c:pt idx="7">
                  <c:v>445</c:v>
                </c:pt>
                <c:pt idx="8">
                  <c:v>826</c:v>
                </c:pt>
                <c:pt idx="9">
                  <c:v>721</c:v>
                </c:pt>
                <c:pt idx="10">
                  <c:v>771</c:v>
                </c:pt>
                <c:pt idx="11">
                  <c:v>633</c:v>
                </c:pt>
                <c:pt idx="12">
                  <c:v>399</c:v>
                </c:pt>
                <c:pt idx="13">
                  <c:v>254</c:v>
                </c:pt>
                <c:pt idx="14">
                  <c:v>746</c:v>
                </c:pt>
                <c:pt idx="15">
                  <c:v>788</c:v>
                </c:pt>
                <c:pt idx="16">
                  <c:v>591</c:v>
                </c:pt>
                <c:pt idx="17">
                  <c:v>704</c:v>
                </c:pt>
                <c:pt idx="18">
                  <c:v>629</c:v>
                </c:pt>
                <c:pt idx="19">
                  <c:v>349</c:v>
                </c:pt>
                <c:pt idx="20">
                  <c:v>261</c:v>
                </c:pt>
                <c:pt idx="21">
                  <c:v>760</c:v>
                </c:pt>
                <c:pt idx="22">
                  <c:v>796</c:v>
                </c:pt>
                <c:pt idx="23">
                  <c:v>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E-49A3-94E8-809E3C409D24}"/>
            </c:ext>
          </c:extLst>
        </c:ser>
        <c:ser>
          <c:idx val="4"/>
          <c:order val="2"/>
          <c:tx>
            <c:strRef>
              <c:f>'Buen fin (3)'!$E$109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(3)'!$F$104:$DD$104</c15:sqref>
                  </c15:fullRef>
                </c:ext>
              </c:extLst>
              <c:f>'Buen fin (3)'!$CA$104:$CX$104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(3)'!$F$109:$DD$109</c15:sqref>
                  </c15:fullRef>
                </c:ext>
              </c:extLst>
              <c:f>'Buen fin (3)'!$CA$109:$CX$109</c:f>
              <c:numCache>
                <c:formatCode>#,##0</c:formatCode>
                <c:ptCount val="24"/>
                <c:pt idx="0">
                  <c:v>179</c:v>
                </c:pt>
                <c:pt idx="1">
                  <c:v>169</c:v>
                </c:pt>
                <c:pt idx="2">
                  <c:v>179</c:v>
                </c:pt>
                <c:pt idx="3">
                  <c:v>163</c:v>
                </c:pt>
                <c:pt idx="4">
                  <c:v>58</c:v>
                </c:pt>
                <c:pt idx="5">
                  <c:v>67</c:v>
                </c:pt>
                <c:pt idx="6">
                  <c:v>41</c:v>
                </c:pt>
                <c:pt idx="7">
                  <c:v>80</c:v>
                </c:pt>
                <c:pt idx="8">
                  <c:v>99</c:v>
                </c:pt>
                <c:pt idx="9">
                  <c:v>165</c:v>
                </c:pt>
                <c:pt idx="10">
                  <c:v>33</c:v>
                </c:pt>
                <c:pt idx="11">
                  <c:v>84</c:v>
                </c:pt>
                <c:pt idx="12">
                  <c:v>19</c:v>
                </c:pt>
                <c:pt idx="13">
                  <c:v>43</c:v>
                </c:pt>
                <c:pt idx="14">
                  <c:v>16</c:v>
                </c:pt>
                <c:pt idx="15">
                  <c:v>70</c:v>
                </c:pt>
                <c:pt idx="16">
                  <c:v>93</c:v>
                </c:pt>
                <c:pt idx="17">
                  <c:v>35</c:v>
                </c:pt>
                <c:pt idx="18">
                  <c:v>71</c:v>
                </c:pt>
                <c:pt idx="19">
                  <c:v>71</c:v>
                </c:pt>
                <c:pt idx="20">
                  <c:v>39</c:v>
                </c:pt>
                <c:pt idx="21">
                  <c:v>48</c:v>
                </c:pt>
                <c:pt idx="22">
                  <c:v>80</c:v>
                </c:pt>
                <c:pt idx="2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E-49A3-94E8-809E3C409D24}"/>
            </c:ext>
          </c:extLst>
        </c:ser>
        <c:ser>
          <c:idx val="5"/>
          <c:order val="3"/>
          <c:tx>
            <c:strRef>
              <c:f>'Buen fin (3)'!$E$112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(3)'!$F$104:$DD$104</c15:sqref>
                  </c15:fullRef>
                </c:ext>
              </c:extLst>
              <c:f>'Buen fin (3)'!$CA$104:$CX$104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(3)'!$F$112:$DD$112</c15:sqref>
                  </c15:fullRef>
                </c:ext>
              </c:extLst>
              <c:f>'Buen fin (3)'!$CA$112:$CX$112</c:f>
              <c:numCache>
                <c:formatCode>#,##0</c:formatCode>
                <c:ptCount val="24"/>
                <c:pt idx="0">
                  <c:v>1522</c:v>
                </c:pt>
                <c:pt idx="1">
                  <c:v>1437</c:v>
                </c:pt>
                <c:pt idx="2">
                  <c:v>1297</c:v>
                </c:pt>
                <c:pt idx="3">
                  <c:v>1195</c:v>
                </c:pt>
                <c:pt idx="4">
                  <c:v>1001</c:v>
                </c:pt>
                <c:pt idx="5">
                  <c:v>575</c:v>
                </c:pt>
                <c:pt idx="6">
                  <c:v>387</c:v>
                </c:pt>
                <c:pt idx="7">
                  <c:v>525</c:v>
                </c:pt>
                <c:pt idx="8">
                  <c:v>925</c:v>
                </c:pt>
                <c:pt idx="9">
                  <c:v>886</c:v>
                </c:pt>
                <c:pt idx="10">
                  <c:v>804</c:v>
                </c:pt>
                <c:pt idx="11">
                  <c:v>717</c:v>
                </c:pt>
                <c:pt idx="12">
                  <c:v>418</c:v>
                </c:pt>
                <c:pt idx="13">
                  <c:v>297</c:v>
                </c:pt>
                <c:pt idx="14">
                  <c:v>762</c:v>
                </c:pt>
                <c:pt idx="15">
                  <c:v>858</c:v>
                </c:pt>
                <c:pt idx="16">
                  <c:v>684</c:v>
                </c:pt>
                <c:pt idx="17">
                  <c:v>739</c:v>
                </c:pt>
                <c:pt idx="18">
                  <c:v>700</c:v>
                </c:pt>
                <c:pt idx="19">
                  <c:v>420</c:v>
                </c:pt>
                <c:pt idx="20">
                  <c:v>300</c:v>
                </c:pt>
                <c:pt idx="21">
                  <c:v>808</c:v>
                </c:pt>
                <c:pt idx="22">
                  <c:v>876</c:v>
                </c:pt>
                <c:pt idx="23">
                  <c:v>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E-49A3-94E8-809E3C40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3"/>
          <c:order val="0"/>
          <c:tx>
            <c:strRef>
              <c:f>'Buen fin (3)'!$E$111</c:f>
              <c:strCache>
                <c:ptCount val="1"/>
                <c:pt idx="0">
                  <c:v>Pronóstico</c:v>
                </c:pt>
              </c:strCache>
            </c:strRef>
          </c:tx>
          <c:spPr>
            <a:ln w="34925" cap="rnd">
              <a:solidFill>
                <a:schemeClr val="accent3">
                  <a:tint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(3)'!$F$104:$DD$104</c15:sqref>
                  </c15:fullRef>
                </c:ext>
              </c:extLst>
              <c:f>'Buen fin (3)'!$CA$104:$CX$104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(3)'!$F$111:$DD$111</c15:sqref>
                  </c15:fullRef>
                </c:ext>
              </c:extLst>
              <c:f>'Buen fin (3)'!$CA$111:$CX$111</c:f>
              <c:numCache>
                <c:formatCode>#,##0</c:formatCode>
                <c:ptCount val="24"/>
                <c:pt idx="0">
                  <c:v>1343</c:v>
                </c:pt>
                <c:pt idx="1">
                  <c:v>1268</c:v>
                </c:pt>
                <c:pt idx="2">
                  <c:v>1118</c:v>
                </c:pt>
                <c:pt idx="3">
                  <c:v>1032</c:v>
                </c:pt>
                <c:pt idx="4">
                  <c:v>943</c:v>
                </c:pt>
                <c:pt idx="5">
                  <c:v>508</c:v>
                </c:pt>
                <c:pt idx="6">
                  <c:v>346</c:v>
                </c:pt>
                <c:pt idx="7">
                  <c:v>404</c:v>
                </c:pt>
                <c:pt idx="8">
                  <c:v>948</c:v>
                </c:pt>
                <c:pt idx="9">
                  <c:v>827</c:v>
                </c:pt>
                <c:pt idx="10">
                  <c:v>777</c:v>
                </c:pt>
                <c:pt idx="11">
                  <c:v>726</c:v>
                </c:pt>
                <c:pt idx="12">
                  <c:v>420</c:v>
                </c:pt>
                <c:pt idx="13">
                  <c:v>272</c:v>
                </c:pt>
                <c:pt idx="14">
                  <c:v>834</c:v>
                </c:pt>
                <c:pt idx="15">
                  <c:v>743</c:v>
                </c:pt>
                <c:pt idx="16">
                  <c:v>706</c:v>
                </c:pt>
                <c:pt idx="17">
                  <c:v>664</c:v>
                </c:pt>
                <c:pt idx="18">
                  <c:v>584</c:v>
                </c:pt>
                <c:pt idx="19">
                  <c:v>368</c:v>
                </c:pt>
                <c:pt idx="20">
                  <c:v>230</c:v>
                </c:pt>
                <c:pt idx="21">
                  <c:v>764</c:v>
                </c:pt>
                <c:pt idx="22">
                  <c:v>703</c:v>
                </c:pt>
                <c:pt idx="23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E-49A3-94E8-809E3C409D24}"/>
            </c:ext>
          </c:extLst>
        </c:ser>
        <c:ser>
          <c:idx val="1"/>
          <c:order val="4"/>
          <c:tx>
            <c:strRef>
              <c:f>'Buen fin (3)'!$E$106</c:f>
              <c:strCache>
                <c:ptCount val="1"/>
                <c:pt idx="0">
                  <c:v>Capacidad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(3)'!$F$104:$DD$104</c15:sqref>
                  </c15:fullRef>
                </c:ext>
              </c:extLst>
              <c:f>'Buen fin (3)'!$CA$104:$CX$104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(3)'!$F$106:$DD$106</c15:sqref>
                  </c15:fullRef>
                </c:ext>
              </c:extLst>
              <c:f>'Buen fin (3)'!$CA$106:$CX$106</c:f>
              <c:numCache>
                <c:formatCode>#,##0</c:formatCode>
                <c:ptCount val="24"/>
                <c:pt idx="0">
                  <c:v>1598</c:v>
                </c:pt>
                <c:pt idx="1">
                  <c:v>1598</c:v>
                </c:pt>
                <c:pt idx="2">
                  <c:v>1598</c:v>
                </c:pt>
                <c:pt idx="3">
                  <c:v>1598</c:v>
                </c:pt>
                <c:pt idx="4">
                  <c:v>1598</c:v>
                </c:pt>
                <c:pt idx="5">
                  <c:v>760</c:v>
                </c:pt>
                <c:pt idx="6">
                  <c:v>591</c:v>
                </c:pt>
                <c:pt idx="7">
                  <c:v>550</c:v>
                </c:pt>
                <c:pt idx="8">
                  <c:v>1406</c:v>
                </c:pt>
                <c:pt idx="9">
                  <c:v>1406</c:v>
                </c:pt>
                <c:pt idx="10">
                  <c:v>1406</c:v>
                </c:pt>
                <c:pt idx="11">
                  <c:v>1406</c:v>
                </c:pt>
                <c:pt idx="12">
                  <c:v>760</c:v>
                </c:pt>
                <c:pt idx="13">
                  <c:v>558</c:v>
                </c:pt>
                <c:pt idx="14">
                  <c:v>1406</c:v>
                </c:pt>
                <c:pt idx="15">
                  <c:v>1406</c:v>
                </c:pt>
                <c:pt idx="16">
                  <c:v>1256</c:v>
                </c:pt>
                <c:pt idx="17">
                  <c:v>1256</c:v>
                </c:pt>
                <c:pt idx="18">
                  <c:v>1256</c:v>
                </c:pt>
                <c:pt idx="19">
                  <c:v>613</c:v>
                </c:pt>
                <c:pt idx="20">
                  <c:v>479</c:v>
                </c:pt>
                <c:pt idx="21">
                  <c:v>1256</c:v>
                </c:pt>
                <c:pt idx="22">
                  <c:v>1256</c:v>
                </c:pt>
                <c:pt idx="23">
                  <c:v>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E-49A3-94E8-809E3C409D24}"/>
            </c:ext>
          </c:extLst>
        </c:ser>
        <c:ser>
          <c:idx val="2"/>
          <c:order val="5"/>
          <c:tx>
            <c:strRef>
              <c:f>'Buen fin (3)'!$E$114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(3)'!$F$104:$DD$104</c15:sqref>
                  </c15:fullRef>
                </c:ext>
              </c:extLst>
              <c:f>'Buen fin (3)'!$CA$104:$CX$104</c:f>
              <c:numCache>
                <c:formatCode>d\-mmm</c:formatCode>
                <c:ptCount val="24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(3)'!$F$114:$DD$114</c15:sqref>
                  </c15:fullRef>
                </c:ext>
              </c:extLst>
              <c:f>'Buen fin (3)'!$CA$114:$CX$114</c:f>
              <c:numCache>
                <c:formatCode>#,##0</c:formatCode>
                <c:ptCount val="24"/>
                <c:pt idx="0">
                  <c:v>1243</c:v>
                </c:pt>
                <c:pt idx="1">
                  <c:v>1349</c:v>
                </c:pt>
                <c:pt idx="2">
                  <c:v>1577</c:v>
                </c:pt>
                <c:pt idx="3">
                  <c:v>1275</c:v>
                </c:pt>
                <c:pt idx="4">
                  <c:v>1085</c:v>
                </c:pt>
                <c:pt idx="5">
                  <c:v>645</c:v>
                </c:pt>
                <c:pt idx="6">
                  <c:v>431</c:v>
                </c:pt>
                <c:pt idx="7">
                  <c:v>593</c:v>
                </c:pt>
                <c:pt idx="8">
                  <c:v>1645</c:v>
                </c:pt>
                <c:pt idx="9">
                  <c:v>1260</c:v>
                </c:pt>
                <c:pt idx="10">
                  <c:v>1358</c:v>
                </c:pt>
                <c:pt idx="11">
                  <c:v>1142</c:v>
                </c:pt>
                <c:pt idx="12">
                  <c:v>664</c:v>
                </c:pt>
                <c:pt idx="13">
                  <c:v>540</c:v>
                </c:pt>
                <c:pt idx="14">
                  <c:v>1269</c:v>
                </c:pt>
                <c:pt idx="15">
                  <c:v>1329</c:v>
                </c:pt>
                <c:pt idx="16">
                  <c:v>1311</c:v>
                </c:pt>
                <c:pt idx="17">
                  <c:v>1129</c:v>
                </c:pt>
                <c:pt idx="18">
                  <c:v>1138</c:v>
                </c:pt>
                <c:pt idx="19">
                  <c:v>580</c:v>
                </c:pt>
                <c:pt idx="20">
                  <c:v>611</c:v>
                </c:pt>
                <c:pt idx="21">
                  <c:v>1282</c:v>
                </c:pt>
                <c:pt idx="22">
                  <c:v>1304</c:v>
                </c:pt>
                <c:pt idx="23">
                  <c:v>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E-49A3-94E8-809E3C40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TAF-AXO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'Buen fin (2)'!$E$17</c:f>
              <c:strCache>
                <c:ptCount val="1"/>
                <c:pt idx="0">
                  <c:v>Pronóstico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(2)'!$F$10:$CL$10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(2)'!$F$17:$CL$17</c:f>
              <c:numCache>
                <c:formatCode>#,##0</c:formatCode>
                <c:ptCount val="85"/>
                <c:pt idx="0">
                  <c:v>1521</c:v>
                </c:pt>
                <c:pt idx="1">
                  <c:v>1177</c:v>
                </c:pt>
                <c:pt idx="2">
                  <c:v>1057</c:v>
                </c:pt>
                <c:pt idx="3">
                  <c:v>1981</c:v>
                </c:pt>
                <c:pt idx="4">
                  <c:v>2637</c:v>
                </c:pt>
                <c:pt idx="5">
                  <c:v>2588</c:v>
                </c:pt>
                <c:pt idx="6">
                  <c:v>2473</c:v>
                </c:pt>
                <c:pt idx="7">
                  <c:v>2807</c:v>
                </c:pt>
                <c:pt idx="8">
                  <c:v>2011</c:v>
                </c:pt>
                <c:pt idx="9">
                  <c:v>1341</c:v>
                </c:pt>
                <c:pt idx="10">
                  <c:v>4841</c:v>
                </c:pt>
                <c:pt idx="11">
                  <c:v>4393</c:v>
                </c:pt>
                <c:pt idx="12">
                  <c:v>4390</c:v>
                </c:pt>
                <c:pt idx="13">
                  <c:v>3683</c:v>
                </c:pt>
                <c:pt idx="14">
                  <c:v>3052</c:v>
                </c:pt>
                <c:pt idx="15">
                  <c:v>2182</c:v>
                </c:pt>
                <c:pt idx="16">
                  <c:v>1052</c:v>
                </c:pt>
                <c:pt idx="17">
                  <c:v>2838</c:v>
                </c:pt>
                <c:pt idx="18">
                  <c:v>2808</c:v>
                </c:pt>
                <c:pt idx="19">
                  <c:v>2221</c:v>
                </c:pt>
                <c:pt idx="20">
                  <c:v>2110</c:v>
                </c:pt>
                <c:pt idx="21">
                  <c:v>2038</c:v>
                </c:pt>
                <c:pt idx="22">
                  <c:v>1430</c:v>
                </c:pt>
                <c:pt idx="23">
                  <c:v>1074</c:v>
                </c:pt>
                <c:pt idx="24">
                  <c:v>1860</c:v>
                </c:pt>
                <c:pt idx="25">
                  <c:v>1834</c:v>
                </c:pt>
                <c:pt idx="26">
                  <c:v>2320</c:v>
                </c:pt>
                <c:pt idx="27">
                  <c:v>2265</c:v>
                </c:pt>
                <c:pt idx="28">
                  <c:v>2200</c:v>
                </c:pt>
                <c:pt idx="29">
                  <c:v>1420</c:v>
                </c:pt>
                <c:pt idx="30">
                  <c:v>1127</c:v>
                </c:pt>
                <c:pt idx="31">
                  <c:v>2753</c:v>
                </c:pt>
                <c:pt idx="32">
                  <c:v>3133</c:v>
                </c:pt>
                <c:pt idx="33">
                  <c:v>2837</c:v>
                </c:pt>
                <c:pt idx="34">
                  <c:v>2681</c:v>
                </c:pt>
                <c:pt idx="35">
                  <c:v>2413</c:v>
                </c:pt>
                <c:pt idx="36">
                  <c:v>1329</c:v>
                </c:pt>
                <c:pt idx="37">
                  <c:v>842</c:v>
                </c:pt>
                <c:pt idx="38">
                  <c:v>657</c:v>
                </c:pt>
                <c:pt idx="39">
                  <c:v>2334</c:v>
                </c:pt>
                <c:pt idx="40">
                  <c:v>2010</c:v>
                </c:pt>
                <c:pt idx="41">
                  <c:v>1911</c:v>
                </c:pt>
                <c:pt idx="42">
                  <c:v>1777</c:v>
                </c:pt>
                <c:pt idx="43">
                  <c:v>1141</c:v>
                </c:pt>
                <c:pt idx="44">
                  <c:v>653</c:v>
                </c:pt>
                <c:pt idx="45">
                  <c:v>547</c:v>
                </c:pt>
                <c:pt idx="46">
                  <c:v>2764</c:v>
                </c:pt>
                <c:pt idx="47">
                  <c:v>2400</c:v>
                </c:pt>
                <c:pt idx="48">
                  <c:v>2065</c:v>
                </c:pt>
                <c:pt idx="49">
                  <c:v>1866</c:v>
                </c:pt>
                <c:pt idx="50">
                  <c:v>1218</c:v>
                </c:pt>
                <c:pt idx="51">
                  <c:v>669</c:v>
                </c:pt>
                <c:pt idx="52">
                  <c:v>2452</c:v>
                </c:pt>
                <c:pt idx="53">
                  <c:v>2018</c:v>
                </c:pt>
                <c:pt idx="54">
                  <c:v>2384</c:v>
                </c:pt>
                <c:pt idx="55">
                  <c:v>2332</c:v>
                </c:pt>
                <c:pt idx="56">
                  <c:v>2240</c:v>
                </c:pt>
                <c:pt idx="57">
                  <c:v>1338</c:v>
                </c:pt>
                <c:pt idx="58">
                  <c:v>854</c:v>
                </c:pt>
                <c:pt idx="59">
                  <c:v>2605</c:v>
                </c:pt>
                <c:pt idx="60">
                  <c:v>2439</c:v>
                </c:pt>
                <c:pt idx="61">
                  <c:v>2658</c:v>
                </c:pt>
                <c:pt idx="62">
                  <c:v>2312</c:v>
                </c:pt>
                <c:pt idx="63">
                  <c:v>2272</c:v>
                </c:pt>
                <c:pt idx="64">
                  <c:v>1378</c:v>
                </c:pt>
                <c:pt idx="65">
                  <c:v>840</c:v>
                </c:pt>
                <c:pt idx="66">
                  <c:v>2960</c:v>
                </c:pt>
                <c:pt idx="67">
                  <c:v>2541</c:v>
                </c:pt>
                <c:pt idx="68">
                  <c:v>1913</c:v>
                </c:pt>
                <c:pt idx="69">
                  <c:v>1822</c:v>
                </c:pt>
                <c:pt idx="70">
                  <c:v>1613</c:v>
                </c:pt>
                <c:pt idx="71">
                  <c:v>840</c:v>
                </c:pt>
                <c:pt idx="72">
                  <c:v>564</c:v>
                </c:pt>
                <c:pt idx="73">
                  <c:v>1600</c:v>
                </c:pt>
                <c:pt idx="74">
                  <c:v>1515</c:v>
                </c:pt>
                <c:pt idx="75">
                  <c:v>1359</c:v>
                </c:pt>
                <c:pt idx="76">
                  <c:v>1254</c:v>
                </c:pt>
                <c:pt idx="77">
                  <c:v>1153</c:v>
                </c:pt>
                <c:pt idx="78">
                  <c:v>670</c:v>
                </c:pt>
                <c:pt idx="79">
                  <c:v>445</c:v>
                </c:pt>
                <c:pt idx="80">
                  <c:v>558</c:v>
                </c:pt>
                <c:pt idx="81">
                  <c:v>1247</c:v>
                </c:pt>
                <c:pt idx="82">
                  <c:v>1139</c:v>
                </c:pt>
                <c:pt idx="83">
                  <c:v>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A-4FE4-9282-861698C38B8A}"/>
            </c:ext>
          </c:extLst>
        </c:ser>
        <c:ser>
          <c:idx val="0"/>
          <c:order val="1"/>
          <c:tx>
            <c:strRef>
              <c:f>'Buen fin (2)'!$E$11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(2)'!$F$10:$CL$10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(2)'!$F$11:$CL$11</c:f>
              <c:numCache>
                <c:formatCode>#,##0</c:formatCode>
                <c:ptCount val="85"/>
                <c:pt idx="0">
                  <c:v>1502</c:v>
                </c:pt>
                <c:pt idx="1">
                  <c:v>1204</c:v>
                </c:pt>
                <c:pt idx="2">
                  <c:v>1206</c:v>
                </c:pt>
                <c:pt idx="3">
                  <c:v>1981</c:v>
                </c:pt>
                <c:pt idx="4">
                  <c:v>2637</c:v>
                </c:pt>
                <c:pt idx="5">
                  <c:v>2588</c:v>
                </c:pt>
                <c:pt idx="6">
                  <c:v>2473</c:v>
                </c:pt>
                <c:pt idx="7">
                  <c:v>2807</c:v>
                </c:pt>
                <c:pt idx="8">
                  <c:v>2011</c:v>
                </c:pt>
                <c:pt idx="9">
                  <c:v>1341</c:v>
                </c:pt>
                <c:pt idx="10">
                  <c:v>4687</c:v>
                </c:pt>
                <c:pt idx="11">
                  <c:v>4393</c:v>
                </c:pt>
                <c:pt idx="12">
                  <c:v>4367</c:v>
                </c:pt>
                <c:pt idx="13">
                  <c:v>3683</c:v>
                </c:pt>
                <c:pt idx="14">
                  <c:v>3052</c:v>
                </c:pt>
                <c:pt idx="15">
                  <c:v>2182</c:v>
                </c:pt>
                <c:pt idx="16">
                  <c:v>1052</c:v>
                </c:pt>
                <c:pt idx="17">
                  <c:v>2947</c:v>
                </c:pt>
                <c:pt idx="18">
                  <c:v>3012</c:v>
                </c:pt>
                <c:pt idx="19">
                  <c:v>2264</c:v>
                </c:pt>
                <c:pt idx="20">
                  <c:v>1919</c:v>
                </c:pt>
                <c:pt idx="21">
                  <c:v>1917</c:v>
                </c:pt>
                <c:pt idx="22">
                  <c:v>1264</c:v>
                </c:pt>
                <c:pt idx="23">
                  <c:v>1082</c:v>
                </c:pt>
                <c:pt idx="24">
                  <c:v>2672</c:v>
                </c:pt>
                <c:pt idx="25">
                  <c:v>2452</c:v>
                </c:pt>
                <c:pt idx="26">
                  <c:v>2522</c:v>
                </c:pt>
                <c:pt idx="27">
                  <c:v>2304</c:v>
                </c:pt>
                <c:pt idx="28">
                  <c:v>2232</c:v>
                </c:pt>
                <c:pt idx="29">
                  <c:v>1460</c:v>
                </c:pt>
                <c:pt idx="30">
                  <c:v>1223</c:v>
                </c:pt>
                <c:pt idx="31">
                  <c:v>3463</c:v>
                </c:pt>
                <c:pt idx="32">
                  <c:v>2831</c:v>
                </c:pt>
                <c:pt idx="33">
                  <c:v>2531</c:v>
                </c:pt>
                <c:pt idx="34">
                  <c:v>2362</c:v>
                </c:pt>
                <c:pt idx="35">
                  <c:v>2204</c:v>
                </c:pt>
                <c:pt idx="36">
                  <c:v>1384</c:v>
                </c:pt>
                <c:pt idx="37">
                  <c:v>738</c:v>
                </c:pt>
                <c:pt idx="38">
                  <c:v>640</c:v>
                </c:pt>
                <c:pt idx="39">
                  <c:v>2553</c:v>
                </c:pt>
                <c:pt idx="40">
                  <c:v>1888</c:v>
                </c:pt>
                <c:pt idx="41">
                  <c:v>2029</c:v>
                </c:pt>
                <c:pt idx="42">
                  <c:v>1611</c:v>
                </c:pt>
                <c:pt idx="43">
                  <c:v>1072</c:v>
                </c:pt>
                <c:pt idx="44">
                  <c:v>548</c:v>
                </c:pt>
                <c:pt idx="45">
                  <c:v>474</c:v>
                </c:pt>
                <c:pt idx="46">
                  <c:v>2331</c:v>
                </c:pt>
                <c:pt idx="47">
                  <c:v>2206</c:v>
                </c:pt>
                <c:pt idx="48">
                  <c:v>1940</c:v>
                </c:pt>
                <c:pt idx="49">
                  <c:v>1893</c:v>
                </c:pt>
                <c:pt idx="50">
                  <c:v>1138</c:v>
                </c:pt>
                <c:pt idx="51">
                  <c:v>785</c:v>
                </c:pt>
                <c:pt idx="52">
                  <c:v>2134</c:v>
                </c:pt>
                <c:pt idx="53">
                  <c:v>2286</c:v>
                </c:pt>
                <c:pt idx="54">
                  <c:v>2473</c:v>
                </c:pt>
                <c:pt idx="55">
                  <c:v>2452</c:v>
                </c:pt>
                <c:pt idx="56">
                  <c:v>2147</c:v>
                </c:pt>
                <c:pt idx="57">
                  <c:v>1090</c:v>
                </c:pt>
                <c:pt idx="58">
                  <c:v>709</c:v>
                </c:pt>
                <c:pt idx="59">
                  <c:v>3193</c:v>
                </c:pt>
                <c:pt idx="60">
                  <c:v>3019</c:v>
                </c:pt>
                <c:pt idx="61">
                  <c:v>2646</c:v>
                </c:pt>
                <c:pt idx="62">
                  <c:v>2167</c:v>
                </c:pt>
                <c:pt idx="63">
                  <c:v>1892</c:v>
                </c:pt>
                <c:pt idx="64">
                  <c:v>918</c:v>
                </c:pt>
                <c:pt idx="65">
                  <c:v>568</c:v>
                </c:pt>
                <c:pt idx="66">
                  <c:v>2441</c:v>
                </c:pt>
                <c:pt idx="67">
                  <c:v>2220</c:v>
                </c:pt>
                <c:pt idx="68">
                  <c:v>1330</c:v>
                </c:pt>
                <c:pt idx="69">
                  <c:v>1320</c:v>
                </c:pt>
                <c:pt idx="70">
                  <c:v>920</c:v>
                </c:pt>
                <c:pt idx="71">
                  <c:v>518</c:v>
                </c:pt>
                <c:pt idx="72">
                  <c:v>359</c:v>
                </c:pt>
                <c:pt idx="73">
                  <c:v>1244</c:v>
                </c:pt>
                <c:pt idx="74">
                  <c:v>1193</c:v>
                </c:pt>
                <c:pt idx="75">
                  <c:v>1206</c:v>
                </c:pt>
                <c:pt idx="76">
                  <c:v>1038</c:v>
                </c:pt>
                <c:pt idx="77">
                  <c:v>868</c:v>
                </c:pt>
                <c:pt idx="78">
                  <c:v>576</c:v>
                </c:pt>
                <c:pt idx="79">
                  <c:v>399</c:v>
                </c:pt>
                <c:pt idx="80">
                  <c:v>613</c:v>
                </c:pt>
                <c:pt idx="81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A-4FE4-9282-861698C38B8A}"/>
            </c:ext>
          </c:extLst>
        </c:ser>
        <c:ser>
          <c:idx val="4"/>
          <c:order val="2"/>
          <c:tx>
            <c:strRef>
              <c:f>'Buen fin (2)'!$E$15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(2)'!$F$10:$CL$10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(2)'!$F$15:$CL$15</c:f>
              <c:numCache>
                <c:formatCode>#,##0</c:formatCode>
                <c:ptCount val="85"/>
                <c:pt idx="5">
                  <c:v>1009</c:v>
                </c:pt>
                <c:pt idx="6">
                  <c:v>1396</c:v>
                </c:pt>
                <c:pt idx="7">
                  <c:v>1690</c:v>
                </c:pt>
                <c:pt idx="8">
                  <c:v>2184</c:v>
                </c:pt>
                <c:pt idx="9">
                  <c:v>2468</c:v>
                </c:pt>
                <c:pt idx="10">
                  <c:v>2859</c:v>
                </c:pt>
                <c:pt idx="11">
                  <c:v>4011</c:v>
                </c:pt>
                <c:pt idx="12">
                  <c:v>2732</c:v>
                </c:pt>
                <c:pt idx="13">
                  <c:v>3600</c:v>
                </c:pt>
                <c:pt idx="14">
                  <c:v>3610</c:v>
                </c:pt>
                <c:pt idx="15">
                  <c:v>4322</c:v>
                </c:pt>
                <c:pt idx="16">
                  <c:v>5055</c:v>
                </c:pt>
                <c:pt idx="17">
                  <c:v>4652</c:v>
                </c:pt>
                <c:pt idx="18">
                  <c:v>4404</c:v>
                </c:pt>
                <c:pt idx="19">
                  <c:v>3887</c:v>
                </c:pt>
                <c:pt idx="20">
                  <c:v>4149</c:v>
                </c:pt>
                <c:pt idx="21">
                  <c:v>3984</c:v>
                </c:pt>
                <c:pt idx="22">
                  <c:v>3578</c:v>
                </c:pt>
                <c:pt idx="23">
                  <c:v>3772</c:v>
                </c:pt>
                <c:pt idx="24">
                  <c:v>3081</c:v>
                </c:pt>
                <c:pt idx="25">
                  <c:v>3406</c:v>
                </c:pt>
                <c:pt idx="26">
                  <c:v>3512</c:v>
                </c:pt>
                <c:pt idx="27">
                  <c:v>3574</c:v>
                </c:pt>
                <c:pt idx="28">
                  <c:v>3040</c:v>
                </c:pt>
                <c:pt idx="29">
                  <c:v>3190</c:v>
                </c:pt>
                <c:pt idx="30">
                  <c:v>3298</c:v>
                </c:pt>
                <c:pt idx="31">
                  <c:v>4160</c:v>
                </c:pt>
                <c:pt idx="32">
                  <c:v>5110</c:v>
                </c:pt>
                <c:pt idx="33">
                  <c:v>5019</c:v>
                </c:pt>
                <c:pt idx="34">
                  <c:v>4494</c:v>
                </c:pt>
                <c:pt idx="35">
                  <c:v>4709</c:v>
                </c:pt>
                <c:pt idx="36">
                  <c:v>4659</c:v>
                </c:pt>
                <c:pt idx="37">
                  <c:v>4571</c:v>
                </c:pt>
                <c:pt idx="38">
                  <c:v>4079</c:v>
                </c:pt>
                <c:pt idx="39">
                  <c:v>3158</c:v>
                </c:pt>
                <c:pt idx="40">
                  <c:v>3429</c:v>
                </c:pt>
                <c:pt idx="41">
                  <c:v>2422</c:v>
                </c:pt>
                <c:pt idx="42">
                  <c:v>1657</c:v>
                </c:pt>
                <c:pt idx="43">
                  <c:v>1405</c:v>
                </c:pt>
                <c:pt idx="44">
                  <c:v>1301</c:v>
                </c:pt>
                <c:pt idx="45">
                  <c:v>662</c:v>
                </c:pt>
                <c:pt idx="46">
                  <c:v>310</c:v>
                </c:pt>
                <c:pt idx="47">
                  <c:v>702</c:v>
                </c:pt>
                <c:pt idx="48">
                  <c:v>931</c:v>
                </c:pt>
                <c:pt idx="49">
                  <c:v>935</c:v>
                </c:pt>
                <c:pt idx="50">
                  <c:v>1212</c:v>
                </c:pt>
                <c:pt idx="51">
                  <c:v>1317</c:v>
                </c:pt>
                <c:pt idx="52">
                  <c:v>1091</c:v>
                </c:pt>
                <c:pt idx="53">
                  <c:v>1283</c:v>
                </c:pt>
                <c:pt idx="54">
                  <c:v>1537</c:v>
                </c:pt>
                <c:pt idx="55">
                  <c:v>1783</c:v>
                </c:pt>
                <c:pt idx="56">
                  <c:v>1943</c:v>
                </c:pt>
                <c:pt idx="57">
                  <c:v>1635</c:v>
                </c:pt>
                <c:pt idx="58">
                  <c:v>1728</c:v>
                </c:pt>
                <c:pt idx="59">
                  <c:v>1848</c:v>
                </c:pt>
                <c:pt idx="60">
                  <c:v>2089</c:v>
                </c:pt>
                <c:pt idx="61">
                  <c:v>2055</c:v>
                </c:pt>
                <c:pt idx="62">
                  <c:v>1906</c:v>
                </c:pt>
                <c:pt idx="63">
                  <c:v>1470</c:v>
                </c:pt>
                <c:pt idx="64">
                  <c:v>1120</c:v>
                </c:pt>
                <c:pt idx="65">
                  <c:v>847</c:v>
                </c:pt>
                <c:pt idx="66">
                  <c:v>669</c:v>
                </c:pt>
                <c:pt idx="67">
                  <c:v>453</c:v>
                </c:pt>
                <c:pt idx="68">
                  <c:v>108</c:v>
                </c:pt>
                <c:pt idx="69">
                  <c:v>193</c:v>
                </c:pt>
                <c:pt idx="70">
                  <c:v>246</c:v>
                </c:pt>
                <c:pt idx="71">
                  <c:v>258</c:v>
                </c:pt>
                <c:pt idx="72">
                  <c:v>406</c:v>
                </c:pt>
                <c:pt idx="73">
                  <c:v>226</c:v>
                </c:pt>
                <c:pt idx="74">
                  <c:v>205</c:v>
                </c:pt>
                <c:pt idx="75">
                  <c:v>223</c:v>
                </c:pt>
                <c:pt idx="76">
                  <c:v>203</c:v>
                </c:pt>
                <c:pt idx="77">
                  <c:v>76</c:v>
                </c:pt>
                <c:pt idx="78">
                  <c:v>107</c:v>
                </c:pt>
                <c:pt idx="79">
                  <c:v>48</c:v>
                </c:pt>
                <c:pt idx="80">
                  <c:v>85</c:v>
                </c:pt>
                <c:pt idx="81">
                  <c:v>107</c:v>
                </c:pt>
                <c:pt idx="82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A-4FE4-9282-861698C38B8A}"/>
            </c:ext>
          </c:extLst>
        </c:ser>
        <c:ser>
          <c:idx val="5"/>
          <c:order val="3"/>
          <c:tx>
            <c:strRef>
              <c:f>'Buen fin (2)'!$E$18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'Buen fin (2)'!$F$10:$CL$10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(2)'!$F$18:$CL$18</c:f>
              <c:numCache>
                <c:formatCode>#,##0</c:formatCode>
                <c:ptCount val="85"/>
                <c:pt idx="0">
                  <c:v>1521</c:v>
                </c:pt>
                <c:pt idx="1">
                  <c:v>1177</c:v>
                </c:pt>
                <c:pt idx="2">
                  <c:v>1057</c:v>
                </c:pt>
                <c:pt idx="3">
                  <c:v>1981</c:v>
                </c:pt>
                <c:pt idx="4">
                  <c:v>2637</c:v>
                </c:pt>
                <c:pt idx="5">
                  <c:v>3597</c:v>
                </c:pt>
                <c:pt idx="6">
                  <c:v>3869</c:v>
                </c:pt>
                <c:pt idx="7">
                  <c:v>4497</c:v>
                </c:pt>
                <c:pt idx="8">
                  <c:v>4195</c:v>
                </c:pt>
                <c:pt idx="9">
                  <c:v>3809</c:v>
                </c:pt>
                <c:pt idx="10">
                  <c:v>7700</c:v>
                </c:pt>
                <c:pt idx="11">
                  <c:v>8404</c:v>
                </c:pt>
                <c:pt idx="12">
                  <c:v>7122</c:v>
                </c:pt>
                <c:pt idx="13">
                  <c:v>7283</c:v>
                </c:pt>
                <c:pt idx="14">
                  <c:v>6662</c:v>
                </c:pt>
                <c:pt idx="15">
                  <c:v>6504</c:v>
                </c:pt>
                <c:pt idx="16">
                  <c:v>6107</c:v>
                </c:pt>
                <c:pt idx="17">
                  <c:v>7490</c:v>
                </c:pt>
                <c:pt idx="18">
                  <c:v>7212</c:v>
                </c:pt>
                <c:pt idx="19">
                  <c:v>6108</c:v>
                </c:pt>
                <c:pt idx="20">
                  <c:v>6259</c:v>
                </c:pt>
                <c:pt idx="21">
                  <c:v>6022</c:v>
                </c:pt>
                <c:pt idx="22">
                  <c:v>5008</c:v>
                </c:pt>
                <c:pt idx="23">
                  <c:v>4846</c:v>
                </c:pt>
                <c:pt idx="24">
                  <c:v>4941</c:v>
                </c:pt>
                <c:pt idx="25">
                  <c:v>5240</c:v>
                </c:pt>
                <c:pt idx="26">
                  <c:v>5832</c:v>
                </c:pt>
                <c:pt idx="27">
                  <c:v>5839</c:v>
                </c:pt>
                <c:pt idx="28">
                  <c:v>5240</c:v>
                </c:pt>
                <c:pt idx="29">
                  <c:v>4610</c:v>
                </c:pt>
                <c:pt idx="30">
                  <c:v>4425</c:v>
                </c:pt>
                <c:pt idx="31">
                  <c:v>6913</c:v>
                </c:pt>
                <c:pt idx="32">
                  <c:v>8243</c:v>
                </c:pt>
                <c:pt idx="33">
                  <c:v>7856</c:v>
                </c:pt>
                <c:pt idx="34">
                  <c:v>7175</c:v>
                </c:pt>
                <c:pt idx="35">
                  <c:v>7122</c:v>
                </c:pt>
                <c:pt idx="36">
                  <c:v>5988</c:v>
                </c:pt>
                <c:pt idx="37">
                  <c:v>5413</c:v>
                </c:pt>
                <c:pt idx="38">
                  <c:v>4736</c:v>
                </c:pt>
                <c:pt idx="39">
                  <c:v>5492</c:v>
                </c:pt>
                <c:pt idx="40">
                  <c:v>5439</c:v>
                </c:pt>
                <c:pt idx="41">
                  <c:v>4333</c:v>
                </c:pt>
                <c:pt idx="42">
                  <c:v>3434</c:v>
                </c:pt>
                <c:pt idx="43">
                  <c:v>2546</c:v>
                </c:pt>
                <c:pt idx="44">
                  <c:v>1954</c:v>
                </c:pt>
                <c:pt idx="45">
                  <c:v>1209</c:v>
                </c:pt>
                <c:pt idx="46">
                  <c:v>3074</c:v>
                </c:pt>
                <c:pt idx="47">
                  <c:v>3102</c:v>
                </c:pt>
                <c:pt idx="48">
                  <c:v>2996</c:v>
                </c:pt>
                <c:pt idx="49">
                  <c:v>2801</c:v>
                </c:pt>
                <c:pt idx="50">
                  <c:v>2430</c:v>
                </c:pt>
                <c:pt idx="51">
                  <c:v>1986</c:v>
                </c:pt>
                <c:pt idx="52">
                  <c:v>3543</c:v>
                </c:pt>
                <c:pt idx="53">
                  <c:v>3301</c:v>
                </c:pt>
                <c:pt idx="54">
                  <c:v>3921</c:v>
                </c:pt>
                <c:pt idx="55">
                  <c:v>4115</c:v>
                </c:pt>
                <c:pt idx="56">
                  <c:v>4183</c:v>
                </c:pt>
                <c:pt idx="57">
                  <c:v>2973</c:v>
                </c:pt>
                <c:pt idx="58">
                  <c:v>2582</c:v>
                </c:pt>
                <c:pt idx="59">
                  <c:v>4453</c:v>
                </c:pt>
                <c:pt idx="60">
                  <c:v>4528</c:v>
                </c:pt>
                <c:pt idx="61">
                  <c:v>4713</c:v>
                </c:pt>
                <c:pt idx="62">
                  <c:v>4218</c:v>
                </c:pt>
                <c:pt idx="63">
                  <c:v>3742</c:v>
                </c:pt>
                <c:pt idx="64">
                  <c:v>2498</c:v>
                </c:pt>
                <c:pt idx="65">
                  <c:v>1687</c:v>
                </c:pt>
                <c:pt idx="66">
                  <c:v>3629</c:v>
                </c:pt>
                <c:pt idx="67">
                  <c:v>2994</c:v>
                </c:pt>
                <c:pt idx="68">
                  <c:v>2021</c:v>
                </c:pt>
                <c:pt idx="69">
                  <c:v>2015</c:v>
                </c:pt>
                <c:pt idx="70">
                  <c:v>1859</c:v>
                </c:pt>
                <c:pt idx="71">
                  <c:v>1098</c:v>
                </c:pt>
                <c:pt idx="72">
                  <c:v>970</c:v>
                </c:pt>
                <c:pt idx="73">
                  <c:v>1826</c:v>
                </c:pt>
                <c:pt idx="74">
                  <c:v>1720</c:v>
                </c:pt>
                <c:pt idx="75">
                  <c:v>1582</c:v>
                </c:pt>
                <c:pt idx="76">
                  <c:v>1457</c:v>
                </c:pt>
                <c:pt idx="77">
                  <c:v>944</c:v>
                </c:pt>
                <c:pt idx="78">
                  <c:v>683</c:v>
                </c:pt>
                <c:pt idx="79">
                  <c:v>447</c:v>
                </c:pt>
                <c:pt idx="80">
                  <c:v>698</c:v>
                </c:pt>
                <c:pt idx="81">
                  <c:v>1354</c:v>
                </c:pt>
                <c:pt idx="82">
                  <c:v>1366</c:v>
                </c:pt>
                <c:pt idx="83">
                  <c:v>1051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A-4FE4-9282-861698C38B8A}"/>
            </c:ext>
          </c:extLst>
        </c:ser>
        <c:ser>
          <c:idx val="1"/>
          <c:order val="4"/>
          <c:tx>
            <c:strRef>
              <c:f>'Buen fin (2)'!$E$12</c:f>
              <c:strCache>
                <c:ptCount val="1"/>
                <c:pt idx="0">
                  <c:v>Capacidad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(2)'!$F$10:$CL$10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(2)'!$F$12:$CL$12</c:f>
              <c:numCache>
                <c:formatCode>#,##0</c:formatCode>
                <c:ptCount val="85"/>
                <c:pt idx="0">
                  <c:v>1748</c:v>
                </c:pt>
                <c:pt idx="1">
                  <c:v>846</c:v>
                </c:pt>
                <c:pt idx="2">
                  <c:v>702</c:v>
                </c:pt>
                <c:pt idx="3">
                  <c:v>1091</c:v>
                </c:pt>
                <c:pt idx="4">
                  <c:v>1748</c:v>
                </c:pt>
                <c:pt idx="5">
                  <c:v>1748</c:v>
                </c:pt>
                <c:pt idx="6">
                  <c:v>1748</c:v>
                </c:pt>
                <c:pt idx="7">
                  <c:v>1748</c:v>
                </c:pt>
                <c:pt idx="8">
                  <c:v>960</c:v>
                </c:pt>
                <c:pt idx="9">
                  <c:v>774</c:v>
                </c:pt>
                <c:pt idx="10">
                  <c:v>1748</c:v>
                </c:pt>
                <c:pt idx="11">
                  <c:v>1614.3333333333301</c:v>
                </c:pt>
                <c:pt idx="12">
                  <c:v>1764</c:v>
                </c:pt>
                <c:pt idx="13">
                  <c:v>1764</c:v>
                </c:pt>
                <c:pt idx="14">
                  <c:v>1764</c:v>
                </c:pt>
                <c:pt idx="15">
                  <c:v>945</c:v>
                </c:pt>
                <c:pt idx="16">
                  <c:v>976</c:v>
                </c:pt>
                <c:pt idx="17">
                  <c:v>1764</c:v>
                </c:pt>
                <c:pt idx="18">
                  <c:v>1764</c:v>
                </c:pt>
                <c:pt idx="19">
                  <c:v>1764</c:v>
                </c:pt>
                <c:pt idx="20">
                  <c:v>2297</c:v>
                </c:pt>
                <c:pt idx="21">
                  <c:v>2297</c:v>
                </c:pt>
                <c:pt idx="22">
                  <c:v>1122</c:v>
                </c:pt>
                <c:pt idx="23">
                  <c:v>1117</c:v>
                </c:pt>
                <c:pt idx="24">
                  <c:v>2141</c:v>
                </c:pt>
                <c:pt idx="25">
                  <c:v>2141</c:v>
                </c:pt>
                <c:pt idx="26">
                  <c:v>2141</c:v>
                </c:pt>
                <c:pt idx="27">
                  <c:v>2141</c:v>
                </c:pt>
                <c:pt idx="28">
                  <c:v>2141</c:v>
                </c:pt>
                <c:pt idx="29">
                  <c:v>1141</c:v>
                </c:pt>
                <c:pt idx="30">
                  <c:v>877</c:v>
                </c:pt>
                <c:pt idx="31">
                  <c:v>2398</c:v>
                </c:pt>
                <c:pt idx="32">
                  <c:v>2398</c:v>
                </c:pt>
                <c:pt idx="33">
                  <c:v>2256</c:v>
                </c:pt>
                <c:pt idx="34">
                  <c:v>2256</c:v>
                </c:pt>
                <c:pt idx="35">
                  <c:v>2256</c:v>
                </c:pt>
                <c:pt idx="36">
                  <c:v>1174.125</c:v>
                </c:pt>
                <c:pt idx="37">
                  <c:v>1046</c:v>
                </c:pt>
                <c:pt idx="38">
                  <c:v>1475.25</c:v>
                </c:pt>
                <c:pt idx="39">
                  <c:v>2256</c:v>
                </c:pt>
                <c:pt idx="40">
                  <c:v>2256</c:v>
                </c:pt>
                <c:pt idx="41">
                  <c:v>2256</c:v>
                </c:pt>
                <c:pt idx="42">
                  <c:v>2256</c:v>
                </c:pt>
                <c:pt idx="43">
                  <c:v>1166</c:v>
                </c:pt>
                <c:pt idx="44">
                  <c:v>1135</c:v>
                </c:pt>
                <c:pt idx="45">
                  <c:v>1573</c:v>
                </c:pt>
                <c:pt idx="46">
                  <c:v>1920</c:v>
                </c:pt>
                <c:pt idx="47">
                  <c:v>1920</c:v>
                </c:pt>
                <c:pt idx="48">
                  <c:v>1920</c:v>
                </c:pt>
                <c:pt idx="49">
                  <c:v>1920</c:v>
                </c:pt>
                <c:pt idx="50">
                  <c:v>975</c:v>
                </c:pt>
                <c:pt idx="51">
                  <c:v>871</c:v>
                </c:pt>
                <c:pt idx="52">
                  <c:v>1920</c:v>
                </c:pt>
                <c:pt idx="53">
                  <c:v>1881</c:v>
                </c:pt>
                <c:pt idx="54">
                  <c:v>1881</c:v>
                </c:pt>
                <c:pt idx="55">
                  <c:v>1881</c:v>
                </c:pt>
                <c:pt idx="56">
                  <c:v>1881</c:v>
                </c:pt>
                <c:pt idx="57">
                  <c:v>956</c:v>
                </c:pt>
                <c:pt idx="58">
                  <c:v>803</c:v>
                </c:pt>
                <c:pt idx="59">
                  <c:v>1881</c:v>
                </c:pt>
                <c:pt idx="60">
                  <c:v>1827</c:v>
                </c:pt>
                <c:pt idx="61">
                  <c:v>1971</c:v>
                </c:pt>
                <c:pt idx="62">
                  <c:v>1971</c:v>
                </c:pt>
                <c:pt idx="63">
                  <c:v>1971</c:v>
                </c:pt>
                <c:pt idx="64">
                  <c:v>1013</c:v>
                </c:pt>
                <c:pt idx="65">
                  <c:v>918</c:v>
                </c:pt>
                <c:pt idx="66">
                  <c:v>1971</c:v>
                </c:pt>
                <c:pt idx="67">
                  <c:v>1971</c:v>
                </c:pt>
                <c:pt idx="68">
                  <c:v>1971</c:v>
                </c:pt>
                <c:pt idx="69">
                  <c:v>1971</c:v>
                </c:pt>
                <c:pt idx="70">
                  <c:v>1971</c:v>
                </c:pt>
                <c:pt idx="71">
                  <c:v>956</c:v>
                </c:pt>
                <c:pt idx="72">
                  <c:v>932</c:v>
                </c:pt>
                <c:pt idx="73">
                  <c:v>1971</c:v>
                </c:pt>
                <c:pt idx="74">
                  <c:v>1971</c:v>
                </c:pt>
                <c:pt idx="75">
                  <c:v>1971</c:v>
                </c:pt>
                <c:pt idx="76">
                  <c:v>1971</c:v>
                </c:pt>
                <c:pt idx="77">
                  <c:v>1971</c:v>
                </c:pt>
                <c:pt idx="78">
                  <c:v>969</c:v>
                </c:pt>
                <c:pt idx="79">
                  <c:v>762</c:v>
                </c:pt>
                <c:pt idx="80">
                  <c:v>759</c:v>
                </c:pt>
                <c:pt idx="81">
                  <c:v>1860</c:v>
                </c:pt>
                <c:pt idx="82">
                  <c:v>1860</c:v>
                </c:pt>
                <c:pt idx="83">
                  <c:v>1860</c:v>
                </c:pt>
                <c:pt idx="84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8A-4FE4-9282-861698C38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2"/>
          <c:order val="5"/>
          <c:tx>
            <c:strRef>
              <c:f>'Buen fin (2)'!$E$20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'Buen fin (2)'!$F$10:$CL$10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(2)'!$F$20:$CL$20</c:f>
              <c:numCache>
                <c:formatCode>#,##0</c:formatCode>
                <c:ptCount val="85"/>
                <c:pt idx="0">
                  <c:v>593</c:v>
                </c:pt>
                <c:pt idx="1">
                  <c:v>892</c:v>
                </c:pt>
                <c:pt idx="2">
                  <c:v>1015</c:v>
                </c:pt>
                <c:pt idx="3">
                  <c:v>1368</c:v>
                </c:pt>
                <c:pt idx="4">
                  <c:v>1888</c:v>
                </c:pt>
                <c:pt idx="5">
                  <c:v>1903</c:v>
                </c:pt>
                <c:pt idx="6">
                  <c:v>2088</c:v>
                </c:pt>
                <c:pt idx="7">
                  <c:v>2093</c:v>
                </c:pt>
                <c:pt idx="8">
                  <c:v>1360</c:v>
                </c:pt>
                <c:pt idx="9">
                  <c:v>842</c:v>
                </c:pt>
                <c:pt idx="10">
                  <c:v>1944</c:v>
                </c:pt>
                <c:pt idx="11">
                  <c:v>1801</c:v>
                </c:pt>
                <c:pt idx="12">
                  <c:v>1970</c:v>
                </c:pt>
                <c:pt idx="13">
                  <c:v>1666</c:v>
                </c:pt>
                <c:pt idx="14">
                  <c:v>1565</c:v>
                </c:pt>
                <c:pt idx="15">
                  <c:v>724</c:v>
                </c:pt>
                <c:pt idx="16">
                  <c:v>1130</c:v>
                </c:pt>
                <c:pt idx="17">
                  <c:v>1860</c:v>
                </c:pt>
                <c:pt idx="18">
                  <c:v>1969</c:v>
                </c:pt>
                <c:pt idx="19">
                  <c:v>1761</c:v>
                </c:pt>
                <c:pt idx="20">
                  <c:v>2028</c:v>
                </c:pt>
                <c:pt idx="21">
                  <c:v>2339</c:v>
                </c:pt>
                <c:pt idx="22">
                  <c:v>1123</c:v>
                </c:pt>
                <c:pt idx="23">
                  <c:v>1365</c:v>
                </c:pt>
                <c:pt idx="24">
                  <c:v>2332</c:v>
                </c:pt>
                <c:pt idx="25">
                  <c:v>2284</c:v>
                </c:pt>
                <c:pt idx="26">
                  <c:v>2499</c:v>
                </c:pt>
                <c:pt idx="27">
                  <c:v>2357</c:v>
                </c:pt>
                <c:pt idx="28">
                  <c:v>2201</c:v>
                </c:pt>
                <c:pt idx="29">
                  <c:v>1290</c:v>
                </c:pt>
                <c:pt idx="30">
                  <c:v>838</c:v>
                </c:pt>
                <c:pt idx="31">
                  <c:v>2195</c:v>
                </c:pt>
                <c:pt idx="32">
                  <c:v>2041</c:v>
                </c:pt>
                <c:pt idx="33">
                  <c:v>2015</c:v>
                </c:pt>
                <c:pt idx="34">
                  <c:v>2145</c:v>
                </c:pt>
                <c:pt idx="35">
                  <c:v>2256</c:v>
                </c:pt>
                <c:pt idx="36">
                  <c:v>1201</c:v>
                </c:pt>
                <c:pt idx="37">
                  <c:v>1192</c:v>
                </c:pt>
                <c:pt idx="38">
                  <c:v>1494</c:v>
                </c:pt>
                <c:pt idx="39">
                  <c:v>2242</c:v>
                </c:pt>
                <c:pt idx="40">
                  <c:v>2382</c:v>
                </c:pt>
                <c:pt idx="41">
                  <c:v>2475</c:v>
                </c:pt>
                <c:pt idx="42">
                  <c:v>2594</c:v>
                </c:pt>
                <c:pt idx="43">
                  <c:v>1295</c:v>
                </c:pt>
                <c:pt idx="44">
                  <c:v>1193</c:v>
                </c:pt>
                <c:pt idx="45">
                  <c:v>1029</c:v>
                </c:pt>
                <c:pt idx="46">
                  <c:v>2153</c:v>
                </c:pt>
                <c:pt idx="47">
                  <c:v>2165</c:v>
                </c:pt>
                <c:pt idx="48">
                  <c:v>2101</c:v>
                </c:pt>
                <c:pt idx="49">
                  <c:v>2041</c:v>
                </c:pt>
                <c:pt idx="50">
                  <c:v>1082</c:v>
                </c:pt>
                <c:pt idx="51">
                  <c:v>883</c:v>
                </c:pt>
                <c:pt idx="52">
                  <c:v>2027</c:v>
                </c:pt>
                <c:pt idx="53">
                  <c:v>2032</c:v>
                </c:pt>
                <c:pt idx="54">
                  <c:v>1885</c:v>
                </c:pt>
                <c:pt idx="55">
                  <c:v>1969</c:v>
                </c:pt>
                <c:pt idx="56">
                  <c:v>1795</c:v>
                </c:pt>
                <c:pt idx="57">
                  <c:v>1022</c:v>
                </c:pt>
                <c:pt idx="58">
                  <c:v>685</c:v>
                </c:pt>
                <c:pt idx="59">
                  <c:v>1788</c:v>
                </c:pt>
                <c:pt idx="60">
                  <c:v>1792</c:v>
                </c:pt>
                <c:pt idx="61">
                  <c:v>1774</c:v>
                </c:pt>
                <c:pt idx="62">
                  <c:v>1958</c:v>
                </c:pt>
                <c:pt idx="63">
                  <c:v>1916</c:v>
                </c:pt>
                <c:pt idx="64">
                  <c:v>1136</c:v>
                </c:pt>
                <c:pt idx="65">
                  <c:v>784</c:v>
                </c:pt>
                <c:pt idx="66">
                  <c:v>1907</c:v>
                </c:pt>
                <c:pt idx="67">
                  <c:v>2097</c:v>
                </c:pt>
                <c:pt idx="68">
                  <c:v>1803</c:v>
                </c:pt>
                <c:pt idx="69">
                  <c:v>1461</c:v>
                </c:pt>
                <c:pt idx="70">
                  <c:v>1810</c:v>
                </c:pt>
                <c:pt idx="71">
                  <c:v>629</c:v>
                </c:pt>
                <c:pt idx="72">
                  <c:v>728</c:v>
                </c:pt>
                <c:pt idx="73">
                  <c:v>1523</c:v>
                </c:pt>
                <c:pt idx="74">
                  <c:v>1665</c:v>
                </c:pt>
                <c:pt idx="75">
                  <c:v>1881</c:v>
                </c:pt>
                <c:pt idx="76">
                  <c:v>1608</c:v>
                </c:pt>
                <c:pt idx="77">
                  <c:v>1339</c:v>
                </c:pt>
                <c:pt idx="78">
                  <c:v>872</c:v>
                </c:pt>
                <c:pt idx="79">
                  <c:v>554</c:v>
                </c:pt>
                <c:pt idx="80">
                  <c:v>755</c:v>
                </c:pt>
                <c:pt idx="81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8A-4FE4-9282-861698C38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TAF-Athletics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'Buen fin (2)'!$E$60</c:f>
              <c:strCache>
                <c:ptCount val="1"/>
                <c:pt idx="0">
                  <c:v>Pronóstico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(2)'!$F$53:$CL$53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(2)'!$F$60:$CL$60</c:f>
              <c:numCache>
                <c:formatCode>#,##0</c:formatCode>
                <c:ptCount val="85"/>
                <c:pt idx="0">
                  <c:v>557</c:v>
                </c:pt>
                <c:pt idx="1">
                  <c:v>492</c:v>
                </c:pt>
                <c:pt idx="2">
                  <c:v>410</c:v>
                </c:pt>
                <c:pt idx="3">
                  <c:v>734</c:v>
                </c:pt>
                <c:pt idx="4">
                  <c:v>946</c:v>
                </c:pt>
                <c:pt idx="5">
                  <c:v>904</c:v>
                </c:pt>
                <c:pt idx="6">
                  <c:v>985</c:v>
                </c:pt>
                <c:pt idx="7">
                  <c:v>1141</c:v>
                </c:pt>
                <c:pt idx="8">
                  <c:v>802</c:v>
                </c:pt>
                <c:pt idx="9">
                  <c:v>560</c:v>
                </c:pt>
                <c:pt idx="10">
                  <c:v>1283</c:v>
                </c:pt>
                <c:pt idx="11">
                  <c:v>1269</c:v>
                </c:pt>
                <c:pt idx="12">
                  <c:v>1153</c:v>
                </c:pt>
                <c:pt idx="13">
                  <c:v>1084</c:v>
                </c:pt>
                <c:pt idx="14">
                  <c:v>813</c:v>
                </c:pt>
                <c:pt idx="15">
                  <c:v>743</c:v>
                </c:pt>
                <c:pt idx="16">
                  <c:v>583</c:v>
                </c:pt>
                <c:pt idx="17">
                  <c:v>1283</c:v>
                </c:pt>
                <c:pt idx="18">
                  <c:v>1269</c:v>
                </c:pt>
                <c:pt idx="19">
                  <c:v>629</c:v>
                </c:pt>
                <c:pt idx="20">
                  <c:v>591</c:v>
                </c:pt>
                <c:pt idx="21">
                  <c:v>461</c:v>
                </c:pt>
                <c:pt idx="22">
                  <c:v>357</c:v>
                </c:pt>
                <c:pt idx="23">
                  <c:v>253</c:v>
                </c:pt>
                <c:pt idx="24">
                  <c:v>811</c:v>
                </c:pt>
                <c:pt idx="25">
                  <c:v>818</c:v>
                </c:pt>
                <c:pt idx="26">
                  <c:v>598</c:v>
                </c:pt>
                <c:pt idx="27">
                  <c:v>557</c:v>
                </c:pt>
                <c:pt idx="28">
                  <c:v>564</c:v>
                </c:pt>
                <c:pt idx="29">
                  <c:v>364</c:v>
                </c:pt>
                <c:pt idx="30">
                  <c:v>282</c:v>
                </c:pt>
                <c:pt idx="31">
                  <c:v>711</c:v>
                </c:pt>
                <c:pt idx="32">
                  <c:v>692</c:v>
                </c:pt>
                <c:pt idx="33">
                  <c:v>672</c:v>
                </c:pt>
                <c:pt idx="34">
                  <c:v>684</c:v>
                </c:pt>
                <c:pt idx="35">
                  <c:v>614</c:v>
                </c:pt>
                <c:pt idx="36">
                  <c:v>406</c:v>
                </c:pt>
                <c:pt idx="37">
                  <c:v>322</c:v>
                </c:pt>
                <c:pt idx="38">
                  <c:v>130</c:v>
                </c:pt>
                <c:pt idx="39">
                  <c:v>627</c:v>
                </c:pt>
                <c:pt idx="40">
                  <c:v>562</c:v>
                </c:pt>
                <c:pt idx="41">
                  <c:v>530</c:v>
                </c:pt>
                <c:pt idx="42">
                  <c:v>489</c:v>
                </c:pt>
                <c:pt idx="43">
                  <c:v>382</c:v>
                </c:pt>
                <c:pt idx="44">
                  <c:v>242</c:v>
                </c:pt>
                <c:pt idx="45">
                  <c:v>201</c:v>
                </c:pt>
                <c:pt idx="46">
                  <c:v>595</c:v>
                </c:pt>
                <c:pt idx="47">
                  <c:v>513</c:v>
                </c:pt>
                <c:pt idx="48">
                  <c:v>463</c:v>
                </c:pt>
                <c:pt idx="49">
                  <c:v>404</c:v>
                </c:pt>
                <c:pt idx="50">
                  <c:v>316</c:v>
                </c:pt>
                <c:pt idx="51">
                  <c:v>190</c:v>
                </c:pt>
                <c:pt idx="52">
                  <c:v>573</c:v>
                </c:pt>
                <c:pt idx="53">
                  <c:v>477</c:v>
                </c:pt>
                <c:pt idx="54">
                  <c:v>319</c:v>
                </c:pt>
                <c:pt idx="55">
                  <c:v>290</c:v>
                </c:pt>
                <c:pt idx="56">
                  <c:v>278</c:v>
                </c:pt>
                <c:pt idx="57">
                  <c:v>237</c:v>
                </c:pt>
                <c:pt idx="58">
                  <c:v>158</c:v>
                </c:pt>
                <c:pt idx="59">
                  <c:v>375</c:v>
                </c:pt>
                <c:pt idx="60">
                  <c:v>342</c:v>
                </c:pt>
                <c:pt idx="61">
                  <c:v>319</c:v>
                </c:pt>
                <c:pt idx="62">
                  <c:v>270</c:v>
                </c:pt>
                <c:pt idx="63">
                  <c:v>249</c:v>
                </c:pt>
                <c:pt idx="64">
                  <c:v>177</c:v>
                </c:pt>
                <c:pt idx="65">
                  <c:v>113</c:v>
                </c:pt>
                <c:pt idx="66">
                  <c:v>357</c:v>
                </c:pt>
                <c:pt idx="67">
                  <c:v>314</c:v>
                </c:pt>
                <c:pt idx="68">
                  <c:v>240</c:v>
                </c:pt>
                <c:pt idx="69">
                  <c:v>244</c:v>
                </c:pt>
                <c:pt idx="70">
                  <c:v>199</c:v>
                </c:pt>
                <c:pt idx="71">
                  <c:v>145</c:v>
                </c:pt>
                <c:pt idx="72">
                  <c:v>79</c:v>
                </c:pt>
                <c:pt idx="73">
                  <c:v>257</c:v>
                </c:pt>
                <c:pt idx="74">
                  <c:v>247</c:v>
                </c:pt>
                <c:pt idx="75">
                  <c:v>241</c:v>
                </c:pt>
                <c:pt idx="76">
                  <c:v>222</c:v>
                </c:pt>
                <c:pt idx="77">
                  <c:v>210</c:v>
                </c:pt>
                <c:pt idx="78">
                  <c:v>162</c:v>
                </c:pt>
                <c:pt idx="79">
                  <c:v>99</c:v>
                </c:pt>
                <c:pt idx="80">
                  <c:v>154</c:v>
                </c:pt>
                <c:pt idx="81">
                  <c:v>299</c:v>
                </c:pt>
                <c:pt idx="8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D-4DFE-AB87-88FE33814A25}"/>
            </c:ext>
          </c:extLst>
        </c:ser>
        <c:ser>
          <c:idx val="0"/>
          <c:order val="1"/>
          <c:tx>
            <c:strRef>
              <c:f>'Buen fin (2)'!$E$54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(2)'!$F$53:$CL$53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(2)'!$F$54:$CL$54</c:f>
              <c:numCache>
                <c:formatCode>#,##0</c:formatCode>
                <c:ptCount val="85"/>
                <c:pt idx="0">
                  <c:v>617</c:v>
                </c:pt>
                <c:pt idx="1">
                  <c:v>469</c:v>
                </c:pt>
                <c:pt idx="2">
                  <c:v>485</c:v>
                </c:pt>
                <c:pt idx="3">
                  <c:v>725</c:v>
                </c:pt>
                <c:pt idx="4">
                  <c:v>1075</c:v>
                </c:pt>
                <c:pt idx="5">
                  <c:v>1074</c:v>
                </c:pt>
                <c:pt idx="6">
                  <c:v>1075</c:v>
                </c:pt>
                <c:pt idx="7">
                  <c:v>1084</c:v>
                </c:pt>
                <c:pt idx="8">
                  <c:v>825</c:v>
                </c:pt>
                <c:pt idx="9">
                  <c:v>553</c:v>
                </c:pt>
                <c:pt idx="10">
                  <c:v>1282</c:v>
                </c:pt>
                <c:pt idx="11">
                  <c:v>985</c:v>
                </c:pt>
                <c:pt idx="12">
                  <c:v>1143</c:v>
                </c:pt>
                <c:pt idx="13">
                  <c:v>961</c:v>
                </c:pt>
                <c:pt idx="14">
                  <c:v>882</c:v>
                </c:pt>
                <c:pt idx="15">
                  <c:v>535</c:v>
                </c:pt>
                <c:pt idx="16">
                  <c:v>304</c:v>
                </c:pt>
                <c:pt idx="17">
                  <c:v>615</c:v>
                </c:pt>
                <c:pt idx="18">
                  <c:v>595</c:v>
                </c:pt>
                <c:pt idx="19">
                  <c:v>614</c:v>
                </c:pt>
                <c:pt idx="20">
                  <c:v>561</c:v>
                </c:pt>
                <c:pt idx="21">
                  <c:v>461</c:v>
                </c:pt>
                <c:pt idx="22">
                  <c:v>317</c:v>
                </c:pt>
                <c:pt idx="23">
                  <c:v>253</c:v>
                </c:pt>
                <c:pt idx="24">
                  <c:v>606</c:v>
                </c:pt>
                <c:pt idx="25">
                  <c:v>591</c:v>
                </c:pt>
                <c:pt idx="26">
                  <c:v>560</c:v>
                </c:pt>
                <c:pt idx="27">
                  <c:v>471</c:v>
                </c:pt>
                <c:pt idx="28">
                  <c:v>432</c:v>
                </c:pt>
                <c:pt idx="29">
                  <c:v>367</c:v>
                </c:pt>
                <c:pt idx="30">
                  <c:v>299</c:v>
                </c:pt>
                <c:pt idx="31">
                  <c:v>887</c:v>
                </c:pt>
                <c:pt idx="32">
                  <c:v>624</c:v>
                </c:pt>
                <c:pt idx="33">
                  <c:v>625</c:v>
                </c:pt>
                <c:pt idx="34">
                  <c:v>739</c:v>
                </c:pt>
                <c:pt idx="35">
                  <c:v>708</c:v>
                </c:pt>
                <c:pt idx="36">
                  <c:v>435</c:v>
                </c:pt>
                <c:pt idx="37">
                  <c:v>256</c:v>
                </c:pt>
                <c:pt idx="38">
                  <c:v>177</c:v>
                </c:pt>
                <c:pt idx="39">
                  <c:v>632</c:v>
                </c:pt>
                <c:pt idx="40">
                  <c:v>488</c:v>
                </c:pt>
                <c:pt idx="41">
                  <c:v>417</c:v>
                </c:pt>
                <c:pt idx="42">
                  <c:v>412</c:v>
                </c:pt>
                <c:pt idx="43">
                  <c:v>275</c:v>
                </c:pt>
                <c:pt idx="44">
                  <c:v>176</c:v>
                </c:pt>
                <c:pt idx="45">
                  <c:v>129</c:v>
                </c:pt>
                <c:pt idx="46">
                  <c:v>500</c:v>
                </c:pt>
                <c:pt idx="47">
                  <c:v>495</c:v>
                </c:pt>
                <c:pt idx="48">
                  <c:v>347</c:v>
                </c:pt>
                <c:pt idx="49">
                  <c:v>323</c:v>
                </c:pt>
                <c:pt idx="50">
                  <c:v>199</c:v>
                </c:pt>
                <c:pt idx="51">
                  <c:v>176</c:v>
                </c:pt>
                <c:pt idx="52">
                  <c:v>370</c:v>
                </c:pt>
                <c:pt idx="53">
                  <c:v>357</c:v>
                </c:pt>
                <c:pt idx="54">
                  <c:v>252</c:v>
                </c:pt>
                <c:pt idx="55">
                  <c:v>285</c:v>
                </c:pt>
                <c:pt idx="56">
                  <c:v>243</c:v>
                </c:pt>
                <c:pt idx="57">
                  <c:v>165</c:v>
                </c:pt>
                <c:pt idx="58">
                  <c:v>124</c:v>
                </c:pt>
                <c:pt idx="59">
                  <c:v>311</c:v>
                </c:pt>
                <c:pt idx="60">
                  <c:v>353</c:v>
                </c:pt>
                <c:pt idx="61">
                  <c:v>330</c:v>
                </c:pt>
                <c:pt idx="62">
                  <c:v>323</c:v>
                </c:pt>
                <c:pt idx="63">
                  <c:v>310</c:v>
                </c:pt>
                <c:pt idx="64">
                  <c:v>178</c:v>
                </c:pt>
                <c:pt idx="65">
                  <c:v>94</c:v>
                </c:pt>
                <c:pt idx="66">
                  <c:v>278</c:v>
                </c:pt>
                <c:pt idx="67">
                  <c:v>285</c:v>
                </c:pt>
                <c:pt idx="68">
                  <c:v>206</c:v>
                </c:pt>
                <c:pt idx="69">
                  <c:v>214</c:v>
                </c:pt>
                <c:pt idx="70">
                  <c:v>192</c:v>
                </c:pt>
                <c:pt idx="71">
                  <c:v>149</c:v>
                </c:pt>
                <c:pt idx="72">
                  <c:v>84</c:v>
                </c:pt>
                <c:pt idx="73">
                  <c:v>259</c:v>
                </c:pt>
                <c:pt idx="74">
                  <c:v>245</c:v>
                </c:pt>
                <c:pt idx="75">
                  <c:v>232</c:v>
                </c:pt>
                <c:pt idx="76">
                  <c:v>208</c:v>
                </c:pt>
                <c:pt idx="77">
                  <c:v>193</c:v>
                </c:pt>
                <c:pt idx="78">
                  <c:v>180</c:v>
                </c:pt>
                <c:pt idx="79">
                  <c:v>89</c:v>
                </c:pt>
                <c:pt idx="80">
                  <c:v>168</c:v>
                </c:pt>
                <c:pt idx="8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D-4DFE-AB87-88FE33814A25}"/>
            </c:ext>
          </c:extLst>
        </c:ser>
        <c:ser>
          <c:idx val="4"/>
          <c:order val="2"/>
          <c:tx>
            <c:strRef>
              <c:f>'Buen fin (2)'!$E$58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(2)'!$F$53:$CL$53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(2)'!$F$58:$CL$58</c:f>
              <c:numCache>
                <c:formatCode>#,##0</c:formatCode>
                <c:ptCount val="85"/>
                <c:pt idx="5">
                  <c:v>562</c:v>
                </c:pt>
                <c:pt idx="6">
                  <c:v>843</c:v>
                </c:pt>
                <c:pt idx="7">
                  <c:v>1090</c:v>
                </c:pt>
                <c:pt idx="8">
                  <c:v>1264</c:v>
                </c:pt>
                <c:pt idx="9">
                  <c:v>1367</c:v>
                </c:pt>
                <c:pt idx="10">
                  <c:v>1542</c:v>
                </c:pt>
                <c:pt idx="11">
                  <c:v>1914</c:v>
                </c:pt>
                <c:pt idx="12">
                  <c:v>1025</c:v>
                </c:pt>
                <c:pt idx="13">
                  <c:v>1344</c:v>
                </c:pt>
                <c:pt idx="14">
                  <c:v>1186</c:v>
                </c:pt>
                <c:pt idx="15">
                  <c:v>1474</c:v>
                </c:pt>
                <c:pt idx="16">
                  <c:v>1690</c:v>
                </c:pt>
                <c:pt idx="17">
                  <c:v>1385</c:v>
                </c:pt>
                <c:pt idx="18">
                  <c:v>1323</c:v>
                </c:pt>
                <c:pt idx="19">
                  <c:v>1014</c:v>
                </c:pt>
                <c:pt idx="20">
                  <c:v>1205</c:v>
                </c:pt>
                <c:pt idx="21">
                  <c:v>1315</c:v>
                </c:pt>
                <c:pt idx="22">
                  <c:v>1254</c:v>
                </c:pt>
                <c:pt idx="23">
                  <c:v>1248</c:v>
                </c:pt>
                <c:pt idx="24">
                  <c:v>1033</c:v>
                </c:pt>
                <c:pt idx="25">
                  <c:v>1206</c:v>
                </c:pt>
                <c:pt idx="26">
                  <c:v>1330</c:v>
                </c:pt>
                <c:pt idx="27">
                  <c:v>1284</c:v>
                </c:pt>
                <c:pt idx="28">
                  <c:v>971</c:v>
                </c:pt>
                <c:pt idx="29">
                  <c:v>929</c:v>
                </c:pt>
                <c:pt idx="30">
                  <c:v>877</c:v>
                </c:pt>
                <c:pt idx="31">
                  <c:v>960</c:v>
                </c:pt>
                <c:pt idx="32">
                  <c:v>1239</c:v>
                </c:pt>
                <c:pt idx="33">
                  <c:v>1126</c:v>
                </c:pt>
                <c:pt idx="34">
                  <c:v>976</c:v>
                </c:pt>
                <c:pt idx="35">
                  <c:v>1065</c:v>
                </c:pt>
                <c:pt idx="36">
                  <c:v>1013</c:v>
                </c:pt>
                <c:pt idx="37">
                  <c:v>1003</c:v>
                </c:pt>
                <c:pt idx="38">
                  <c:v>715</c:v>
                </c:pt>
                <c:pt idx="39">
                  <c:v>390</c:v>
                </c:pt>
                <c:pt idx="40">
                  <c:v>484</c:v>
                </c:pt>
                <c:pt idx="41">
                  <c:v>234</c:v>
                </c:pt>
                <c:pt idx="42">
                  <c:v>106</c:v>
                </c:pt>
                <c:pt idx="43">
                  <c:v>110</c:v>
                </c:pt>
                <c:pt idx="44">
                  <c:v>77</c:v>
                </c:pt>
                <c:pt idx="45">
                  <c:v>46</c:v>
                </c:pt>
                <c:pt idx="46">
                  <c:v>49</c:v>
                </c:pt>
                <c:pt idx="47">
                  <c:v>96</c:v>
                </c:pt>
                <c:pt idx="48">
                  <c:v>154</c:v>
                </c:pt>
                <c:pt idx="49">
                  <c:v>49</c:v>
                </c:pt>
                <c:pt idx="50">
                  <c:v>105</c:v>
                </c:pt>
                <c:pt idx="51">
                  <c:v>61</c:v>
                </c:pt>
                <c:pt idx="52">
                  <c:v>81</c:v>
                </c:pt>
                <c:pt idx="53">
                  <c:v>75</c:v>
                </c:pt>
                <c:pt idx="54">
                  <c:v>90</c:v>
                </c:pt>
                <c:pt idx="55">
                  <c:v>136</c:v>
                </c:pt>
                <c:pt idx="56">
                  <c:v>150</c:v>
                </c:pt>
                <c:pt idx="57">
                  <c:v>73</c:v>
                </c:pt>
                <c:pt idx="58">
                  <c:v>28</c:v>
                </c:pt>
                <c:pt idx="59">
                  <c:v>64</c:v>
                </c:pt>
                <c:pt idx="60">
                  <c:v>73</c:v>
                </c:pt>
                <c:pt idx="61">
                  <c:v>66</c:v>
                </c:pt>
                <c:pt idx="62">
                  <c:v>83</c:v>
                </c:pt>
                <c:pt idx="63">
                  <c:v>70</c:v>
                </c:pt>
                <c:pt idx="64">
                  <c:v>74</c:v>
                </c:pt>
                <c:pt idx="65">
                  <c:v>68</c:v>
                </c:pt>
                <c:pt idx="66">
                  <c:v>29</c:v>
                </c:pt>
                <c:pt idx="67">
                  <c:v>111</c:v>
                </c:pt>
                <c:pt idx="68">
                  <c:v>6</c:v>
                </c:pt>
                <c:pt idx="69">
                  <c:v>14</c:v>
                </c:pt>
                <c:pt idx="70">
                  <c:v>45</c:v>
                </c:pt>
                <c:pt idx="71">
                  <c:v>55</c:v>
                </c:pt>
                <c:pt idx="72">
                  <c:v>82</c:v>
                </c:pt>
                <c:pt idx="73">
                  <c:v>47</c:v>
                </c:pt>
                <c:pt idx="74">
                  <c:v>36</c:v>
                </c:pt>
                <c:pt idx="75">
                  <c:v>44</c:v>
                </c:pt>
                <c:pt idx="76">
                  <c:v>40</c:v>
                </c:pt>
                <c:pt idx="77">
                  <c:v>18</c:v>
                </c:pt>
                <c:pt idx="78">
                  <c:v>40</c:v>
                </c:pt>
                <c:pt idx="79">
                  <c:v>7</c:v>
                </c:pt>
                <c:pt idx="80">
                  <c:v>5</c:v>
                </c:pt>
                <c:pt idx="81">
                  <c:v>8</c:v>
                </c:pt>
                <c:pt idx="8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D-4DFE-AB87-88FE33814A25}"/>
            </c:ext>
          </c:extLst>
        </c:ser>
        <c:ser>
          <c:idx val="5"/>
          <c:order val="3"/>
          <c:tx>
            <c:strRef>
              <c:f>'Buen fin (2)'!$E$61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'Buen fin (2)'!$F$53:$CL$53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(2)'!$F$61:$CL$61</c:f>
              <c:numCache>
                <c:formatCode>#,##0</c:formatCode>
                <c:ptCount val="85"/>
                <c:pt idx="0">
                  <c:v>557</c:v>
                </c:pt>
                <c:pt idx="1">
                  <c:v>492</c:v>
                </c:pt>
                <c:pt idx="2">
                  <c:v>410</c:v>
                </c:pt>
                <c:pt idx="3">
                  <c:v>734</c:v>
                </c:pt>
                <c:pt idx="4">
                  <c:v>946</c:v>
                </c:pt>
                <c:pt idx="5">
                  <c:v>1466</c:v>
                </c:pt>
                <c:pt idx="6">
                  <c:v>1828</c:v>
                </c:pt>
                <c:pt idx="7">
                  <c:v>2231</c:v>
                </c:pt>
                <c:pt idx="8">
                  <c:v>2066</c:v>
                </c:pt>
                <c:pt idx="9">
                  <c:v>1927</c:v>
                </c:pt>
                <c:pt idx="10">
                  <c:v>2825</c:v>
                </c:pt>
                <c:pt idx="11">
                  <c:v>3183</c:v>
                </c:pt>
                <c:pt idx="12">
                  <c:v>2178</c:v>
                </c:pt>
                <c:pt idx="13">
                  <c:v>2428</c:v>
                </c:pt>
                <c:pt idx="14">
                  <c:v>1999</c:v>
                </c:pt>
                <c:pt idx="15">
                  <c:v>2217</c:v>
                </c:pt>
                <c:pt idx="16">
                  <c:v>2273</c:v>
                </c:pt>
                <c:pt idx="17">
                  <c:v>2668</c:v>
                </c:pt>
                <c:pt idx="18">
                  <c:v>2592</c:v>
                </c:pt>
                <c:pt idx="19">
                  <c:v>1643</c:v>
                </c:pt>
                <c:pt idx="20">
                  <c:v>1796</c:v>
                </c:pt>
                <c:pt idx="21">
                  <c:v>1776</c:v>
                </c:pt>
                <c:pt idx="22">
                  <c:v>1611</c:v>
                </c:pt>
                <c:pt idx="23">
                  <c:v>1501</c:v>
                </c:pt>
                <c:pt idx="24">
                  <c:v>1844</c:v>
                </c:pt>
                <c:pt idx="25">
                  <c:v>2024</c:v>
                </c:pt>
                <c:pt idx="26">
                  <c:v>1928</c:v>
                </c:pt>
                <c:pt idx="27">
                  <c:v>1841</c:v>
                </c:pt>
                <c:pt idx="28">
                  <c:v>1535</c:v>
                </c:pt>
                <c:pt idx="29">
                  <c:v>1293</c:v>
                </c:pt>
                <c:pt idx="30">
                  <c:v>1159</c:v>
                </c:pt>
                <c:pt idx="31">
                  <c:v>1671</c:v>
                </c:pt>
                <c:pt idx="32">
                  <c:v>1931</c:v>
                </c:pt>
                <c:pt idx="33">
                  <c:v>1798</c:v>
                </c:pt>
                <c:pt idx="34">
                  <c:v>1660</c:v>
                </c:pt>
                <c:pt idx="35">
                  <c:v>1679</c:v>
                </c:pt>
                <c:pt idx="36">
                  <c:v>1419</c:v>
                </c:pt>
                <c:pt idx="37">
                  <c:v>1325</c:v>
                </c:pt>
                <c:pt idx="38">
                  <c:v>845</c:v>
                </c:pt>
                <c:pt idx="39">
                  <c:v>1017</c:v>
                </c:pt>
                <c:pt idx="40">
                  <c:v>1046</c:v>
                </c:pt>
                <c:pt idx="41">
                  <c:v>764</c:v>
                </c:pt>
                <c:pt idx="42">
                  <c:v>595</c:v>
                </c:pt>
                <c:pt idx="43">
                  <c:v>492</c:v>
                </c:pt>
                <c:pt idx="44">
                  <c:v>319</c:v>
                </c:pt>
                <c:pt idx="45">
                  <c:v>247</c:v>
                </c:pt>
                <c:pt idx="46">
                  <c:v>644</c:v>
                </c:pt>
                <c:pt idx="47">
                  <c:v>609</c:v>
                </c:pt>
                <c:pt idx="48">
                  <c:v>617</c:v>
                </c:pt>
                <c:pt idx="49">
                  <c:v>453</c:v>
                </c:pt>
                <c:pt idx="50">
                  <c:v>421</c:v>
                </c:pt>
                <c:pt idx="51">
                  <c:v>251</c:v>
                </c:pt>
                <c:pt idx="52">
                  <c:v>654</c:v>
                </c:pt>
                <c:pt idx="53">
                  <c:v>552</c:v>
                </c:pt>
                <c:pt idx="54">
                  <c:v>409</c:v>
                </c:pt>
                <c:pt idx="55">
                  <c:v>426</c:v>
                </c:pt>
                <c:pt idx="56">
                  <c:v>428</c:v>
                </c:pt>
                <c:pt idx="57">
                  <c:v>310</c:v>
                </c:pt>
                <c:pt idx="58">
                  <c:v>186</c:v>
                </c:pt>
                <c:pt idx="59">
                  <c:v>439</c:v>
                </c:pt>
                <c:pt idx="60">
                  <c:v>415</c:v>
                </c:pt>
                <c:pt idx="61">
                  <c:v>385</c:v>
                </c:pt>
                <c:pt idx="62">
                  <c:v>353</c:v>
                </c:pt>
                <c:pt idx="63">
                  <c:v>319</c:v>
                </c:pt>
                <c:pt idx="64">
                  <c:v>251</c:v>
                </c:pt>
                <c:pt idx="65">
                  <c:v>181</c:v>
                </c:pt>
                <c:pt idx="66">
                  <c:v>386</c:v>
                </c:pt>
                <c:pt idx="67">
                  <c:v>425</c:v>
                </c:pt>
                <c:pt idx="68">
                  <c:v>246</c:v>
                </c:pt>
                <c:pt idx="69">
                  <c:v>258</c:v>
                </c:pt>
                <c:pt idx="70">
                  <c:v>244</c:v>
                </c:pt>
                <c:pt idx="71">
                  <c:v>200</c:v>
                </c:pt>
                <c:pt idx="72">
                  <c:v>161</c:v>
                </c:pt>
                <c:pt idx="73">
                  <c:v>304</c:v>
                </c:pt>
                <c:pt idx="74">
                  <c:v>283</c:v>
                </c:pt>
                <c:pt idx="75">
                  <c:v>285</c:v>
                </c:pt>
                <c:pt idx="76">
                  <c:v>262</c:v>
                </c:pt>
                <c:pt idx="77">
                  <c:v>211</c:v>
                </c:pt>
                <c:pt idx="78">
                  <c:v>220</c:v>
                </c:pt>
                <c:pt idx="79">
                  <c:v>96</c:v>
                </c:pt>
                <c:pt idx="80">
                  <c:v>173</c:v>
                </c:pt>
                <c:pt idx="81">
                  <c:v>307</c:v>
                </c:pt>
                <c:pt idx="82">
                  <c:v>322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D-4DFE-AB87-88FE33814A25}"/>
            </c:ext>
          </c:extLst>
        </c:ser>
        <c:ser>
          <c:idx val="1"/>
          <c:order val="4"/>
          <c:tx>
            <c:strRef>
              <c:f>'Buen fin (2)'!$E$55</c:f>
              <c:strCache>
                <c:ptCount val="1"/>
                <c:pt idx="0">
                  <c:v>Capacidad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(2)'!$F$53:$CL$53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(2)'!$F$55:$CL$55</c:f>
              <c:numCache>
                <c:formatCode>#,##0</c:formatCode>
                <c:ptCount val="85"/>
                <c:pt idx="0">
                  <c:v>570</c:v>
                </c:pt>
                <c:pt idx="1">
                  <c:v>317</c:v>
                </c:pt>
                <c:pt idx="2">
                  <c:v>245</c:v>
                </c:pt>
                <c:pt idx="3">
                  <c:v>570</c:v>
                </c:pt>
                <c:pt idx="4">
                  <c:v>570</c:v>
                </c:pt>
                <c:pt idx="5">
                  <c:v>570</c:v>
                </c:pt>
                <c:pt idx="6">
                  <c:v>570</c:v>
                </c:pt>
                <c:pt idx="7">
                  <c:v>570</c:v>
                </c:pt>
                <c:pt idx="8">
                  <c:v>317</c:v>
                </c:pt>
                <c:pt idx="9">
                  <c:v>245</c:v>
                </c:pt>
                <c:pt idx="10">
                  <c:v>570</c:v>
                </c:pt>
                <c:pt idx="11">
                  <c:v>532</c:v>
                </c:pt>
                <c:pt idx="12">
                  <c:v>570</c:v>
                </c:pt>
                <c:pt idx="13">
                  <c:v>565.5</c:v>
                </c:pt>
                <c:pt idx="14">
                  <c:v>565.5</c:v>
                </c:pt>
                <c:pt idx="15">
                  <c:v>302</c:v>
                </c:pt>
                <c:pt idx="16">
                  <c:v>302</c:v>
                </c:pt>
                <c:pt idx="17">
                  <c:v>565.5</c:v>
                </c:pt>
                <c:pt idx="18">
                  <c:v>565.5</c:v>
                </c:pt>
                <c:pt idx="19">
                  <c:v>565.5</c:v>
                </c:pt>
                <c:pt idx="20">
                  <c:v>413</c:v>
                </c:pt>
                <c:pt idx="21">
                  <c:v>413</c:v>
                </c:pt>
                <c:pt idx="22">
                  <c:v>266</c:v>
                </c:pt>
                <c:pt idx="23">
                  <c:v>227</c:v>
                </c:pt>
                <c:pt idx="24">
                  <c:v>413</c:v>
                </c:pt>
                <c:pt idx="25">
                  <c:v>413</c:v>
                </c:pt>
                <c:pt idx="26">
                  <c:v>413</c:v>
                </c:pt>
                <c:pt idx="27">
                  <c:v>413</c:v>
                </c:pt>
                <c:pt idx="28">
                  <c:v>413</c:v>
                </c:pt>
                <c:pt idx="29">
                  <c:v>225</c:v>
                </c:pt>
                <c:pt idx="30">
                  <c:v>289</c:v>
                </c:pt>
                <c:pt idx="31">
                  <c:v>489</c:v>
                </c:pt>
                <c:pt idx="32">
                  <c:v>489</c:v>
                </c:pt>
                <c:pt idx="33">
                  <c:v>489</c:v>
                </c:pt>
                <c:pt idx="34">
                  <c:v>489</c:v>
                </c:pt>
                <c:pt idx="35">
                  <c:v>489</c:v>
                </c:pt>
                <c:pt idx="36">
                  <c:v>383</c:v>
                </c:pt>
                <c:pt idx="37">
                  <c:v>296</c:v>
                </c:pt>
                <c:pt idx="38">
                  <c:v>350</c:v>
                </c:pt>
                <c:pt idx="39">
                  <c:v>489</c:v>
                </c:pt>
                <c:pt idx="40">
                  <c:v>489</c:v>
                </c:pt>
                <c:pt idx="41">
                  <c:v>489</c:v>
                </c:pt>
                <c:pt idx="42">
                  <c:v>489</c:v>
                </c:pt>
                <c:pt idx="43">
                  <c:v>225</c:v>
                </c:pt>
                <c:pt idx="44">
                  <c:v>243</c:v>
                </c:pt>
                <c:pt idx="45">
                  <c:v>244</c:v>
                </c:pt>
                <c:pt idx="46">
                  <c:v>373</c:v>
                </c:pt>
                <c:pt idx="47">
                  <c:v>373</c:v>
                </c:pt>
                <c:pt idx="48">
                  <c:v>373</c:v>
                </c:pt>
                <c:pt idx="49">
                  <c:v>373</c:v>
                </c:pt>
                <c:pt idx="50">
                  <c:v>238</c:v>
                </c:pt>
                <c:pt idx="51">
                  <c:v>198</c:v>
                </c:pt>
                <c:pt idx="52">
                  <c:v>373</c:v>
                </c:pt>
                <c:pt idx="53">
                  <c:v>373</c:v>
                </c:pt>
                <c:pt idx="54">
                  <c:v>373</c:v>
                </c:pt>
                <c:pt idx="55">
                  <c:v>373</c:v>
                </c:pt>
                <c:pt idx="56">
                  <c:v>373</c:v>
                </c:pt>
                <c:pt idx="57">
                  <c:v>220</c:v>
                </c:pt>
                <c:pt idx="58">
                  <c:v>192</c:v>
                </c:pt>
                <c:pt idx="59">
                  <c:v>373</c:v>
                </c:pt>
                <c:pt idx="60">
                  <c:v>373</c:v>
                </c:pt>
                <c:pt idx="61">
                  <c:v>373</c:v>
                </c:pt>
                <c:pt idx="62">
                  <c:v>373</c:v>
                </c:pt>
                <c:pt idx="63">
                  <c:v>373</c:v>
                </c:pt>
                <c:pt idx="64">
                  <c:v>258</c:v>
                </c:pt>
                <c:pt idx="65">
                  <c:v>229</c:v>
                </c:pt>
                <c:pt idx="66">
                  <c:v>373</c:v>
                </c:pt>
                <c:pt idx="67">
                  <c:v>373</c:v>
                </c:pt>
                <c:pt idx="68">
                  <c:v>373</c:v>
                </c:pt>
                <c:pt idx="69">
                  <c:v>373</c:v>
                </c:pt>
                <c:pt idx="70">
                  <c:v>373</c:v>
                </c:pt>
                <c:pt idx="71">
                  <c:v>167</c:v>
                </c:pt>
                <c:pt idx="72">
                  <c:v>186</c:v>
                </c:pt>
                <c:pt idx="73">
                  <c:v>373</c:v>
                </c:pt>
                <c:pt idx="74">
                  <c:v>373</c:v>
                </c:pt>
                <c:pt idx="75">
                  <c:v>373</c:v>
                </c:pt>
                <c:pt idx="76">
                  <c:v>373</c:v>
                </c:pt>
                <c:pt idx="77">
                  <c:v>373</c:v>
                </c:pt>
                <c:pt idx="78">
                  <c:v>209</c:v>
                </c:pt>
                <c:pt idx="79">
                  <c:v>171</c:v>
                </c:pt>
                <c:pt idx="80">
                  <c:v>209</c:v>
                </c:pt>
                <c:pt idx="81">
                  <c:v>454</c:v>
                </c:pt>
                <c:pt idx="82">
                  <c:v>454</c:v>
                </c:pt>
                <c:pt idx="83">
                  <c:v>454</c:v>
                </c:pt>
                <c:pt idx="84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D-4DFE-AB87-88FE3381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2"/>
          <c:order val="5"/>
          <c:tx>
            <c:strRef>
              <c:f>'Buen fin (2)'!$E$63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'Buen fin (2)'!$F$53:$CL$53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(2)'!$F$63:$CL$63</c:f>
              <c:numCache>
                <c:formatCode>#,##0</c:formatCode>
                <c:ptCount val="85"/>
                <c:pt idx="0">
                  <c:v>273</c:v>
                </c:pt>
                <c:pt idx="1">
                  <c:v>304</c:v>
                </c:pt>
                <c:pt idx="2">
                  <c:v>412</c:v>
                </c:pt>
                <c:pt idx="3">
                  <c:v>450</c:v>
                </c:pt>
                <c:pt idx="4">
                  <c:v>714</c:v>
                </c:pt>
                <c:pt idx="5">
                  <c:v>712</c:v>
                </c:pt>
                <c:pt idx="6">
                  <c:v>790</c:v>
                </c:pt>
                <c:pt idx="7">
                  <c:v>724</c:v>
                </c:pt>
                <c:pt idx="8">
                  <c:v>360</c:v>
                </c:pt>
                <c:pt idx="9">
                  <c:v>379</c:v>
                </c:pt>
                <c:pt idx="10">
                  <c:v>730</c:v>
                </c:pt>
                <c:pt idx="11">
                  <c:v>704</c:v>
                </c:pt>
                <c:pt idx="12">
                  <c:v>628</c:v>
                </c:pt>
                <c:pt idx="13">
                  <c:v>502</c:v>
                </c:pt>
                <c:pt idx="14">
                  <c:v>608</c:v>
                </c:pt>
                <c:pt idx="15">
                  <c:v>251</c:v>
                </c:pt>
                <c:pt idx="16">
                  <c:v>438</c:v>
                </c:pt>
                <c:pt idx="17">
                  <c:v>650</c:v>
                </c:pt>
                <c:pt idx="18">
                  <c:v>768</c:v>
                </c:pt>
                <c:pt idx="19">
                  <c:v>622</c:v>
                </c:pt>
                <c:pt idx="20">
                  <c:v>430</c:v>
                </c:pt>
                <c:pt idx="21">
                  <c:v>501</c:v>
                </c:pt>
                <c:pt idx="22">
                  <c:v>357</c:v>
                </c:pt>
                <c:pt idx="23">
                  <c:v>244</c:v>
                </c:pt>
                <c:pt idx="24">
                  <c:v>524</c:v>
                </c:pt>
                <c:pt idx="25">
                  <c:v>525</c:v>
                </c:pt>
                <c:pt idx="26">
                  <c:v>556</c:v>
                </c:pt>
                <c:pt idx="27">
                  <c:v>567</c:v>
                </c:pt>
                <c:pt idx="28">
                  <c:v>543</c:v>
                </c:pt>
                <c:pt idx="29">
                  <c:v>384</c:v>
                </c:pt>
                <c:pt idx="30">
                  <c:v>191</c:v>
                </c:pt>
                <c:pt idx="31">
                  <c:v>553</c:v>
                </c:pt>
                <c:pt idx="32">
                  <c:v>414</c:v>
                </c:pt>
                <c:pt idx="33">
                  <c:v>600</c:v>
                </c:pt>
                <c:pt idx="34">
                  <c:v>519</c:v>
                </c:pt>
                <c:pt idx="35">
                  <c:v>620</c:v>
                </c:pt>
                <c:pt idx="36">
                  <c:v>388</c:v>
                </c:pt>
                <c:pt idx="37">
                  <c:v>358</c:v>
                </c:pt>
                <c:pt idx="38">
                  <c:v>392</c:v>
                </c:pt>
                <c:pt idx="39">
                  <c:v>585</c:v>
                </c:pt>
                <c:pt idx="40">
                  <c:v>512</c:v>
                </c:pt>
                <c:pt idx="41">
                  <c:v>617</c:v>
                </c:pt>
                <c:pt idx="42">
                  <c:v>633</c:v>
                </c:pt>
                <c:pt idx="43">
                  <c:v>287</c:v>
                </c:pt>
                <c:pt idx="44">
                  <c:v>194</c:v>
                </c:pt>
                <c:pt idx="45">
                  <c:v>168</c:v>
                </c:pt>
                <c:pt idx="46">
                  <c:v>510</c:v>
                </c:pt>
                <c:pt idx="47">
                  <c:v>504</c:v>
                </c:pt>
                <c:pt idx="48">
                  <c:v>523</c:v>
                </c:pt>
                <c:pt idx="49">
                  <c:v>375</c:v>
                </c:pt>
                <c:pt idx="50">
                  <c:v>241</c:v>
                </c:pt>
                <c:pt idx="51">
                  <c:v>219</c:v>
                </c:pt>
                <c:pt idx="52">
                  <c:v>391</c:v>
                </c:pt>
                <c:pt idx="53">
                  <c:v>425</c:v>
                </c:pt>
                <c:pt idx="54">
                  <c:v>302</c:v>
                </c:pt>
                <c:pt idx="55">
                  <c:v>308</c:v>
                </c:pt>
                <c:pt idx="56">
                  <c:v>341</c:v>
                </c:pt>
                <c:pt idx="57">
                  <c:v>246</c:v>
                </c:pt>
                <c:pt idx="58">
                  <c:v>94</c:v>
                </c:pt>
                <c:pt idx="59">
                  <c:v>357</c:v>
                </c:pt>
                <c:pt idx="60">
                  <c:v>316</c:v>
                </c:pt>
                <c:pt idx="61">
                  <c:v>307</c:v>
                </c:pt>
                <c:pt idx="62">
                  <c:v>331</c:v>
                </c:pt>
                <c:pt idx="63">
                  <c:v>296</c:v>
                </c:pt>
                <c:pt idx="64">
                  <c:v>141</c:v>
                </c:pt>
                <c:pt idx="65">
                  <c:v>160</c:v>
                </c:pt>
                <c:pt idx="66">
                  <c:v>200</c:v>
                </c:pt>
                <c:pt idx="67">
                  <c:v>390</c:v>
                </c:pt>
                <c:pt idx="68">
                  <c:v>294</c:v>
                </c:pt>
                <c:pt idx="69">
                  <c:v>281</c:v>
                </c:pt>
                <c:pt idx="70">
                  <c:v>305</c:v>
                </c:pt>
                <c:pt idx="71">
                  <c:v>115</c:v>
                </c:pt>
                <c:pt idx="72">
                  <c:v>129</c:v>
                </c:pt>
                <c:pt idx="73">
                  <c:v>280</c:v>
                </c:pt>
                <c:pt idx="74">
                  <c:v>316</c:v>
                </c:pt>
                <c:pt idx="75">
                  <c:v>304</c:v>
                </c:pt>
                <c:pt idx="76">
                  <c:v>333</c:v>
                </c:pt>
                <c:pt idx="77">
                  <c:v>254</c:v>
                </c:pt>
                <c:pt idx="78">
                  <c:v>227</c:v>
                </c:pt>
                <c:pt idx="79">
                  <c:v>123</c:v>
                </c:pt>
                <c:pt idx="80">
                  <c:v>162</c:v>
                </c:pt>
                <c:pt idx="81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6D-4DFE-AB87-88FE3381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AXO-LifeStyle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'Buen fin (2)'!$E$111</c:f>
              <c:strCache>
                <c:ptCount val="1"/>
                <c:pt idx="0">
                  <c:v>Pronóstico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(2)'!$F$104:$CL$104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(2)'!$F$111:$CL$111</c:f>
              <c:numCache>
                <c:formatCode>#,##0</c:formatCode>
                <c:ptCount val="85"/>
                <c:pt idx="0">
                  <c:v>964</c:v>
                </c:pt>
                <c:pt idx="1">
                  <c:v>685</c:v>
                </c:pt>
                <c:pt idx="2">
                  <c:v>647</c:v>
                </c:pt>
                <c:pt idx="3">
                  <c:v>1247</c:v>
                </c:pt>
                <c:pt idx="4">
                  <c:v>1691</c:v>
                </c:pt>
                <c:pt idx="5">
                  <c:v>1684</c:v>
                </c:pt>
                <c:pt idx="6">
                  <c:v>1488</c:v>
                </c:pt>
                <c:pt idx="7">
                  <c:v>1666</c:v>
                </c:pt>
                <c:pt idx="8">
                  <c:v>1209</c:v>
                </c:pt>
                <c:pt idx="9">
                  <c:v>781</c:v>
                </c:pt>
                <c:pt idx="10">
                  <c:v>3558</c:v>
                </c:pt>
                <c:pt idx="11">
                  <c:v>3124</c:v>
                </c:pt>
                <c:pt idx="12">
                  <c:v>3237</c:v>
                </c:pt>
                <c:pt idx="13">
                  <c:v>2599</c:v>
                </c:pt>
                <c:pt idx="14">
                  <c:v>2239</c:v>
                </c:pt>
                <c:pt idx="15">
                  <c:v>1439</c:v>
                </c:pt>
                <c:pt idx="16">
                  <c:v>469</c:v>
                </c:pt>
                <c:pt idx="17">
                  <c:v>1555</c:v>
                </c:pt>
                <c:pt idx="18">
                  <c:v>1539</c:v>
                </c:pt>
                <c:pt idx="19">
                  <c:v>1592</c:v>
                </c:pt>
                <c:pt idx="20">
                  <c:v>1519</c:v>
                </c:pt>
                <c:pt idx="21">
                  <c:v>1577</c:v>
                </c:pt>
                <c:pt idx="22">
                  <c:v>1073</c:v>
                </c:pt>
                <c:pt idx="23">
                  <c:v>821</c:v>
                </c:pt>
                <c:pt idx="24">
                  <c:v>1049</c:v>
                </c:pt>
                <c:pt idx="25">
                  <c:v>1016</c:v>
                </c:pt>
                <c:pt idx="26">
                  <c:v>1722</c:v>
                </c:pt>
                <c:pt idx="27">
                  <c:v>1708</c:v>
                </c:pt>
                <c:pt idx="28">
                  <c:v>1636</c:v>
                </c:pt>
                <c:pt idx="29">
                  <c:v>1056</c:v>
                </c:pt>
                <c:pt idx="30">
                  <c:v>845</c:v>
                </c:pt>
                <c:pt idx="31">
                  <c:v>2042</c:v>
                </c:pt>
                <c:pt idx="32">
                  <c:v>2441</c:v>
                </c:pt>
                <c:pt idx="33">
                  <c:v>2165</c:v>
                </c:pt>
                <c:pt idx="34">
                  <c:v>1997</c:v>
                </c:pt>
                <c:pt idx="35">
                  <c:v>1799</c:v>
                </c:pt>
                <c:pt idx="36">
                  <c:v>923</c:v>
                </c:pt>
                <c:pt idx="37">
                  <c:v>520</c:v>
                </c:pt>
                <c:pt idx="38">
                  <c:v>527</c:v>
                </c:pt>
                <c:pt idx="39">
                  <c:v>1707</c:v>
                </c:pt>
                <c:pt idx="40">
                  <c:v>1448</c:v>
                </c:pt>
                <c:pt idx="41">
                  <c:v>1381</c:v>
                </c:pt>
                <c:pt idx="42">
                  <c:v>1288</c:v>
                </c:pt>
                <c:pt idx="43">
                  <c:v>759</c:v>
                </c:pt>
                <c:pt idx="44">
                  <c:v>411</c:v>
                </c:pt>
                <c:pt idx="45">
                  <c:v>346</c:v>
                </c:pt>
                <c:pt idx="46">
                  <c:v>2169</c:v>
                </c:pt>
                <c:pt idx="47">
                  <c:v>1887</c:v>
                </c:pt>
                <c:pt idx="48">
                  <c:v>1602</c:v>
                </c:pt>
                <c:pt idx="49">
                  <c:v>1462</c:v>
                </c:pt>
                <c:pt idx="50">
                  <c:v>902</c:v>
                </c:pt>
                <c:pt idx="51">
                  <c:v>479</c:v>
                </c:pt>
                <c:pt idx="52">
                  <c:v>1879</c:v>
                </c:pt>
                <c:pt idx="53">
                  <c:v>1541</c:v>
                </c:pt>
                <c:pt idx="54">
                  <c:v>2065</c:v>
                </c:pt>
                <c:pt idx="55">
                  <c:v>2042</c:v>
                </c:pt>
                <c:pt idx="56">
                  <c:v>1962</c:v>
                </c:pt>
                <c:pt idx="57">
                  <c:v>1101</c:v>
                </c:pt>
                <c:pt idx="58">
                  <c:v>696</c:v>
                </c:pt>
                <c:pt idx="59">
                  <c:v>2230</c:v>
                </c:pt>
                <c:pt idx="60">
                  <c:v>2097</c:v>
                </c:pt>
                <c:pt idx="61">
                  <c:v>2339</c:v>
                </c:pt>
                <c:pt idx="62">
                  <c:v>2042</c:v>
                </c:pt>
                <c:pt idx="63">
                  <c:v>2023</c:v>
                </c:pt>
                <c:pt idx="64">
                  <c:v>1201</c:v>
                </c:pt>
                <c:pt idx="65">
                  <c:v>727</c:v>
                </c:pt>
                <c:pt idx="66">
                  <c:v>2603</c:v>
                </c:pt>
                <c:pt idx="67">
                  <c:v>2227</c:v>
                </c:pt>
                <c:pt idx="68">
                  <c:v>1673</c:v>
                </c:pt>
                <c:pt idx="69">
                  <c:v>1578</c:v>
                </c:pt>
                <c:pt idx="70">
                  <c:v>1414</c:v>
                </c:pt>
                <c:pt idx="71">
                  <c:v>695</c:v>
                </c:pt>
                <c:pt idx="72">
                  <c:v>485</c:v>
                </c:pt>
                <c:pt idx="73">
                  <c:v>1343</c:v>
                </c:pt>
                <c:pt idx="74">
                  <c:v>1268</c:v>
                </c:pt>
                <c:pt idx="75">
                  <c:v>1118</c:v>
                </c:pt>
                <c:pt idx="76">
                  <c:v>1032</c:v>
                </c:pt>
                <c:pt idx="77">
                  <c:v>943</c:v>
                </c:pt>
                <c:pt idx="78">
                  <c:v>508</c:v>
                </c:pt>
                <c:pt idx="79">
                  <c:v>346</c:v>
                </c:pt>
                <c:pt idx="80">
                  <c:v>404</c:v>
                </c:pt>
                <c:pt idx="81">
                  <c:v>948</c:v>
                </c:pt>
                <c:pt idx="82">
                  <c:v>879</c:v>
                </c:pt>
                <c:pt idx="83">
                  <c:v>1051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B-4ECA-945B-4AF7B42986B0}"/>
            </c:ext>
          </c:extLst>
        </c:ser>
        <c:ser>
          <c:idx val="0"/>
          <c:order val="1"/>
          <c:tx>
            <c:strRef>
              <c:f>'Buen fin (2)'!$E$105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(2)'!$F$104:$CL$104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(2)'!$F$105:$CL$105</c:f>
              <c:numCache>
                <c:formatCode>#,##0</c:formatCode>
                <c:ptCount val="85"/>
                <c:pt idx="0">
                  <c:v>885</c:v>
                </c:pt>
                <c:pt idx="1">
                  <c:v>735</c:v>
                </c:pt>
                <c:pt idx="2">
                  <c:v>721</c:v>
                </c:pt>
                <c:pt idx="3">
                  <c:v>1256</c:v>
                </c:pt>
                <c:pt idx="4">
                  <c:v>1562</c:v>
                </c:pt>
                <c:pt idx="5">
                  <c:v>1514</c:v>
                </c:pt>
                <c:pt idx="6">
                  <c:v>1398</c:v>
                </c:pt>
                <c:pt idx="7">
                  <c:v>1723</c:v>
                </c:pt>
                <c:pt idx="8">
                  <c:v>1186</c:v>
                </c:pt>
                <c:pt idx="9">
                  <c:v>788</c:v>
                </c:pt>
                <c:pt idx="10">
                  <c:v>3405</c:v>
                </c:pt>
                <c:pt idx="11">
                  <c:v>3408</c:v>
                </c:pt>
                <c:pt idx="12">
                  <c:v>3224</c:v>
                </c:pt>
                <c:pt idx="13">
                  <c:v>2722</c:v>
                </c:pt>
                <c:pt idx="14">
                  <c:v>2170</c:v>
                </c:pt>
                <c:pt idx="15">
                  <c:v>1647</c:v>
                </c:pt>
                <c:pt idx="16">
                  <c:v>748</c:v>
                </c:pt>
                <c:pt idx="17">
                  <c:v>2332</c:v>
                </c:pt>
                <c:pt idx="18">
                  <c:v>2417</c:v>
                </c:pt>
                <c:pt idx="19">
                  <c:v>1650</c:v>
                </c:pt>
                <c:pt idx="20">
                  <c:v>1358</c:v>
                </c:pt>
                <c:pt idx="21">
                  <c:v>1456</c:v>
                </c:pt>
                <c:pt idx="22">
                  <c:v>947</c:v>
                </c:pt>
                <c:pt idx="23">
                  <c:v>829</c:v>
                </c:pt>
                <c:pt idx="24">
                  <c:v>2066</c:v>
                </c:pt>
                <c:pt idx="25">
                  <c:v>1861</c:v>
                </c:pt>
                <c:pt idx="26">
                  <c:v>1962</c:v>
                </c:pt>
                <c:pt idx="27">
                  <c:v>1833</c:v>
                </c:pt>
                <c:pt idx="28">
                  <c:v>1800</c:v>
                </c:pt>
                <c:pt idx="29">
                  <c:v>1093</c:v>
                </c:pt>
                <c:pt idx="30">
                  <c:v>924</c:v>
                </c:pt>
                <c:pt idx="31">
                  <c:v>2576</c:v>
                </c:pt>
                <c:pt idx="32">
                  <c:v>2207</c:v>
                </c:pt>
                <c:pt idx="33">
                  <c:v>1906</c:v>
                </c:pt>
                <c:pt idx="34">
                  <c:v>1623</c:v>
                </c:pt>
                <c:pt idx="35">
                  <c:v>1496</c:v>
                </c:pt>
                <c:pt idx="36">
                  <c:v>949</c:v>
                </c:pt>
                <c:pt idx="37">
                  <c:v>482</c:v>
                </c:pt>
                <c:pt idx="38">
                  <c:v>463</c:v>
                </c:pt>
                <c:pt idx="39">
                  <c:v>1921</c:v>
                </c:pt>
                <c:pt idx="40">
                  <c:v>1400</c:v>
                </c:pt>
                <c:pt idx="41">
                  <c:v>1612</c:v>
                </c:pt>
                <c:pt idx="42">
                  <c:v>1199</c:v>
                </c:pt>
                <c:pt idx="43">
                  <c:v>797</c:v>
                </c:pt>
                <c:pt idx="44">
                  <c:v>372</c:v>
                </c:pt>
                <c:pt idx="45">
                  <c:v>345</c:v>
                </c:pt>
                <c:pt idx="46">
                  <c:v>1831</c:v>
                </c:pt>
                <c:pt idx="47">
                  <c:v>1711</c:v>
                </c:pt>
                <c:pt idx="48">
                  <c:v>1593</c:v>
                </c:pt>
                <c:pt idx="49">
                  <c:v>1570</c:v>
                </c:pt>
                <c:pt idx="50">
                  <c:v>939</c:v>
                </c:pt>
                <c:pt idx="51">
                  <c:v>609</c:v>
                </c:pt>
                <c:pt idx="52">
                  <c:v>1764</c:v>
                </c:pt>
                <c:pt idx="53">
                  <c:v>1929</c:v>
                </c:pt>
                <c:pt idx="54">
                  <c:v>2221</c:v>
                </c:pt>
                <c:pt idx="55">
                  <c:v>2167</c:v>
                </c:pt>
                <c:pt idx="56">
                  <c:v>1904</c:v>
                </c:pt>
                <c:pt idx="57">
                  <c:v>925</c:v>
                </c:pt>
                <c:pt idx="58">
                  <c:v>585</c:v>
                </c:pt>
                <c:pt idx="59">
                  <c:v>2882</c:v>
                </c:pt>
                <c:pt idx="60">
                  <c:v>2666</c:v>
                </c:pt>
                <c:pt idx="61">
                  <c:v>2316</c:v>
                </c:pt>
                <c:pt idx="62">
                  <c:v>1844</c:v>
                </c:pt>
                <c:pt idx="63">
                  <c:v>1582</c:v>
                </c:pt>
                <c:pt idx="64">
                  <c:v>740</c:v>
                </c:pt>
                <c:pt idx="65">
                  <c:v>474</c:v>
                </c:pt>
                <c:pt idx="66">
                  <c:v>2163</c:v>
                </c:pt>
                <c:pt idx="67">
                  <c:v>1935</c:v>
                </c:pt>
                <c:pt idx="68">
                  <c:v>1124</c:v>
                </c:pt>
                <c:pt idx="69">
                  <c:v>1106</c:v>
                </c:pt>
                <c:pt idx="70">
                  <c:v>728</c:v>
                </c:pt>
                <c:pt idx="71">
                  <c:v>369</c:v>
                </c:pt>
                <c:pt idx="72">
                  <c:v>275</c:v>
                </c:pt>
                <c:pt idx="73">
                  <c:v>985</c:v>
                </c:pt>
                <c:pt idx="74">
                  <c:v>948</c:v>
                </c:pt>
                <c:pt idx="75">
                  <c:v>974</c:v>
                </c:pt>
                <c:pt idx="76">
                  <c:v>830</c:v>
                </c:pt>
                <c:pt idx="77">
                  <c:v>675</c:v>
                </c:pt>
                <c:pt idx="78">
                  <c:v>396</c:v>
                </c:pt>
                <c:pt idx="79">
                  <c:v>310</c:v>
                </c:pt>
                <c:pt idx="80">
                  <c:v>445</c:v>
                </c:pt>
                <c:pt idx="81">
                  <c:v>826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B-4ECA-945B-4AF7B42986B0}"/>
            </c:ext>
          </c:extLst>
        </c:ser>
        <c:ser>
          <c:idx val="4"/>
          <c:order val="2"/>
          <c:tx>
            <c:strRef>
              <c:f>'Buen fin (2)'!$E$109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(2)'!$F$104:$CL$104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(2)'!$F$109:$CL$109</c:f>
              <c:numCache>
                <c:formatCode>#,##0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447</c:v>
                </c:pt>
                <c:pt idx="6">
                  <c:v>553</c:v>
                </c:pt>
                <c:pt idx="7">
                  <c:v>600</c:v>
                </c:pt>
                <c:pt idx="8">
                  <c:v>920</c:v>
                </c:pt>
                <c:pt idx="9">
                  <c:v>1101</c:v>
                </c:pt>
                <c:pt idx="10">
                  <c:v>1317</c:v>
                </c:pt>
                <c:pt idx="11">
                  <c:v>2097</c:v>
                </c:pt>
                <c:pt idx="12">
                  <c:v>1707</c:v>
                </c:pt>
                <c:pt idx="13">
                  <c:v>2256</c:v>
                </c:pt>
                <c:pt idx="14">
                  <c:v>2424</c:v>
                </c:pt>
                <c:pt idx="15">
                  <c:v>2848</c:v>
                </c:pt>
                <c:pt idx="16">
                  <c:v>3365</c:v>
                </c:pt>
                <c:pt idx="17">
                  <c:v>3267</c:v>
                </c:pt>
                <c:pt idx="18">
                  <c:v>3081</c:v>
                </c:pt>
                <c:pt idx="19">
                  <c:v>2873</c:v>
                </c:pt>
                <c:pt idx="20">
                  <c:v>2944</c:v>
                </c:pt>
                <c:pt idx="21">
                  <c:v>2669</c:v>
                </c:pt>
                <c:pt idx="22">
                  <c:v>2324</c:v>
                </c:pt>
                <c:pt idx="23">
                  <c:v>2524</c:v>
                </c:pt>
                <c:pt idx="24">
                  <c:v>2048</c:v>
                </c:pt>
                <c:pt idx="25">
                  <c:v>2200</c:v>
                </c:pt>
                <c:pt idx="26">
                  <c:v>2182</c:v>
                </c:pt>
                <c:pt idx="27">
                  <c:v>2290</c:v>
                </c:pt>
                <c:pt idx="28">
                  <c:v>2069</c:v>
                </c:pt>
                <c:pt idx="29">
                  <c:v>2261</c:v>
                </c:pt>
                <c:pt idx="30">
                  <c:v>2421</c:v>
                </c:pt>
                <c:pt idx="31">
                  <c:v>3200</c:v>
                </c:pt>
                <c:pt idx="32">
                  <c:v>3871</c:v>
                </c:pt>
                <c:pt idx="33">
                  <c:v>3893</c:v>
                </c:pt>
                <c:pt idx="34">
                  <c:v>3518</c:v>
                </c:pt>
                <c:pt idx="35">
                  <c:v>3644</c:v>
                </c:pt>
                <c:pt idx="36">
                  <c:v>3646</c:v>
                </c:pt>
                <c:pt idx="37">
                  <c:v>3568</c:v>
                </c:pt>
                <c:pt idx="38">
                  <c:v>3364</c:v>
                </c:pt>
                <c:pt idx="39">
                  <c:v>2768</c:v>
                </c:pt>
                <c:pt idx="40">
                  <c:v>2945</c:v>
                </c:pt>
                <c:pt idx="41">
                  <c:v>2188</c:v>
                </c:pt>
                <c:pt idx="42">
                  <c:v>1551</c:v>
                </c:pt>
                <c:pt idx="43">
                  <c:v>1295</c:v>
                </c:pt>
                <c:pt idx="44">
                  <c:v>1224</c:v>
                </c:pt>
                <c:pt idx="45">
                  <c:v>616</c:v>
                </c:pt>
                <c:pt idx="46">
                  <c:v>261</c:v>
                </c:pt>
                <c:pt idx="47">
                  <c:v>606</c:v>
                </c:pt>
                <c:pt idx="48">
                  <c:v>777</c:v>
                </c:pt>
                <c:pt idx="49">
                  <c:v>886</c:v>
                </c:pt>
                <c:pt idx="50">
                  <c:v>1107</c:v>
                </c:pt>
                <c:pt idx="51">
                  <c:v>1256</c:v>
                </c:pt>
                <c:pt idx="52">
                  <c:v>1010</c:v>
                </c:pt>
                <c:pt idx="53">
                  <c:v>1208</c:v>
                </c:pt>
                <c:pt idx="54">
                  <c:v>1447</c:v>
                </c:pt>
                <c:pt idx="55">
                  <c:v>1647</c:v>
                </c:pt>
                <c:pt idx="56">
                  <c:v>1793</c:v>
                </c:pt>
                <c:pt idx="57">
                  <c:v>1562</c:v>
                </c:pt>
                <c:pt idx="58">
                  <c:v>1700</c:v>
                </c:pt>
                <c:pt idx="59">
                  <c:v>1784</c:v>
                </c:pt>
                <c:pt idx="60">
                  <c:v>2016</c:v>
                </c:pt>
                <c:pt idx="61">
                  <c:v>1989</c:v>
                </c:pt>
                <c:pt idx="62">
                  <c:v>1823</c:v>
                </c:pt>
                <c:pt idx="63">
                  <c:v>1400</c:v>
                </c:pt>
                <c:pt idx="64">
                  <c:v>1046</c:v>
                </c:pt>
                <c:pt idx="65">
                  <c:v>779</c:v>
                </c:pt>
                <c:pt idx="66">
                  <c:v>640</c:v>
                </c:pt>
                <c:pt idx="67">
                  <c:v>342</c:v>
                </c:pt>
                <c:pt idx="68">
                  <c:v>102</c:v>
                </c:pt>
                <c:pt idx="69">
                  <c:v>179</c:v>
                </c:pt>
                <c:pt idx="70">
                  <c:v>201</c:v>
                </c:pt>
                <c:pt idx="71">
                  <c:v>203</c:v>
                </c:pt>
                <c:pt idx="72">
                  <c:v>324</c:v>
                </c:pt>
                <c:pt idx="73">
                  <c:v>179</c:v>
                </c:pt>
                <c:pt idx="74">
                  <c:v>169</c:v>
                </c:pt>
                <c:pt idx="75">
                  <c:v>179</c:v>
                </c:pt>
                <c:pt idx="76">
                  <c:v>163</c:v>
                </c:pt>
                <c:pt idx="77">
                  <c:v>58</c:v>
                </c:pt>
                <c:pt idx="78">
                  <c:v>67</c:v>
                </c:pt>
                <c:pt idx="79">
                  <c:v>41</c:v>
                </c:pt>
                <c:pt idx="80">
                  <c:v>80</c:v>
                </c:pt>
                <c:pt idx="81">
                  <c:v>99</c:v>
                </c:pt>
                <c:pt idx="82">
                  <c:v>165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B-4ECA-945B-4AF7B42986B0}"/>
            </c:ext>
          </c:extLst>
        </c:ser>
        <c:ser>
          <c:idx val="5"/>
          <c:order val="3"/>
          <c:tx>
            <c:strRef>
              <c:f>'Buen fin (2)'!$E$112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'Buen fin (2)'!$F$104:$CL$104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(2)'!$F$112:$CL$112</c:f>
              <c:numCache>
                <c:formatCode>#,##0</c:formatCode>
                <c:ptCount val="85"/>
                <c:pt idx="0">
                  <c:v>964</c:v>
                </c:pt>
                <c:pt idx="1">
                  <c:v>685</c:v>
                </c:pt>
                <c:pt idx="2">
                  <c:v>647</c:v>
                </c:pt>
                <c:pt idx="3">
                  <c:v>1247</c:v>
                </c:pt>
                <c:pt idx="4">
                  <c:v>1691</c:v>
                </c:pt>
                <c:pt idx="5">
                  <c:v>2131</c:v>
                </c:pt>
                <c:pt idx="6">
                  <c:v>2041</c:v>
                </c:pt>
                <c:pt idx="7">
                  <c:v>2266</c:v>
                </c:pt>
                <c:pt idx="8">
                  <c:v>2129</c:v>
                </c:pt>
                <c:pt idx="9">
                  <c:v>1882</c:v>
                </c:pt>
                <c:pt idx="10">
                  <c:v>4875</c:v>
                </c:pt>
                <c:pt idx="11">
                  <c:v>5221</c:v>
                </c:pt>
                <c:pt idx="12">
                  <c:v>4944</c:v>
                </c:pt>
                <c:pt idx="13">
                  <c:v>4855</c:v>
                </c:pt>
                <c:pt idx="14">
                  <c:v>4663</c:v>
                </c:pt>
                <c:pt idx="15">
                  <c:v>4287</c:v>
                </c:pt>
                <c:pt idx="16">
                  <c:v>3834</c:v>
                </c:pt>
                <c:pt idx="17">
                  <c:v>4822</c:v>
                </c:pt>
                <c:pt idx="18">
                  <c:v>4620</c:v>
                </c:pt>
                <c:pt idx="19">
                  <c:v>4465</c:v>
                </c:pt>
                <c:pt idx="20">
                  <c:v>4463</c:v>
                </c:pt>
                <c:pt idx="21">
                  <c:v>4246</c:v>
                </c:pt>
                <c:pt idx="22">
                  <c:v>3397</c:v>
                </c:pt>
                <c:pt idx="23">
                  <c:v>3345</c:v>
                </c:pt>
                <c:pt idx="24">
                  <c:v>3097</c:v>
                </c:pt>
                <c:pt idx="25">
                  <c:v>3216</c:v>
                </c:pt>
                <c:pt idx="26">
                  <c:v>3904</c:v>
                </c:pt>
                <c:pt idx="27">
                  <c:v>3998</c:v>
                </c:pt>
                <c:pt idx="28">
                  <c:v>3705</c:v>
                </c:pt>
                <c:pt idx="29">
                  <c:v>3317</c:v>
                </c:pt>
                <c:pt idx="30">
                  <c:v>3266</c:v>
                </c:pt>
                <c:pt idx="31">
                  <c:v>5242</c:v>
                </c:pt>
                <c:pt idx="32">
                  <c:v>6312</c:v>
                </c:pt>
                <c:pt idx="33">
                  <c:v>6058</c:v>
                </c:pt>
                <c:pt idx="34">
                  <c:v>5515</c:v>
                </c:pt>
                <c:pt idx="35">
                  <c:v>5443</c:v>
                </c:pt>
                <c:pt idx="36">
                  <c:v>4569</c:v>
                </c:pt>
                <c:pt idx="37">
                  <c:v>4088</c:v>
                </c:pt>
                <c:pt idx="38">
                  <c:v>3891</c:v>
                </c:pt>
                <c:pt idx="39">
                  <c:v>4475</c:v>
                </c:pt>
                <c:pt idx="40">
                  <c:v>4393</c:v>
                </c:pt>
                <c:pt idx="41">
                  <c:v>3569</c:v>
                </c:pt>
                <c:pt idx="42">
                  <c:v>2839</c:v>
                </c:pt>
                <c:pt idx="43">
                  <c:v>2054</c:v>
                </c:pt>
                <c:pt idx="44">
                  <c:v>1635</c:v>
                </c:pt>
                <c:pt idx="45">
                  <c:v>962</c:v>
                </c:pt>
                <c:pt idx="46">
                  <c:v>2430</c:v>
                </c:pt>
                <c:pt idx="47">
                  <c:v>2493</c:v>
                </c:pt>
                <c:pt idx="48">
                  <c:v>2379</c:v>
                </c:pt>
                <c:pt idx="49">
                  <c:v>2348</c:v>
                </c:pt>
                <c:pt idx="50">
                  <c:v>2009</c:v>
                </c:pt>
                <c:pt idx="51">
                  <c:v>1735</c:v>
                </c:pt>
                <c:pt idx="52">
                  <c:v>2889</c:v>
                </c:pt>
                <c:pt idx="53">
                  <c:v>2749</c:v>
                </c:pt>
                <c:pt idx="54">
                  <c:v>3512</c:v>
                </c:pt>
                <c:pt idx="55">
                  <c:v>3689</c:v>
                </c:pt>
                <c:pt idx="56">
                  <c:v>3755</c:v>
                </c:pt>
                <c:pt idx="57">
                  <c:v>2663</c:v>
                </c:pt>
                <c:pt idx="58">
                  <c:v>2396</c:v>
                </c:pt>
                <c:pt idx="59">
                  <c:v>4014</c:v>
                </c:pt>
                <c:pt idx="60">
                  <c:v>4113</c:v>
                </c:pt>
                <c:pt idx="61">
                  <c:v>4328</c:v>
                </c:pt>
                <c:pt idx="62">
                  <c:v>3865</c:v>
                </c:pt>
                <c:pt idx="63">
                  <c:v>3423</c:v>
                </c:pt>
                <c:pt idx="64">
                  <c:v>2247</c:v>
                </c:pt>
                <c:pt idx="65">
                  <c:v>1506</c:v>
                </c:pt>
                <c:pt idx="66">
                  <c:v>3243</c:v>
                </c:pt>
                <c:pt idx="67">
                  <c:v>2569</c:v>
                </c:pt>
                <c:pt idx="68">
                  <c:v>1775</c:v>
                </c:pt>
                <c:pt idx="69">
                  <c:v>1757</c:v>
                </c:pt>
                <c:pt idx="70">
                  <c:v>1615</c:v>
                </c:pt>
                <c:pt idx="71">
                  <c:v>898</c:v>
                </c:pt>
                <c:pt idx="72">
                  <c:v>809</c:v>
                </c:pt>
                <c:pt idx="73">
                  <c:v>1522</c:v>
                </c:pt>
                <c:pt idx="74">
                  <c:v>1437</c:v>
                </c:pt>
                <c:pt idx="75">
                  <c:v>1297</c:v>
                </c:pt>
                <c:pt idx="76">
                  <c:v>1195</c:v>
                </c:pt>
                <c:pt idx="77">
                  <c:v>1001</c:v>
                </c:pt>
                <c:pt idx="78">
                  <c:v>575</c:v>
                </c:pt>
                <c:pt idx="79">
                  <c:v>387</c:v>
                </c:pt>
                <c:pt idx="80">
                  <c:v>484</c:v>
                </c:pt>
                <c:pt idx="81">
                  <c:v>1047</c:v>
                </c:pt>
                <c:pt idx="82">
                  <c:v>1044</c:v>
                </c:pt>
                <c:pt idx="83">
                  <c:v>1051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B-4ECA-945B-4AF7B42986B0}"/>
            </c:ext>
          </c:extLst>
        </c:ser>
        <c:ser>
          <c:idx val="1"/>
          <c:order val="4"/>
          <c:tx>
            <c:strRef>
              <c:f>'Buen fin (2)'!$E$106</c:f>
              <c:strCache>
                <c:ptCount val="1"/>
                <c:pt idx="0">
                  <c:v>Capacidad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(2)'!$F$104:$CL$104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(2)'!$F$106:$CL$106</c:f>
              <c:numCache>
                <c:formatCode>#,##0</c:formatCode>
                <c:ptCount val="85"/>
                <c:pt idx="0">
                  <c:v>1196</c:v>
                </c:pt>
                <c:pt idx="1">
                  <c:v>607</c:v>
                </c:pt>
                <c:pt idx="2">
                  <c:v>527</c:v>
                </c:pt>
                <c:pt idx="3">
                  <c:v>1196</c:v>
                </c:pt>
                <c:pt idx="4">
                  <c:v>1196</c:v>
                </c:pt>
                <c:pt idx="5">
                  <c:v>1196</c:v>
                </c:pt>
                <c:pt idx="6">
                  <c:v>1196</c:v>
                </c:pt>
                <c:pt idx="7">
                  <c:v>1196</c:v>
                </c:pt>
                <c:pt idx="8">
                  <c:v>638</c:v>
                </c:pt>
                <c:pt idx="9">
                  <c:v>527</c:v>
                </c:pt>
                <c:pt idx="10">
                  <c:v>1196</c:v>
                </c:pt>
                <c:pt idx="11">
                  <c:v>1044</c:v>
                </c:pt>
                <c:pt idx="12">
                  <c:v>1080</c:v>
                </c:pt>
                <c:pt idx="13">
                  <c:v>1170</c:v>
                </c:pt>
                <c:pt idx="14">
                  <c:v>1170</c:v>
                </c:pt>
                <c:pt idx="15">
                  <c:v>643</c:v>
                </c:pt>
                <c:pt idx="16">
                  <c:v>643</c:v>
                </c:pt>
                <c:pt idx="17">
                  <c:v>1170</c:v>
                </c:pt>
                <c:pt idx="18">
                  <c:v>1170</c:v>
                </c:pt>
                <c:pt idx="19">
                  <c:v>1170</c:v>
                </c:pt>
                <c:pt idx="20">
                  <c:v>1728</c:v>
                </c:pt>
                <c:pt idx="21">
                  <c:v>1728</c:v>
                </c:pt>
                <c:pt idx="22">
                  <c:v>955</c:v>
                </c:pt>
                <c:pt idx="23">
                  <c:v>890</c:v>
                </c:pt>
                <c:pt idx="24">
                  <c:v>1728</c:v>
                </c:pt>
                <c:pt idx="25">
                  <c:v>1728</c:v>
                </c:pt>
                <c:pt idx="26">
                  <c:v>1728</c:v>
                </c:pt>
                <c:pt idx="27">
                  <c:v>1728</c:v>
                </c:pt>
                <c:pt idx="28">
                  <c:v>1728</c:v>
                </c:pt>
                <c:pt idx="29">
                  <c:v>917</c:v>
                </c:pt>
                <c:pt idx="30">
                  <c:v>689</c:v>
                </c:pt>
                <c:pt idx="31">
                  <c:v>1909</c:v>
                </c:pt>
                <c:pt idx="32">
                  <c:v>1909</c:v>
                </c:pt>
                <c:pt idx="33">
                  <c:v>1766</c:v>
                </c:pt>
                <c:pt idx="34">
                  <c:v>1766</c:v>
                </c:pt>
                <c:pt idx="35">
                  <c:v>1766</c:v>
                </c:pt>
                <c:pt idx="36">
                  <c:v>791.125</c:v>
                </c:pt>
                <c:pt idx="37">
                  <c:v>750</c:v>
                </c:pt>
                <c:pt idx="38">
                  <c:v>1125.25</c:v>
                </c:pt>
                <c:pt idx="39">
                  <c:v>1766</c:v>
                </c:pt>
                <c:pt idx="40">
                  <c:v>1766</c:v>
                </c:pt>
                <c:pt idx="41">
                  <c:v>1766</c:v>
                </c:pt>
                <c:pt idx="42">
                  <c:v>1766</c:v>
                </c:pt>
                <c:pt idx="43">
                  <c:v>941</c:v>
                </c:pt>
                <c:pt idx="44">
                  <c:v>892</c:v>
                </c:pt>
                <c:pt idx="45">
                  <c:v>1329</c:v>
                </c:pt>
                <c:pt idx="46">
                  <c:v>1547</c:v>
                </c:pt>
                <c:pt idx="47">
                  <c:v>1547</c:v>
                </c:pt>
                <c:pt idx="48">
                  <c:v>1547</c:v>
                </c:pt>
                <c:pt idx="49">
                  <c:v>1547</c:v>
                </c:pt>
                <c:pt idx="50">
                  <c:v>737</c:v>
                </c:pt>
                <c:pt idx="51">
                  <c:v>673</c:v>
                </c:pt>
                <c:pt idx="52">
                  <c:v>1547</c:v>
                </c:pt>
                <c:pt idx="53">
                  <c:v>1508</c:v>
                </c:pt>
                <c:pt idx="54">
                  <c:v>1508</c:v>
                </c:pt>
                <c:pt idx="55">
                  <c:v>1508</c:v>
                </c:pt>
                <c:pt idx="56">
                  <c:v>1508</c:v>
                </c:pt>
                <c:pt idx="57">
                  <c:v>736</c:v>
                </c:pt>
                <c:pt idx="58">
                  <c:v>611</c:v>
                </c:pt>
                <c:pt idx="59">
                  <c:v>1508</c:v>
                </c:pt>
                <c:pt idx="60">
                  <c:v>1454</c:v>
                </c:pt>
                <c:pt idx="61">
                  <c:v>1598</c:v>
                </c:pt>
                <c:pt idx="62">
                  <c:v>1598</c:v>
                </c:pt>
                <c:pt idx="63">
                  <c:v>1598</c:v>
                </c:pt>
                <c:pt idx="64">
                  <c:v>755</c:v>
                </c:pt>
                <c:pt idx="65">
                  <c:v>689</c:v>
                </c:pt>
                <c:pt idx="66">
                  <c:v>1598</c:v>
                </c:pt>
                <c:pt idx="67">
                  <c:v>1598</c:v>
                </c:pt>
                <c:pt idx="68">
                  <c:v>1598</c:v>
                </c:pt>
                <c:pt idx="69">
                  <c:v>1598</c:v>
                </c:pt>
                <c:pt idx="70">
                  <c:v>1598</c:v>
                </c:pt>
                <c:pt idx="71">
                  <c:v>789</c:v>
                </c:pt>
                <c:pt idx="72">
                  <c:v>746</c:v>
                </c:pt>
                <c:pt idx="73">
                  <c:v>1598</c:v>
                </c:pt>
                <c:pt idx="74">
                  <c:v>1598</c:v>
                </c:pt>
                <c:pt idx="75">
                  <c:v>1598</c:v>
                </c:pt>
                <c:pt idx="76">
                  <c:v>1598</c:v>
                </c:pt>
                <c:pt idx="77">
                  <c:v>1598</c:v>
                </c:pt>
                <c:pt idx="78">
                  <c:v>760</c:v>
                </c:pt>
                <c:pt idx="79">
                  <c:v>591</c:v>
                </c:pt>
                <c:pt idx="80">
                  <c:v>550</c:v>
                </c:pt>
                <c:pt idx="81">
                  <c:v>1406</c:v>
                </c:pt>
                <c:pt idx="82">
                  <c:v>1406</c:v>
                </c:pt>
                <c:pt idx="83">
                  <c:v>1406</c:v>
                </c:pt>
                <c:pt idx="84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B-4ECA-945B-4AF7B4298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2"/>
          <c:order val="5"/>
          <c:tx>
            <c:strRef>
              <c:f>'Buen fin (2)'!$E$114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'Buen fin (2)'!$F$104:$CL$104</c:f>
              <c:numCache>
                <c:formatCode>d\-mmm</c:formatCode>
                <c:ptCount val="85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</c:numCache>
            </c:numRef>
          </c:cat>
          <c:val>
            <c:numRef>
              <c:f>'Buen fin (2)'!$F$114:$CL$114</c:f>
              <c:numCache>
                <c:formatCode>#,##0</c:formatCode>
                <c:ptCount val="85"/>
                <c:pt idx="0">
                  <c:v>320</c:v>
                </c:pt>
                <c:pt idx="1">
                  <c:v>588</c:v>
                </c:pt>
                <c:pt idx="2">
                  <c:v>603</c:v>
                </c:pt>
                <c:pt idx="3">
                  <c:v>918</c:v>
                </c:pt>
                <c:pt idx="4">
                  <c:v>1169</c:v>
                </c:pt>
                <c:pt idx="5">
                  <c:v>1191</c:v>
                </c:pt>
                <c:pt idx="6">
                  <c:v>1298</c:v>
                </c:pt>
                <c:pt idx="7">
                  <c:v>1369</c:v>
                </c:pt>
                <c:pt idx="8">
                  <c:v>1000</c:v>
                </c:pt>
                <c:pt idx="9">
                  <c:v>463</c:v>
                </c:pt>
                <c:pt idx="10">
                  <c:v>1214</c:v>
                </c:pt>
                <c:pt idx="11">
                  <c:v>1097</c:v>
                </c:pt>
                <c:pt idx="12">
                  <c:v>1187</c:v>
                </c:pt>
                <c:pt idx="13">
                  <c:v>1164</c:v>
                </c:pt>
                <c:pt idx="14">
                  <c:v>957</c:v>
                </c:pt>
                <c:pt idx="15">
                  <c:v>473</c:v>
                </c:pt>
                <c:pt idx="16">
                  <c:v>692</c:v>
                </c:pt>
                <c:pt idx="17">
                  <c:v>1210</c:v>
                </c:pt>
                <c:pt idx="18">
                  <c:v>1143</c:v>
                </c:pt>
                <c:pt idx="19">
                  <c:v>1137</c:v>
                </c:pt>
                <c:pt idx="20">
                  <c:v>1598</c:v>
                </c:pt>
                <c:pt idx="21">
                  <c:v>1759</c:v>
                </c:pt>
                <c:pt idx="22">
                  <c:v>766</c:v>
                </c:pt>
                <c:pt idx="23">
                  <c:v>1121</c:v>
                </c:pt>
                <c:pt idx="24">
                  <c:v>1808</c:v>
                </c:pt>
                <c:pt idx="25">
                  <c:v>1759</c:v>
                </c:pt>
                <c:pt idx="26">
                  <c:v>1943</c:v>
                </c:pt>
                <c:pt idx="27">
                  <c:v>1790</c:v>
                </c:pt>
                <c:pt idx="28">
                  <c:v>1658</c:v>
                </c:pt>
                <c:pt idx="29">
                  <c:v>906</c:v>
                </c:pt>
                <c:pt idx="30">
                  <c:v>647</c:v>
                </c:pt>
                <c:pt idx="31">
                  <c:v>1642</c:v>
                </c:pt>
                <c:pt idx="32">
                  <c:v>1627</c:v>
                </c:pt>
                <c:pt idx="33">
                  <c:v>1415</c:v>
                </c:pt>
                <c:pt idx="34">
                  <c:v>1626</c:v>
                </c:pt>
                <c:pt idx="35">
                  <c:v>1636</c:v>
                </c:pt>
                <c:pt idx="36">
                  <c:v>813</c:v>
                </c:pt>
                <c:pt idx="37">
                  <c:v>834</c:v>
                </c:pt>
                <c:pt idx="38">
                  <c:v>1102</c:v>
                </c:pt>
                <c:pt idx="39">
                  <c:v>1657</c:v>
                </c:pt>
                <c:pt idx="40">
                  <c:v>1870</c:v>
                </c:pt>
                <c:pt idx="41">
                  <c:v>1858</c:v>
                </c:pt>
                <c:pt idx="42">
                  <c:v>1961</c:v>
                </c:pt>
                <c:pt idx="43">
                  <c:v>1008</c:v>
                </c:pt>
                <c:pt idx="44">
                  <c:v>999</c:v>
                </c:pt>
                <c:pt idx="45">
                  <c:v>861</c:v>
                </c:pt>
                <c:pt idx="46">
                  <c:v>1643</c:v>
                </c:pt>
                <c:pt idx="47">
                  <c:v>1661</c:v>
                </c:pt>
                <c:pt idx="48">
                  <c:v>1578</c:v>
                </c:pt>
                <c:pt idx="49">
                  <c:v>1666</c:v>
                </c:pt>
                <c:pt idx="50">
                  <c:v>841</c:v>
                </c:pt>
                <c:pt idx="51">
                  <c:v>664</c:v>
                </c:pt>
                <c:pt idx="52">
                  <c:v>1636</c:v>
                </c:pt>
                <c:pt idx="53">
                  <c:v>1607</c:v>
                </c:pt>
                <c:pt idx="54">
                  <c:v>1583</c:v>
                </c:pt>
                <c:pt idx="55">
                  <c:v>1661</c:v>
                </c:pt>
                <c:pt idx="56">
                  <c:v>1454</c:v>
                </c:pt>
                <c:pt idx="57">
                  <c:v>776</c:v>
                </c:pt>
                <c:pt idx="58">
                  <c:v>591</c:v>
                </c:pt>
                <c:pt idx="59">
                  <c:v>1431</c:v>
                </c:pt>
                <c:pt idx="60">
                  <c:v>1476</c:v>
                </c:pt>
                <c:pt idx="61">
                  <c:v>1467</c:v>
                </c:pt>
                <c:pt idx="62">
                  <c:v>1627</c:v>
                </c:pt>
                <c:pt idx="63">
                  <c:v>1620</c:v>
                </c:pt>
                <c:pt idx="64">
                  <c:v>995</c:v>
                </c:pt>
                <c:pt idx="65">
                  <c:v>624</c:v>
                </c:pt>
                <c:pt idx="66">
                  <c:v>1707</c:v>
                </c:pt>
                <c:pt idx="67">
                  <c:v>1707</c:v>
                </c:pt>
                <c:pt idx="68">
                  <c:v>1509</c:v>
                </c:pt>
                <c:pt idx="69">
                  <c:v>1180</c:v>
                </c:pt>
                <c:pt idx="70">
                  <c:v>1505</c:v>
                </c:pt>
                <c:pt idx="71">
                  <c:v>514</c:v>
                </c:pt>
                <c:pt idx="72">
                  <c:v>599</c:v>
                </c:pt>
                <c:pt idx="73">
                  <c:v>1243</c:v>
                </c:pt>
                <c:pt idx="74">
                  <c:v>1349</c:v>
                </c:pt>
                <c:pt idx="75">
                  <c:v>1577</c:v>
                </c:pt>
                <c:pt idx="76">
                  <c:v>1275</c:v>
                </c:pt>
                <c:pt idx="77">
                  <c:v>1085</c:v>
                </c:pt>
                <c:pt idx="78">
                  <c:v>645</c:v>
                </c:pt>
                <c:pt idx="79">
                  <c:v>431</c:v>
                </c:pt>
                <c:pt idx="80">
                  <c:v>593</c:v>
                </c:pt>
                <c:pt idx="81">
                  <c:v>1645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5B-4ECA-945B-4AF7B4298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TAF-AXO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'Buen fin (2)'!$E$11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(2)'!$F$10:$CL$10</c15:sqref>
                  </c15:fullRef>
                </c:ext>
              </c:extLst>
              <c:f>'Buen fin (2)'!$BI$10:$CI$10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(2)'!$F$11:$CL$11</c15:sqref>
                  </c15:fullRef>
                </c:ext>
              </c:extLst>
              <c:f>'Buen fin (2)'!$BI$11:$CI$11</c:f>
              <c:numCache>
                <c:formatCode>#,##0</c:formatCode>
                <c:ptCount val="27"/>
                <c:pt idx="0">
                  <c:v>2452</c:v>
                </c:pt>
                <c:pt idx="1">
                  <c:v>2147</c:v>
                </c:pt>
                <c:pt idx="2">
                  <c:v>1090</c:v>
                </c:pt>
                <c:pt idx="3">
                  <c:v>709</c:v>
                </c:pt>
                <c:pt idx="4">
                  <c:v>3193</c:v>
                </c:pt>
                <c:pt idx="5">
                  <c:v>3019</c:v>
                </c:pt>
                <c:pt idx="6">
                  <c:v>2646</c:v>
                </c:pt>
                <c:pt idx="7">
                  <c:v>2167</c:v>
                </c:pt>
                <c:pt idx="8">
                  <c:v>1892</c:v>
                </c:pt>
                <c:pt idx="9">
                  <c:v>918</c:v>
                </c:pt>
                <c:pt idx="10">
                  <c:v>568</c:v>
                </c:pt>
                <c:pt idx="11">
                  <c:v>2441</c:v>
                </c:pt>
                <c:pt idx="12">
                  <c:v>2220</c:v>
                </c:pt>
                <c:pt idx="13">
                  <c:v>1330</c:v>
                </c:pt>
                <c:pt idx="14">
                  <c:v>1320</c:v>
                </c:pt>
                <c:pt idx="15">
                  <c:v>920</c:v>
                </c:pt>
                <c:pt idx="16">
                  <c:v>518</c:v>
                </c:pt>
                <c:pt idx="17">
                  <c:v>359</c:v>
                </c:pt>
                <c:pt idx="18">
                  <c:v>1244</c:v>
                </c:pt>
                <c:pt idx="19">
                  <c:v>1193</c:v>
                </c:pt>
                <c:pt idx="20">
                  <c:v>1206</c:v>
                </c:pt>
                <c:pt idx="21">
                  <c:v>1038</c:v>
                </c:pt>
                <c:pt idx="22">
                  <c:v>868</c:v>
                </c:pt>
                <c:pt idx="23">
                  <c:v>576</c:v>
                </c:pt>
                <c:pt idx="24">
                  <c:v>399</c:v>
                </c:pt>
                <c:pt idx="25">
                  <c:v>613</c:v>
                </c:pt>
                <c:pt idx="26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8E1-8195-846967E49362}"/>
            </c:ext>
          </c:extLst>
        </c:ser>
        <c:ser>
          <c:idx val="4"/>
          <c:order val="2"/>
          <c:tx>
            <c:strRef>
              <c:f>'Buen fin (2)'!$E$15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(2)'!$F$10:$CL$10</c15:sqref>
                  </c15:fullRef>
                </c:ext>
              </c:extLst>
              <c:f>'Buen fin (2)'!$BI$10:$CI$10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(2)'!$F$15:$CL$15</c15:sqref>
                  </c15:fullRef>
                </c:ext>
              </c:extLst>
              <c:f>'Buen fin (2)'!$BI$15:$CI$15</c:f>
              <c:numCache>
                <c:formatCode>#,##0</c:formatCode>
                <c:ptCount val="27"/>
                <c:pt idx="0">
                  <c:v>1783</c:v>
                </c:pt>
                <c:pt idx="1">
                  <c:v>1943</c:v>
                </c:pt>
                <c:pt idx="2">
                  <c:v>1635</c:v>
                </c:pt>
                <c:pt idx="3">
                  <c:v>1728</c:v>
                </c:pt>
                <c:pt idx="4">
                  <c:v>1848</c:v>
                </c:pt>
                <c:pt idx="5">
                  <c:v>2089</c:v>
                </c:pt>
                <c:pt idx="6">
                  <c:v>2055</c:v>
                </c:pt>
                <c:pt idx="7">
                  <c:v>1906</c:v>
                </c:pt>
                <c:pt idx="8">
                  <c:v>1470</c:v>
                </c:pt>
                <c:pt idx="9">
                  <c:v>1120</c:v>
                </c:pt>
                <c:pt idx="10">
                  <c:v>847</c:v>
                </c:pt>
                <c:pt idx="11">
                  <c:v>669</c:v>
                </c:pt>
                <c:pt idx="12">
                  <c:v>453</c:v>
                </c:pt>
                <c:pt idx="13">
                  <c:v>108</c:v>
                </c:pt>
                <c:pt idx="14">
                  <c:v>193</c:v>
                </c:pt>
                <c:pt idx="15">
                  <c:v>246</c:v>
                </c:pt>
                <c:pt idx="16">
                  <c:v>258</c:v>
                </c:pt>
                <c:pt idx="17">
                  <c:v>406</c:v>
                </c:pt>
                <c:pt idx="18">
                  <c:v>226</c:v>
                </c:pt>
                <c:pt idx="19">
                  <c:v>205</c:v>
                </c:pt>
                <c:pt idx="20">
                  <c:v>223</c:v>
                </c:pt>
                <c:pt idx="21">
                  <c:v>203</c:v>
                </c:pt>
                <c:pt idx="22">
                  <c:v>76</c:v>
                </c:pt>
                <c:pt idx="23">
                  <c:v>107</c:v>
                </c:pt>
                <c:pt idx="24">
                  <c:v>48</c:v>
                </c:pt>
                <c:pt idx="25">
                  <c:v>85</c:v>
                </c:pt>
                <c:pt idx="2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8E1-8195-846967E49362}"/>
            </c:ext>
          </c:extLst>
        </c:ser>
        <c:ser>
          <c:idx val="5"/>
          <c:order val="3"/>
          <c:tx>
            <c:strRef>
              <c:f>'Buen fin (2)'!$E$18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(2)'!$F$10:$CL$10</c15:sqref>
                  </c15:fullRef>
                </c:ext>
              </c:extLst>
              <c:f>'Buen fin (2)'!$BI$10:$CI$10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(2)'!$F$18:$CL$18</c15:sqref>
                  </c15:fullRef>
                </c:ext>
              </c:extLst>
              <c:f>'Buen fin (2)'!$BI$18:$CI$18</c:f>
              <c:numCache>
                <c:formatCode>#,##0</c:formatCode>
                <c:ptCount val="27"/>
                <c:pt idx="0">
                  <c:v>4115</c:v>
                </c:pt>
                <c:pt idx="1">
                  <c:v>4183</c:v>
                </c:pt>
                <c:pt idx="2">
                  <c:v>2973</c:v>
                </c:pt>
                <c:pt idx="3">
                  <c:v>2582</c:v>
                </c:pt>
                <c:pt idx="4">
                  <c:v>4453</c:v>
                </c:pt>
                <c:pt idx="5">
                  <c:v>4528</c:v>
                </c:pt>
                <c:pt idx="6">
                  <c:v>4713</c:v>
                </c:pt>
                <c:pt idx="7">
                  <c:v>4218</c:v>
                </c:pt>
                <c:pt idx="8">
                  <c:v>3742</c:v>
                </c:pt>
                <c:pt idx="9">
                  <c:v>2498</c:v>
                </c:pt>
                <c:pt idx="10">
                  <c:v>1687</c:v>
                </c:pt>
                <c:pt idx="11">
                  <c:v>3629</c:v>
                </c:pt>
                <c:pt idx="12">
                  <c:v>2994</c:v>
                </c:pt>
                <c:pt idx="13">
                  <c:v>2021</c:v>
                </c:pt>
                <c:pt idx="14">
                  <c:v>2015</c:v>
                </c:pt>
                <c:pt idx="15">
                  <c:v>1859</c:v>
                </c:pt>
                <c:pt idx="16">
                  <c:v>1098</c:v>
                </c:pt>
                <c:pt idx="17">
                  <c:v>970</c:v>
                </c:pt>
                <c:pt idx="18">
                  <c:v>1826</c:v>
                </c:pt>
                <c:pt idx="19">
                  <c:v>1720</c:v>
                </c:pt>
                <c:pt idx="20">
                  <c:v>1582</c:v>
                </c:pt>
                <c:pt idx="21">
                  <c:v>1457</c:v>
                </c:pt>
                <c:pt idx="22">
                  <c:v>944</c:v>
                </c:pt>
                <c:pt idx="23">
                  <c:v>683</c:v>
                </c:pt>
                <c:pt idx="24">
                  <c:v>447</c:v>
                </c:pt>
                <c:pt idx="25">
                  <c:v>698</c:v>
                </c:pt>
                <c:pt idx="26">
                  <c:v>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8E1-8195-846967E4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3"/>
          <c:order val="0"/>
          <c:tx>
            <c:strRef>
              <c:f>'Buen fin (2)'!$E$17</c:f>
              <c:strCache>
                <c:ptCount val="1"/>
                <c:pt idx="0">
                  <c:v>Pronóstico</c:v>
                </c:pt>
              </c:strCache>
            </c:strRef>
          </c:tx>
          <c:spPr>
            <a:ln w="34925" cap="rnd">
              <a:solidFill>
                <a:schemeClr val="accent3">
                  <a:tint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(2)'!$F$10:$CL$10</c15:sqref>
                  </c15:fullRef>
                </c:ext>
              </c:extLst>
              <c:f>'Buen fin (2)'!$BI$10:$CI$10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(2)'!$F$17:$CL$17</c15:sqref>
                  </c15:fullRef>
                </c:ext>
              </c:extLst>
              <c:f>'Buen fin (2)'!$BI$17:$CI$17</c:f>
              <c:numCache>
                <c:formatCode>#,##0</c:formatCode>
                <c:ptCount val="27"/>
                <c:pt idx="0">
                  <c:v>2332</c:v>
                </c:pt>
                <c:pt idx="1">
                  <c:v>2240</c:v>
                </c:pt>
                <c:pt idx="2">
                  <c:v>1338</c:v>
                </c:pt>
                <c:pt idx="3">
                  <c:v>854</c:v>
                </c:pt>
                <c:pt idx="4">
                  <c:v>2605</c:v>
                </c:pt>
                <c:pt idx="5">
                  <c:v>2439</c:v>
                </c:pt>
                <c:pt idx="6">
                  <c:v>2658</c:v>
                </c:pt>
                <c:pt idx="7">
                  <c:v>2312</c:v>
                </c:pt>
                <c:pt idx="8">
                  <c:v>2272</c:v>
                </c:pt>
                <c:pt idx="9">
                  <c:v>1378</c:v>
                </c:pt>
                <c:pt idx="10">
                  <c:v>840</c:v>
                </c:pt>
                <c:pt idx="11">
                  <c:v>2960</c:v>
                </c:pt>
                <c:pt idx="12">
                  <c:v>2541</c:v>
                </c:pt>
                <c:pt idx="13">
                  <c:v>1913</c:v>
                </c:pt>
                <c:pt idx="14">
                  <c:v>1822</c:v>
                </c:pt>
                <c:pt idx="15">
                  <c:v>1613</c:v>
                </c:pt>
                <c:pt idx="16">
                  <c:v>840</c:v>
                </c:pt>
                <c:pt idx="17">
                  <c:v>564</c:v>
                </c:pt>
                <c:pt idx="18">
                  <c:v>1600</c:v>
                </c:pt>
                <c:pt idx="19">
                  <c:v>1515</c:v>
                </c:pt>
                <c:pt idx="20">
                  <c:v>1359</c:v>
                </c:pt>
                <c:pt idx="21">
                  <c:v>1254</c:v>
                </c:pt>
                <c:pt idx="22">
                  <c:v>1153</c:v>
                </c:pt>
                <c:pt idx="23">
                  <c:v>670</c:v>
                </c:pt>
                <c:pt idx="24">
                  <c:v>445</c:v>
                </c:pt>
                <c:pt idx="25">
                  <c:v>558</c:v>
                </c:pt>
                <c:pt idx="26">
                  <c:v>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A-48E1-8195-846967E49362}"/>
            </c:ext>
          </c:extLst>
        </c:ser>
        <c:ser>
          <c:idx val="1"/>
          <c:order val="4"/>
          <c:tx>
            <c:strRef>
              <c:f>'Buen fin (2)'!$E$12</c:f>
              <c:strCache>
                <c:ptCount val="1"/>
                <c:pt idx="0">
                  <c:v>Capacidad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(2)'!$F$10:$CL$10</c15:sqref>
                  </c15:fullRef>
                </c:ext>
              </c:extLst>
              <c:f>'Buen fin (2)'!$BI$10:$CI$10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(2)'!$F$12:$CL$12</c15:sqref>
                  </c15:fullRef>
                </c:ext>
              </c:extLst>
              <c:f>'Buen fin (2)'!$BI$12:$CI$12</c:f>
              <c:numCache>
                <c:formatCode>#,##0</c:formatCode>
                <c:ptCount val="27"/>
                <c:pt idx="0">
                  <c:v>1881</c:v>
                </c:pt>
                <c:pt idx="1">
                  <c:v>1881</c:v>
                </c:pt>
                <c:pt idx="2">
                  <c:v>956</c:v>
                </c:pt>
                <c:pt idx="3">
                  <c:v>803</c:v>
                </c:pt>
                <c:pt idx="4">
                  <c:v>1881</c:v>
                </c:pt>
                <c:pt idx="5">
                  <c:v>1827</c:v>
                </c:pt>
                <c:pt idx="6">
                  <c:v>1971</c:v>
                </c:pt>
                <c:pt idx="7">
                  <c:v>1971</c:v>
                </c:pt>
                <c:pt idx="8">
                  <c:v>1971</c:v>
                </c:pt>
                <c:pt idx="9">
                  <c:v>1013</c:v>
                </c:pt>
                <c:pt idx="10">
                  <c:v>918</c:v>
                </c:pt>
                <c:pt idx="11">
                  <c:v>1971</c:v>
                </c:pt>
                <c:pt idx="12">
                  <c:v>1971</c:v>
                </c:pt>
                <c:pt idx="13">
                  <c:v>1971</c:v>
                </c:pt>
                <c:pt idx="14">
                  <c:v>1971</c:v>
                </c:pt>
                <c:pt idx="15">
                  <c:v>1971</c:v>
                </c:pt>
                <c:pt idx="16">
                  <c:v>956</c:v>
                </c:pt>
                <c:pt idx="17">
                  <c:v>932</c:v>
                </c:pt>
                <c:pt idx="18">
                  <c:v>1971</c:v>
                </c:pt>
                <c:pt idx="19">
                  <c:v>1971</c:v>
                </c:pt>
                <c:pt idx="20">
                  <c:v>1971</c:v>
                </c:pt>
                <c:pt idx="21">
                  <c:v>1971</c:v>
                </c:pt>
                <c:pt idx="22">
                  <c:v>1971</c:v>
                </c:pt>
                <c:pt idx="23">
                  <c:v>969</c:v>
                </c:pt>
                <c:pt idx="24">
                  <c:v>762</c:v>
                </c:pt>
                <c:pt idx="25">
                  <c:v>759</c:v>
                </c:pt>
                <c:pt idx="26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A-48E1-8195-846967E49362}"/>
            </c:ext>
          </c:extLst>
        </c:ser>
        <c:ser>
          <c:idx val="2"/>
          <c:order val="5"/>
          <c:tx>
            <c:strRef>
              <c:f>'Buen fin (2)'!$E$20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(2)'!$F$10:$CL$10</c15:sqref>
                  </c15:fullRef>
                </c:ext>
              </c:extLst>
              <c:f>'Buen fin (2)'!$BI$10:$CI$10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(2)'!$F$20:$CL$20</c15:sqref>
                  </c15:fullRef>
                </c:ext>
              </c:extLst>
              <c:f>'Buen fin (2)'!$BI$20:$CI$20</c:f>
              <c:numCache>
                <c:formatCode>#,##0</c:formatCode>
                <c:ptCount val="27"/>
                <c:pt idx="0">
                  <c:v>1969</c:v>
                </c:pt>
                <c:pt idx="1">
                  <c:v>1795</c:v>
                </c:pt>
                <c:pt idx="2">
                  <c:v>1022</c:v>
                </c:pt>
                <c:pt idx="3">
                  <c:v>685</c:v>
                </c:pt>
                <c:pt idx="4">
                  <c:v>1788</c:v>
                </c:pt>
                <c:pt idx="5">
                  <c:v>1792</c:v>
                </c:pt>
                <c:pt idx="6">
                  <c:v>1774</c:v>
                </c:pt>
                <c:pt idx="7">
                  <c:v>1958</c:v>
                </c:pt>
                <c:pt idx="8">
                  <c:v>1916</c:v>
                </c:pt>
                <c:pt idx="9">
                  <c:v>1136</c:v>
                </c:pt>
                <c:pt idx="10">
                  <c:v>784</c:v>
                </c:pt>
                <c:pt idx="11">
                  <c:v>1907</c:v>
                </c:pt>
                <c:pt idx="12">
                  <c:v>2097</c:v>
                </c:pt>
                <c:pt idx="13">
                  <c:v>1803</c:v>
                </c:pt>
                <c:pt idx="14">
                  <c:v>1461</c:v>
                </c:pt>
                <c:pt idx="15">
                  <c:v>1810</c:v>
                </c:pt>
                <c:pt idx="16">
                  <c:v>629</c:v>
                </c:pt>
                <c:pt idx="17">
                  <c:v>728</c:v>
                </c:pt>
                <c:pt idx="18">
                  <c:v>1523</c:v>
                </c:pt>
                <c:pt idx="19">
                  <c:v>1665</c:v>
                </c:pt>
                <c:pt idx="20">
                  <c:v>1881</c:v>
                </c:pt>
                <c:pt idx="21">
                  <c:v>1608</c:v>
                </c:pt>
                <c:pt idx="22">
                  <c:v>1339</c:v>
                </c:pt>
                <c:pt idx="23">
                  <c:v>872</c:v>
                </c:pt>
                <c:pt idx="24">
                  <c:v>554</c:v>
                </c:pt>
                <c:pt idx="25">
                  <c:v>755</c:v>
                </c:pt>
                <c:pt idx="26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9A-48E1-8195-846967E4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TAF-Athletics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'Buen fin (2)'!$E$54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(2)'!$F$53:$CL$53</c15:sqref>
                  </c15:fullRef>
                </c:ext>
              </c:extLst>
              <c:f>'Buen fin (2)'!$BI$53:$CI$53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(2)'!$F$54:$CL$54</c15:sqref>
                  </c15:fullRef>
                </c:ext>
              </c:extLst>
              <c:f>'Buen fin (2)'!$BI$54:$CI$54</c:f>
              <c:numCache>
                <c:formatCode>#,##0</c:formatCode>
                <c:ptCount val="27"/>
                <c:pt idx="0">
                  <c:v>285</c:v>
                </c:pt>
                <c:pt idx="1">
                  <c:v>243</c:v>
                </c:pt>
                <c:pt idx="2">
                  <c:v>165</c:v>
                </c:pt>
                <c:pt idx="3">
                  <c:v>124</c:v>
                </c:pt>
                <c:pt idx="4">
                  <c:v>311</c:v>
                </c:pt>
                <c:pt idx="5">
                  <c:v>353</c:v>
                </c:pt>
                <c:pt idx="6">
                  <c:v>330</c:v>
                </c:pt>
                <c:pt idx="7">
                  <c:v>323</c:v>
                </c:pt>
                <c:pt idx="8">
                  <c:v>310</c:v>
                </c:pt>
                <c:pt idx="9">
                  <c:v>178</c:v>
                </c:pt>
                <c:pt idx="10">
                  <c:v>94</c:v>
                </c:pt>
                <c:pt idx="11">
                  <c:v>278</c:v>
                </c:pt>
                <c:pt idx="12">
                  <c:v>285</c:v>
                </c:pt>
                <c:pt idx="13">
                  <c:v>206</c:v>
                </c:pt>
                <c:pt idx="14">
                  <c:v>214</c:v>
                </c:pt>
                <c:pt idx="15">
                  <c:v>192</c:v>
                </c:pt>
                <c:pt idx="16">
                  <c:v>149</c:v>
                </c:pt>
                <c:pt idx="17">
                  <c:v>84</c:v>
                </c:pt>
                <c:pt idx="18">
                  <c:v>259</c:v>
                </c:pt>
                <c:pt idx="19">
                  <c:v>245</c:v>
                </c:pt>
                <c:pt idx="20">
                  <c:v>232</c:v>
                </c:pt>
                <c:pt idx="21">
                  <c:v>208</c:v>
                </c:pt>
                <c:pt idx="22">
                  <c:v>193</c:v>
                </c:pt>
                <c:pt idx="23">
                  <c:v>180</c:v>
                </c:pt>
                <c:pt idx="24">
                  <c:v>89</c:v>
                </c:pt>
                <c:pt idx="25">
                  <c:v>168</c:v>
                </c:pt>
                <c:pt idx="26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692-A929-FB12E043A11D}"/>
            </c:ext>
          </c:extLst>
        </c:ser>
        <c:ser>
          <c:idx val="4"/>
          <c:order val="2"/>
          <c:tx>
            <c:strRef>
              <c:f>'Buen fin (2)'!$E$58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(2)'!$F$53:$CL$53</c15:sqref>
                  </c15:fullRef>
                </c:ext>
              </c:extLst>
              <c:f>'Buen fin (2)'!$BI$53:$CI$53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(2)'!$F$58:$CL$58</c15:sqref>
                  </c15:fullRef>
                </c:ext>
              </c:extLst>
              <c:f>'Buen fin (2)'!$BI$58:$CI$58</c:f>
              <c:numCache>
                <c:formatCode>#,##0</c:formatCode>
                <c:ptCount val="27"/>
                <c:pt idx="0">
                  <c:v>136</c:v>
                </c:pt>
                <c:pt idx="1">
                  <c:v>150</c:v>
                </c:pt>
                <c:pt idx="2">
                  <c:v>73</c:v>
                </c:pt>
                <c:pt idx="3">
                  <c:v>28</c:v>
                </c:pt>
                <c:pt idx="4">
                  <c:v>64</c:v>
                </c:pt>
                <c:pt idx="5">
                  <c:v>73</c:v>
                </c:pt>
                <c:pt idx="6">
                  <c:v>66</c:v>
                </c:pt>
                <c:pt idx="7">
                  <c:v>83</c:v>
                </c:pt>
                <c:pt idx="8">
                  <c:v>70</c:v>
                </c:pt>
                <c:pt idx="9">
                  <c:v>74</c:v>
                </c:pt>
                <c:pt idx="10">
                  <c:v>68</c:v>
                </c:pt>
                <c:pt idx="11">
                  <c:v>29</c:v>
                </c:pt>
                <c:pt idx="12">
                  <c:v>111</c:v>
                </c:pt>
                <c:pt idx="13">
                  <c:v>6</c:v>
                </c:pt>
                <c:pt idx="14">
                  <c:v>14</c:v>
                </c:pt>
                <c:pt idx="15">
                  <c:v>45</c:v>
                </c:pt>
                <c:pt idx="16">
                  <c:v>55</c:v>
                </c:pt>
                <c:pt idx="17">
                  <c:v>82</c:v>
                </c:pt>
                <c:pt idx="18">
                  <c:v>47</c:v>
                </c:pt>
                <c:pt idx="19">
                  <c:v>36</c:v>
                </c:pt>
                <c:pt idx="20">
                  <c:v>44</c:v>
                </c:pt>
                <c:pt idx="21">
                  <c:v>40</c:v>
                </c:pt>
                <c:pt idx="22">
                  <c:v>18</c:v>
                </c:pt>
                <c:pt idx="23">
                  <c:v>40</c:v>
                </c:pt>
                <c:pt idx="24">
                  <c:v>7</c:v>
                </c:pt>
                <c:pt idx="25">
                  <c:v>5</c:v>
                </c:pt>
                <c:pt idx="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692-A929-FB12E043A11D}"/>
            </c:ext>
          </c:extLst>
        </c:ser>
        <c:ser>
          <c:idx val="5"/>
          <c:order val="3"/>
          <c:tx>
            <c:strRef>
              <c:f>'Buen fin (2)'!$E$61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(2)'!$F$53:$CL$53</c15:sqref>
                  </c15:fullRef>
                </c:ext>
              </c:extLst>
              <c:f>'Buen fin (2)'!$BI$53:$CI$53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(2)'!$F$61:$CL$61</c15:sqref>
                  </c15:fullRef>
                </c:ext>
              </c:extLst>
              <c:f>'Buen fin (2)'!$BI$61:$CI$61</c:f>
              <c:numCache>
                <c:formatCode>#,##0</c:formatCode>
                <c:ptCount val="27"/>
                <c:pt idx="0">
                  <c:v>426</c:v>
                </c:pt>
                <c:pt idx="1">
                  <c:v>428</c:v>
                </c:pt>
                <c:pt idx="2">
                  <c:v>310</c:v>
                </c:pt>
                <c:pt idx="3">
                  <c:v>186</c:v>
                </c:pt>
                <c:pt idx="4">
                  <c:v>439</c:v>
                </c:pt>
                <c:pt idx="5">
                  <c:v>415</c:v>
                </c:pt>
                <c:pt idx="6">
                  <c:v>385</c:v>
                </c:pt>
                <c:pt idx="7">
                  <c:v>353</c:v>
                </c:pt>
                <c:pt idx="8">
                  <c:v>319</c:v>
                </c:pt>
                <c:pt idx="9">
                  <c:v>251</c:v>
                </c:pt>
                <c:pt idx="10">
                  <c:v>181</c:v>
                </c:pt>
                <c:pt idx="11">
                  <c:v>386</c:v>
                </c:pt>
                <c:pt idx="12">
                  <c:v>425</c:v>
                </c:pt>
                <c:pt idx="13">
                  <c:v>246</c:v>
                </c:pt>
                <c:pt idx="14">
                  <c:v>258</c:v>
                </c:pt>
                <c:pt idx="15">
                  <c:v>244</c:v>
                </c:pt>
                <c:pt idx="16">
                  <c:v>200</c:v>
                </c:pt>
                <c:pt idx="17">
                  <c:v>161</c:v>
                </c:pt>
                <c:pt idx="18">
                  <c:v>304</c:v>
                </c:pt>
                <c:pt idx="19">
                  <c:v>283</c:v>
                </c:pt>
                <c:pt idx="20">
                  <c:v>285</c:v>
                </c:pt>
                <c:pt idx="21">
                  <c:v>262</c:v>
                </c:pt>
                <c:pt idx="22">
                  <c:v>211</c:v>
                </c:pt>
                <c:pt idx="23">
                  <c:v>220</c:v>
                </c:pt>
                <c:pt idx="24">
                  <c:v>96</c:v>
                </c:pt>
                <c:pt idx="25">
                  <c:v>173</c:v>
                </c:pt>
                <c:pt idx="26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692-A929-FB12E043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3"/>
          <c:order val="0"/>
          <c:tx>
            <c:strRef>
              <c:f>'Buen fin (2)'!$E$60</c:f>
              <c:strCache>
                <c:ptCount val="1"/>
                <c:pt idx="0">
                  <c:v>Pronóstico</c:v>
                </c:pt>
              </c:strCache>
            </c:strRef>
          </c:tx>
          <c:spPr>
            <a:ln w="34925" cap="rnd">
              <a:solidFill>
                <a:schemeClr val="accent3">
                  <a:tint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(2)'!$F$53:$CL$53</c15:sqref>
                  </c15:fullRef>
                </c:ext>
              </c:extLst>
              <c:f>'Buen fin (2)'!$BI$53:$CI$53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(2)'!$F$60:$CL$60</c15:sqref>
                  </c15:fullRef>
                </c:ext>
              </c:extLst>
              <c:f>'Buen fin (2)'!$BI$60:$CI$60</c:f>
              <c:numCache>
                <c:formatCode>#,##0</c:formatCode>
                <c:ptCount val="27"/>
                <c:pt idx="0">
                  <c:v>290</c:v>
                </c:pt>
                <c:pt idx="1">
                  <c:v>278</c:v>
                </c:pt>
                <c:pt idx="2">
                  <c:v>237</c:v>
                </c:pt>
                <c:pt idx="3">
                  <c:v>158</c:v>
                </c:pt>
                <c:pt idx="4">
                  <c:v>375</c:v>
                </c:pt>
                <c:pt idx="5">
                  <c:v>342</c:v>
                </c:pt>
                <c:pt idx="6">
                  <c:v>319</c:v>
                </c:pt>
                <c:pt idx="7">
                  <c:v>270</c:v>
                </c:pt>
                <c:pt idx="8">
                  <c:v>249</c:v>
                </c:pt>
                <c:pt idx="9">
                  <c:v>177</c:v>
                </c:pt>
                <c:pt idx="10">
                  <c:v>113</c:v>
                </c:pt>
                <c:pt idx="11">
                  <c:v>357</c:v>
                </c:pt>
                <c:pt idx="12">
                  <c:v>314</c:v>
                </c:pt>
                <c:pt idx="13">
                  <c:v>240</c:v>
                </c:pt>
                <c:pt idx="14">
                  <c:v>244</c:v>
                </c:pt>
                <c:pt idx="15">
                  <c:v>199</c:v>
                </c:pt>
                <c:pt idx="16">
                  <c:v>145</c:v>
                </c:pt>
                <c:pt idx="17">
                  <c:v>79</c:v>
                </c:pt>
                <c:pt idx="18">
                  <c:v>257</c:v>
                </c:pt>
                <c:pt idx="19">
                  <c:v>247</c:v>
                </c:pt>
                <c:pt idx="20">
                  <c:v>241</c:v>
                </c:pt>
                <c:pt idx="21">
                  <c:v>222</c:v>
                </c:pt>
                <c:pt idx="22">
                  <c:v>210</c:v>
                </c:pt>
                <c:pt idx="23">
                  <c:v>162</c:v>
                </c:pt>
                <c:pt idx="24">
                  <c:v>99</c:v>
                </c:pt>
                <c:pt idx="25">
                  <c:v>154</c:v>
                </c:pt>
                <c:pt idx="26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E-4692-A929-FB12E043A11D}"/>
            </c:ext>
          </c:extLst>
        </c:ser>
        <c:ser>
          <c:idx val="1"/>
          <c:order val="4"/>
          <c:tx>
            <c:strRef>
              <c:f>'Buen fin (2)'!$E$55</c:f>
              <c:strCache>
                <c:ptCount val="1"/>
                <c:pt idx="0">
                  <c:v>Capacidad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(2)'!$F$53:$CL$53</c15:sqref>
                  </c15:fullRef>
                </c:ext>
              </c:extLst>
              <c:f>'Buen fin (2)'!$BI$53:$CI$53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(2)'!$F$55:$CL$55</c15:sqref>
                  </c15:fullRef>
                </c:ext>
              </c:extLst>
              <c:f>'Buen fin (2)'!$BI$55:$CI$55</c:f>
              <c:numCache>
                <c:formatCode>#,##0</c:formatCode>
                <c:ptCount val="27"/>
                <c:pt idx="0">
                  <c:v>373</c:v>
                </c:pt>
                <c:pt idx="1">
                  <c:v>373</c:v>
                </c:pt>
                <c:pt idx="2">
                  <c:v>220</c:v>
                </c:pt>
                <c:pt idx="3">
                  <c:v>192</c:v>
                </c:pt>
                <c:pt idx="4">
                  <c:v>373</c:v>
                </c:pt>
                <c:pt idx="5">
                  <c:v>373</c:v>
                </c:pt>
                <c:pt idx="6">
                  <c:v>373</c:v>
                </c:pt>
                <c:pt idx="7">
                  <c:v>373</c:v>
                </c:pt>
                <c:pt idx="8">
                  <c:v>373</c:v>
                </c:pt>
                <c:pt idx="9">
                  <c:v>258</c:v>
                </c:pt>
                <c:pt idx="10">
                  <c:v>229</c:v>
                </c:pt>
                <c:pt idx="11">
                  <c:v>373</c:v>
                </c:pt>
                <c:pt idx="12">
                  <c:v>373</c:v>
                </c:pt>
                <c:pt idx="13">
                  <c:v>373</c:v>
                </c:pt>
                <c:pt idx="14">
                  <c:v>373</c:v>
                </c:pt>
                <c:pt idx="15">
                  <c:v>373</c:v>
                </c:pt>
                <c:pt idx="16">
                  <c:v>167</c:v>
                </c:pt>
                <c:pt idx="17">
                  <c:v>186</c:v>
                </c:pt>
                <c:pt idx="18">
                  <c:v>373</c:v>
                </c:pt>
                <c:pt idx="19">
                  <c:v>373</c:v>
                </c:pt>
                <c:pt idx="20">
                  <c:v>373</c:v>
                </c:pt>
                <c:pt idx="21">
                  <c:v>373</c:v>
                </c:pt>
                <c:pt idx="22">
                  <c:v>373</c:v>
                </c:pt>
                <c:pt idx="23">
                  <c:v>209</c:v>
                </c:pt>
                <c:pt idx="24">
                  <c:v>171</c:v>
                </c:pt>
                <c:pt idx="25">
                  <c:v>209</c:v>
                </c:pt>
                <c:pt idx="26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E-4692-A929-FB12E043A11D}"/>
            </c:ext>
          </c:extLst>
        </c:ser>
        <c:ser>
          <c:idx val="2"/>
          <c:order val="5"/>
          <c:tx>
            <c:strRef>
              <c:f>'Buen fin (2)'!$E$63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(2)'!$F$53:$CL$53</c15:sqref>
                  </c15:fullRef>
                </c:ext>
              </c:extLst>
              <c:f>'Buen fin (2)'!$BI$53:$CI$53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(2)'!$F$63:$CL$63</c15:sqref>
                  </c15:fullRef>
                </c:ext>
              </c:extLst>
              <c:f>'Buen fin (2)'!$BI$63:$CI$63</c:f>
              <c:numCache>
                <c:formatCode>#,##0</c:formatCode>
                <c:ptCount val="27"/>
                <c:pt idx="0">
                  <c:v>308</c:v>
                </c:pt>
                <c:pt idx="1">
                  <c:v>341</c:v>
                </c:pt>
                <c:pt idx="2">
                  <c:v>246</c:v>
                </c:pt>
                <c:pt idx="3">
                  <c:v>94</c:v>
                </c:pt>
                <c:pt idx="4">
                  <c:v>357</c:v>
                </c:pt>
                <c:pt idx="5">
                  <c:v>316</c:v>
                </c:pt>
                <c:pt idx="6">
                  <c:v>307</c:v>
                </c:pt>
                <c:pt idx="7">
                  <c:v>331</c:v>
                </c:pt>
                <c:pt idx="8">
                  <c:v>296</c:v>
                </c:pt>
                <c:pt idx="9">
                  <c:v>141</c:v>
                </c:pt>
                <c:pt idx="10">
                  <c:v>160</c:v>
                </c:pt>
                <c:pt idx="11">
                  <c:v>200</c:v>
                </c:pt>
                <c:pt idx="12">
                  <c:v>390</c:v>
                </c:pt>
                <c:pt idx="13">
                  <c:v>294</c:v>
                </c:pt>
                <c:pt idx="14">
                  <c:v>281</c:v>
                </c:pt>
                <c:pt idx="15">
                  <c:v>305</c:v>
                </c:pt>
                <c:pt idx="16">
                  <c:v>115</c:v>
                </c:pt>
                <c:pt idx="17">
                  <c:v>129</c:v>
                </c:pt>
                <c:pt idx="18">
                  <c:v>280</c:v>
                </c:pt>
                <c:pt idx="19">
                  <c:v>316</c:v>
                </c:pt>
                <c:pt idx="20">
                  <c:v>304</c:v>
                </c:pt>
                <c:pt idx="21">
                  <c:v>333</c:v>
                </c:pt>
                <c:pt idx="22">
                  <c:v>254</c:v>
                </c:pt>
                <c:pt idx="23">
                  <c:v>227</c:v>
                </c:pt>
                <c:pt idx="24">
                  <c:v>123</c:v>
                </c:pt>
                <c:pt idx="25">
                  <c:v>162</c:v>
                </c:pt>
                <c:pt idx="26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E-4692-A929-FB12E043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AXO-LifeStyle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'Buen fin (2)'!$E$105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(2)'!$F$104:$CL$104</c15:sqref>
                  </c15:fullRef>
                </c:ext>
              </c:extLst>
              <c:f>'Buen fin (2)'!$BI$104:$CI$104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(2)'!$F$105:$CL$105</c15:sqref>
                  </c15:fullRef>
                </c:ext>
              </c:extLst>
              <c:f>'Buen fin (2)'!$BI$105:$CI$105</c:f>
              <c:numCache>
                <c:formatCode>#,##0</c:formatCode>
                <c:ptCount val="27"/>
                <c:pt idx="0">
                  <c:v>2167</c:v>
                </c:pt>
                <c:pt idx="1">
                  <c:v>1904</c:v>
                </c:pt>
                <c:pt idx="2">
                  <c:v>925</c:v>
                </c:pt>
                <c:pt idx="3">
                  <c:v>585</c:v>
                </c:pt>
                <c:pt idx="4">
                  <c:v>2882</c:v>
                </c:pt>
                <c:pt idx="5">
                  <c:v>2666</c:v>
                </c:pt>
                <c:pt idx="6">
                  <c:v>2316</c:v>
                </c:pt>
                <c:pt idx="7">
                  <c:v>1844</c:v>
                </c:pt>
                <c:pt idx="8">
                  <c:v>1582</c:v>
                </c:pt>
                <c:pt idx="9">
                  <c:v>740</c:v>
                </c:pt>
                <c:pt idx="10">
                  <c:v>474</c:v>
                </c:pt>
                <c:pt idx="11">
                  <c:v>2163</c:v>
                </c:pt>
                <c:pt idx="12">
                  <c:v>1935</c:v>
                </c:pt>
                <c:pt idx="13">
                  <c:v>1124</c:v>
                </c:pt>
                <c:pt idx="14">
                  <c:v>1106</c:v>
                </c:pt>
                <c:pt idx="15">
                  <c:v>728</c:v>
                </c:pt>
                <c:pt idx="16">
                  <c:v>369</c:v>
                </c:pt>
                <c:pt idx="17">
                  <c:v>275</c:v>
                </c:pt>
                <c:pt idx="18">
                  <c:v>985</c:v>
                </c:pt>
                <c:pt idx="19">
                  <c:v>948</c:v>
                </c:pt>
                <c:pt idx="20">
                  <c:v>974</c:v>
                </c:pt>
                <c:pt idx="21">
                  <c:v>830</c:v>
                </c:pt>
                <c:pt idx="22">
                  <c:v>675</c:v>
                </c:pt>
                <c:pt idx="23">
                  <c:v>396</c:v>
                </c:pt>
                <c:pt idx="24">
                  <c:v>310</c:v>
                </c:pt>
                <c:pt idx="25">
                  <c:v>445</c:v>
                </c:pt>
                <c:pt idx="26">
                  <c:v>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6-4463-8FAD-AE573C90C2E0}"/>
            </c:ext>
          </c:extLst>
        </c:ser>
        <c:ser>
          <c:idx val="4"/>
          <c:order val="2"/>
          <c:tx>
            <c:strRef>
              <c:f>'Buen fin (2)'!$E$109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(2)'!$F$104:$CL$104</c15:sqref>
                  </c15:fullRef>
                </c:ext>
              </c:extLst>
              <c:f>'Buen fin (2)'!$BI$104:$CI$104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(2)'!$F$109:$CL$109</c15:sqref>
                  </c15:fullRef>
                </c:ext>
              </c:extLst>
              <c:f>'Buen fin (2)'!$BI$109:$CI$109</c:f>
              <c:numCache>
                <c:formatCode>#,##0</c:formatCode>
                <c:ptCount val="27"/>
                <c:pt idx="0">
                  <c:v>1647</c:v>
                </c:pt>
                <c:pt idx="1">
                  <c:v>1793</c:v>
                </c:pt>
                <c:pt idx="2">
                  <c:v>1562</c:v>
                </c:pt>
                <c:pt idx="3">
                  <c:v>1700</c:v>
                </c:pt>
                <c:pt idx="4">
                  <c:v>1784</c:v>
                </c:pt>
                <c:pt idx="5">
                  <c:v>2016</c:v>
                </c:pt>
                <c:pt idx="6">
                  <c:v>1989</c:v>
                </c:pt>
                <c:pt idx="7">
                  <c:v>1823</c:v>
                </c:pt>
                <c:pt idx="8">
                  <c:v>1400</c:v>
                </c:pt>
                <c:pt idx="9">
                  <c:v>1046</c:v>
                </c:pt>
                <c:pt idx="10">
                  <c:v>779</c:v>
                </c:pt>
                <c:pt idx="11">
                  <c:v>640</c:v>
                </c:pt>
                <c:pt idx="12">
                  <c:v>342</c:v>
                </c:pt>
                <c:pt idx="13">
                  <c:v>102</c:v>
                </c:pt>
                <c:pt idx="14">
                  <c:v>179</c:v>
                </c:pt>
                <c:pt idx="15">
                  <c:v>201</c:v>
                </c:pt>
                <c:pt idx="16">
                  <c:v>203</c:v>
                </c:pt>
                <c:pt idx="17">
                  <c:v>324</c:v>
                </c:pt>
                <c:pt idx="18">
                  <c:v>179</c:v>
                </c:pt>
                <c:pt idx="19">
                  <c:v>169</c:v>
                </c:pt>
                <c:pt idx="20">
                  <c:v>179</c:v>
                </c:pt>
                <c:pt idx="21">
                  <c:v>163</c:v>
                </c:pt>
                <c:pt idx="22">
                  <c:v>58</c:v>
                </c:pt>
                <c:pt idx="23">
                  <c:v>67</c:v>
                </c:pt>
                <c:pt idx="24">
                  <c:v>41</c:v>
                </c:pt>
                <c:pt idx="25">
                  <c:v>80</c:v>
                </c:pt>
                <c:pt idx="2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6-4463-8FAD-AE573C90C2E0}"/>
            </c:ext>
          </c:extLst>
        </c:ser>
        <c:ser>
          <c:idx val="5"/>
          <c:order val="3"/>
          <c:tx>
            <c:strRef>
              <c:f>'Buen fin (2)'!$E$112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(2)'!$F$104:$CL$104</c15:sqref>
                  </c15:fullRef>
                </c:ext>
              </c:extLst>
              <c:f>'Buen fin (2)'!$BI$104:$CI$104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(2)'!$F$112:$CL$112</c15:sqref>
                  </c15:fullRef>
                </c:ext>
              </c:extLst>
              <c:f>'Buen fin (2)'!$BI$112:$CI$112</c:f>
              <c:numCache>
                <c:formatCode>#,##0</c:formatCode>
                <c:ptCount val="27"/>
                <c:pt idx="0">
                  <c:v>3689</c:v>
                </c:pt>
                <c:pt idx="1">
                  <c:v>3755</c:v>
                </c:pt>
                <c:pt idx="2">
                  <c:v>2663</c:v>
                </c:pt>
                <c:pt idx="3">
                  <c:v>2396</c:v>
                </c:pt>
                <c:pt idx="4">
                  <c:v>4014</c:v>
                </c:pt>
                <c:pt idx="5">
                  <c:v>4113</c:v>
                </c:pt>
                <c:pt idx="6">
                  <c:v>4328</c:v>
                </c:pt>
                <c:pt idx="7">
                  <c:v>3865</c:v>
                </c:pt>
                <c:pt idx="8">
                  <c:v>3423</c:v>
                </c:pt>
                <c:pt idx="9">
                  <c:v>2247</c:v>
                </c:pt>
                <c:pt idx="10">
                  <c:v>1506</c:v>
                </c:pt>
                <c:pt idx="11">
                  <c:v>3243</c:v>
                </c:pt>
                <c:pt idx="12">
                  <c:v>2569</c:v>
                </c:pt>
                <c:pt idx="13">
                  <c:v>1775</c:v>
                </c:pt>
                <c:pt idx="14">
                  <c:v>1757</c:v>
                </c:pt>
                <c:pt idx="15">
                  <c:v>1615</c:v>
                </c:pt>
                <c:pt idx="16">
                  <c:v>898</c:v>
                </c:pt>
                <c:pt idx="17">
                  <c:v>809</c:v>
                </c:pt>
                <c:pt idx="18">
                  <c:v>1522</c:v>
                </c:pt>
                <c:pt idx="19">
                  <c:v>1437</c:v>
                </c:pt>
                <c:pt idx="20">
                  <c:v>1297</c:v>
                </c:pt>
                <c:pt idx="21">
                  <c:v>1195</c:v>
                </c:pt>
                <c:pt idx="22">
                  <c:v>1001</c:v>
                </c:pt>
                <c:pt idx="23">
                  <c:v>575</c:v>
                </c:pt>
                <c:pt idx="24">
                  <c:v>387</c:v>
                </c:pt>
                <c:pt idx="25">
                  <c:v>484</c:v>
                </c:pt>
                <c:pt idx="26">
                  <c:v>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6-4463-8FAD-AE573C90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3"/>
          <c:order val="0"/>
          <c:tx>
            <c:strRef>
              <c:f>'Buen fin (2)'!$E$111</c:f>
              <c:strCache>
                <c:ptCount val="1"/>
                <c:pt idx="0">
                  <c:v>Pronóstico</c:v>
                </c:pt>
              </c:strCache>
            </c:strRef>
          </c:tx>
          <c:spPr>
            <a:ln w="34925" cap="rnd">
              <a:solidFill>
                <a:schemeClr val="accent3">
                  <a:tint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(2)'!$F$104:$CL$104</c15:sqref>
                  </c15:fullRef>
                </c:ext>
              </c:extLst>
              <c:f>'Buen fin (2)'!$BI$104:$CI$104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(2)'!$F$111:$CL$111</c15:sqref>
                  </c15:fullRef>
                </c:ext>
              </c:extLst>
              <c:f>'Buen fin (2)'!$BI$111:$CI$111</c:f>
              <c:numCache>
                <c:formatCode>#,##0</c:formatCode>
                <c:ptCount val="27"/>
                <c:pt idx="0">
                  <c:v>2042</c:v>
                </c:pt>
                <c:pt idx="1">
                  <c:v>1962</c:v>
                </c:pt>
                <c:pt idx="2">
                  <c:v>1101</c:v>
                </c:pt>
                <c:pt idx="3">
                  <c:v>696</c:v>
                </c:pt>
                <c:pt idx="4">
                  <c:v>2230</c:v>
                </c:pt>
                <c:pt idx="5">
                  <c:v>2097</c:v>
                </c:pt>
                <c:pt idx="6">
                  <c:v>2339</c:v>
                </c:pt>
                <c:pt idx="7">
                  <c:v>2042</c:v>
                </c:pt>
                <c:pt idx="8">
                  <c:v>2023</c:v>
                </c:pt>
                <c:pt idx="9">
                  <c:v>1201</c:v>
                </c:pt>
                <c:pt idx="10">
                  <c:v>727</c:v>
                </c:pt>
                <c:pt idx="11">
                  <c:v>2603</c:v>
                </c:pt>
                <c:pt idx="12">
                  <c:v>2227</c:v>
                </c:pt>
                <c:pt idx="13">
                  <c:v>1673</c:v>
                </c:pt>
                <c:pt idx="14">
                  <c:v>1578</c:v>
                </c:pt>
                <c:pt idx="15">
                  <c:v>1414</c:v>
                </c:pt>
                <c:pt idx="16">
                  <c:v>695</c:v>
                </c:pt>
                <c:pt idx="17">
                  <c:v>485</c:v>
                </c:pt>
                <c:pt idx="18">
                  <c:v>1343</c:v>
                </c:pt>
                <c:pt idx="19">
                  <c:v>1268</c:v>
                </c:pt>
                <c:pt idx="20">
                  <c:v>1118</c:v>
                </c:pt>
                <c:pt idx="21">
                  <c:v>1032</c:v>
                </c:pt>
                <c:pt idx="22">
                  <c:v>943</c:v>
                </c:pt>
                <c:pt idx="23">
                  <c:v>508</c:v>
                </c:pt>
                <c:pt idx="24">
                  <c:v>346</c:v>
                </c:pt>
                <c:pt idx="25">
                  <c:v>404</c:v>
                </c:pt>
                <c:pt idx="26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6-4463-8FAD-AE573C90C2E0}"/>
            </c:ext>
          </c:extLst>
        </c:ser>
        <c:ser>
          <c:idx val="1"/>
          <c:order val="4"/>
          <c:tx>
            <c:strRef>
              <c:f>'Buen fin (2)'!$E$106</c:f>
              <c:strCache>
                <c:ptCount val="1"/>
                <c:pt idx="0">
                  <c:v>Capacidad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(2)'!$F$104:$CL$104</c15:sqref>
                  </c15:fullRef>
                </c:ext>
              </c:extLst>
              <c:f>'Buen fin (2)'!$BI$104:$CI$104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(2)'!$F$106:$CL$106</c15:sqref>
                  </c15:fullRef>
                </c:ext>
              </c:extLst>
              <c:f>'Buen fin (2)'!$BI$106:$CI$106</c:f>
              <c:numCache>
                <c:formatCode>#,##0</c:formatCode>
                <c:ptCount val="27"/>
                <c:pt idx="0">
                  <c:v>1508</c:v>
                </c:pt>
                <c:pt idx="1">
                  <c:v>1508</c:v>
                </c:pt>
                <c:pt idx="2">
                  <c:v>736</c:v>
                </c:pt>
                <c:pt idx="3">
                  <c:v>611</c:v>
                </c:pt>
                <c:pt idx="4">
                  <c:v>1508</c:v>
                </c:pt>
                <c:pt idx="5">
                  <c:v>1454</c:v>
                </c:pt>
                <c:pt idx="6">
                  <c:v>1598</c:v>
                </c:pt>
                <c:pt idx="7">
                  <c:v>1598</c:v>
                </c:pt>
                <c:pt idx="8">
                  <c:v>1598</c:v>
                </c:pt>
                <c:pt idx="9">
                  <c:v>755</c:v>
                </c:pt>
                <c:pt idx="10">
                  <c:v>689</c:v>
                </c:pt>
                <c:pt idx="11">
                  <c:v>1598</c:v>
                </c:pt>
                <c:pt idx="12">
                  <c:v>1598</c:v>
                </c:pt>
                <c:pt idx="13">
                  <c:v>1598</c:v>
                </c:pt>
                <c:pt idx="14">
                  <c:v>1598</c:v>
                </c:pt>
                <c:pt idx="15">
                  <c:v>1598</c:v>
                </c:pt>
                <c:pt idx="16">
                  <c:v>789</c:v>
                </c:pt>
                <c:pt idx="17">
                  <c:v>746</c:v>
                </c:pt>
                <c:pt idx="18">
                  <c:v>1598</c:v>
                </c:pt>
                <c:pt idx="19">
                  <c:v>1598</c:v>
                </c:pt>
                <c:pt idx="20">
                  <c:v>1598</c:v>
                </c:pt>
                <c:pt idx="21">
                  <c:v>1598</c:v>
                </c:pt>
                <c:pt idx="22">
                  <c:v>1598</c:v>
                </c:pt>
                <c:pt idx="23">
                  <c:v>760</c:v>
                </c:pt>
                <c:pt idx="24">
                  <c:v>591</c:v>
                </c:pt>
                <c:pt idx="25">
                  <c:v>550</c:v>
                </c:pt>
                <c:pt idx="26">
                  <c:v>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6-4463-8FAD-AE573C90C2E0}"/>
            </c:ext>
          </c:extLst>
        </c:ser>
        <c:ser>
          <c:idx val="2"/>
          <c:order val="5"/>
          <c:tx>
            <c:strRef>
              <c:f>'Buen fin (2)'!$E$114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'Buen fin (2)'!$F$104:$CL$104</c15:sqref>
                  </c15:fullRef>
                </c:ext>
              </c:extLst>
              <c:f>'Buen fin (2)'!$BI$104:$CI$104</c:f>
              <c:numCache>
                <c:formatCode>d\-mmm</c:formatCode>
                <c:ptCount val="27"/>
                <c:pt idx="0">
                  <c:v>45302</c:v>
                </c:pt>
                <c:pt idx="1">
                  <c:v>45303</c:v>
                </c:pt>
                <c:pt idx="2">
                  <c:v>45304</c:v>
                </c:pt>
                <c:pt idx="3">
                  <c:v>45305</c:v>
                </c:pt>
                <c:pt idx="4">
                  <c:v>45306</c:v>
                </c:pt>
                <c:pt idx="5">
                  <c:v>45307</c:v>
                </c:pt>
                <c:pt idx="6">
                  <c:v>45308</c:v>
                </c:pt>
                <c:pt idx="7">
                  <c:v>45309</c:v>
                </c:pt>
                <c:pt idx="8">
                  <c:v>45310</c:v>
                </c:pt>
                <c:pt idx="9">
                  <c:v>45311</c:v>
                </c:pt>
                <c:pt idx="10">
                  <c:v>45312</c:v>
                </c:pt>
                <c:pt idx="11">
                  <c:v>45313</c:v>
                </c:pt>
                <c:pt idx="12">
                  <c:v>45314</c:v>
                </c:pt>
                <c:pt idx="13">
                  <c:v>45315</c:v>
                </c:pt>
                <c:pt idx="14">
                  <c:v>45316</c:v>
                </c:pt>
                <c:pt idx="15">
                  <c:v>45317</c:v>
                </c:pt>
                <c:pt idx="16">
                  <c:v>45318</c:v>
                </c:pt>
                <c:pt idx="17">
                  <c:v>45319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45325</c:v>
                </c:pt>
                <c:pt idx="24">
                  <c:v>45326</c:v>
                </c:pt>
                <c:pt idx="25">
                  <c:v>45327</c:v>
                </c:pt>
                <c:pt idx="26">
                  <c:v>45328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'Buen fin (2)'!$F$114:$CL$114</c15:sqref>
                  </c15:fullRef>
                </c:ext>
              </c:extLst>
              <c:f>'Buen fin (2)'!$BI$114:$CI$114</c:f>
              <c:numCache>
                <c:formatCode>#,##0</c:formatCode>
                <c:ptCount val="27"/>
                <c:pt idx="0">
                  <c:v>1661</c:v>
                </c:pt>
                <c:pt idx="1">
                  <c:v>1454</c:v>
                </c:pt>
                <c:pt idx="2">
                  <c:v>776</c:v>
                </c:pt>
                <c:pt idx="3">
                  <c:v>591</c:v>
                </c:pt>
                <c:pt idx="4">
                  <c:v>1431</c:v>
                </c:pt>
                <c:pt idx="5">
                  <c:v>1476</c:v>
                </c:pt>
                <c:pt idx="6">
                  <c:v>1467</c:v>
                </c:pt>
                <c:pt idx="7">
                  <c:v>1627</c:v>
                </c:pt>
                <c:pt idx="8">
                  <c:v>1620</c:v>
                </c:pt>
                <c:pt idx="9">
                  <c:v>995</c:v>
                </c:pt>
                <c:pt idx="10">
                  <c:v>624</c:v>
                </c:pt>
                <c:pt idx="11">
                  <c:v>1707</c:v>
                </c:pt>
                <c:pt idx="12">
                  <c:v>1707</c:v>
                </c:pt>
                <c:pt idx="13">
                  <c:v>1509</c:v>
                </c:pt>
                <c:pt idx="14">
                  <c:v>1180</c:v>
                </c:pt>
                <c:pt idx="15">
                  <c:v>1505</c:v>
                </c:pt>
                <c:pt idx="16">
                  <c:v>514</c:v>
                </c:pt>
                <c:pt idx="17">
                  <c:v>599</c:v>
                </c:pt>
                <c:pt idx="18">
                  <c:v>1243</c:v>
                </c:pt>
                <c:pt idx="19">
                  <c:v>1349</c:v>
                </c:pt>
                <c:pt idx="20">
                  <c:v>1577</c:v>
                </c:pt>
                <c:pt idx="21">
                  <c:v>1275</c:v>
                </c:pt>
                <c:pt idx="22">
                  <c:v>1085</c:v>
                </c:pt>
                <c:pt idx="23">
                  <c:v>645</c:v>
                </c:pt>
                <c:pt idx="24">
                  <c:v>431</c:v>
                </c:pt>
                <c:pt idx="25">
                  <c:v>593</c:v>
                </c:pt>
                <c:pt idx="26">
                  <c:v>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6-4463-8FAD-AE573C90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Total a Procesar</c:v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'Buen fin (2)'!$AY$61:$CH$61</c:f>
              <c:numCache>
                <c:formatCode>#,##0</c:formatCode>
                <c:ptCount val="36"/>
                <c:pt idx="0">
                  <c:v>247</c:v>
                </c:pt>
                <c:pt idx="1">
                  <c:v>644</c:v>
                </c:pt>
                <c:pt idx="2">
                  <c:v>609</c:v>
                </c:pt>
                <c:pt idx="3">
                  <c:v>617</c:v>
                </c:pt>
                <c:pt idx="4">
                  <c:v>453</c:v>
                </c:pt>
                <c:pt idx="5">
                  <c:v>421</c:v>
                </c:pt>
                <c:pt idx="6">
                  <c:v>251</c:v>
                </c:pt>
                <c:pt idx="7">
                  <c:v>654</c:v>
                </c:pt>
                <c:pt idx="8">
                  <c:v>552</c:v>
                </c:pt>
                <c:pt idx="9">
                  <c:v>409</c:v>
                </c:pt>
                <c:pt idx="10">
                  <c:v>426</c:v>
                </c:pt>
                <c:pt idx="11">
                  <c:v>428</c:v>
                </c:pt>
                <c:pt idx="12">
                  <c:v>310</c:v>
                </c:pt>
                <c:pt idx="13">
                  <c:v>186</c:v>
                </c:pt>
                <c:pt idx="14">
                  <c:v>439</c:v>
                </c:pt>
                <c:pt idx="15">
                  <c:v>415</c:v>
                </c:pt>
                <c:pt idx="16">
                  <c:v>385</c:v>
                </c:pt>
                <c:pt idx="17">
                  <c:v>353</c:v>
                </c:pt>
                <c:pt idx="18">
                  <c:v>319</c:v>
                </c:pt>
                <c:pt idx="19">
                  <c:v>251</c:v>
                </c:pt>
                <c:pt idx="20">
                  <c:v>181</c:v>
                </c:pt>
                <c:pt idx="21">
                  <c:v>386</c:v>
                </c:pt>
                <c:pt idx="22">
                  <c:v>425</c:v>
                </c:pt>
                <c:pt idx="23">
                  <c:v>246</c:v>
                </c:pt>
                <c:pt idx="24">
                  <c:v>258</c:v>
                </c:pt>
                <c:pt idx="25">
                  <c:v>244</c:v>
                </c:pt>
                <c:pt idx="26">
                  <c:v>200</c:v>
                </c:pt>
                <c:pt idx="27">
                  <c:v>161</c:v>
                </c:pt>
                <c:pt idx="28">
                  <c:v>304</c:v>
                </c:pt>
                <c:pt idx="29">
                  <c:v>283</c:v>
                </c:pt>
                <c:pt idx="30">
                  <c:v>285</c:v>
                </c:pt>
                <c:pt idx="31">
                  <c:v>262</c:v>
                </c:pt>
                <c:pt idx="32">
                  <c:v>211</c:v>
                </c:pt>
                <c:pt idx="33">
                  <c:v>220</c:v>
                </c:pt>
                <c:pt idx="34">
                  <c:v>96</c:v>
                </c:pt>
                <c:pt idx="35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4E07-AC2A-F60FFB168EDC}"/>
            </c:ext>
          </c:extLst>
        </c:ser>
        <c:ser>
          <c:idx val="2"/>
          <c:order val="2"/>
          <c:tx>
            <c:v>Actualizado</c:v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'Buen fin (2)'!$AY$63:$CH$63</c:f>
              <c:numCache>
                <c:formatCode>#,##0</c:formatCode>
                <c:ptCount val="36"/>
                <c:pt idx="0">
                  <c:v>168</c:v>
                </c:pt>
                <c:pt idx="1">
                  <c:v>510</c:v>
                </c:pt>
                <c:pt idx="2">
                  <c:v>504</c:v>
                </c:pt>
                <c:pt idx="3">
                  <c:v>523</c:v>
                </c:pt>
                <c:pt idx="4">
                  <c:v>375</c:v>
                </c:pt>
                <c:pt idx="5">
                  <c:v>241</c:v>
                </c:pt>
                <c:pt idx="6">
                  <c:v>219</c:v>
                </c:pt>
                <c:pt idx="7">
                  <c:v>391</c:v>
                </c:pt>
                <c:pt idx="8">
                  <c:v>425</c:v>
                </c:pt>
                <c:pt idx="9">
                  <c:v>302</c:v>
                </c:pt>
                <c:pt idx="10">
                  <c:v>308</c:v>
                </c:pt>
                <c:pt idx="11">
                  <c:v>341</c:v>
                </c:pt>
                <c:pt idx="12">
                  <c:v>246</c:v>
                </c:pt>
                <c:pt idx="13">
                  <c:v>94</c:v>
                </c:pt>
                <c:pt idx="14">
                  <c:v>357</c:v>
                </c:pt>
                <c:pt idx="15">
                  <c:v>316</c:v>
                </c:pt>
                <c:pt idx="16">
                  <c:v>307</c:v>
                </c:pt>
                <c:pt idx="17">
                  <c:v>331</c:v>
                </c:pt>
                <c:pt idx="18">
                  <c:v>296</c:v>
                </c:pt>
                <c:pt idx="19">
                  <c:v>141</c:v>
                </c:pt>
                <c:pt idx="20">
                  <c:v>160</c:v>
                </c:pt>
                <c:pt idx="21">
                  <c:v>200</c:v>
                </c:pt>
                <c:pt idx="22">
                  <c:v>390</c:v>
                </c:pt>
                <c:pt idx="23">
                  <c:v>294</c:v>
                </c:pt>
                <c:pt idx="24">
                  <c:v>281</c:v>
                </c:pt>
                <c:pt idx="25">
                  <c:v>305</c:v>
                </c:pt>
                <c:pt idx="26">
                  <c:v>115</c:v>
                </c:pt>
                <c:pt idx="27">
                  <c:v>129</c:v>
                </c:pt>
                <c:pt idx="28">
                  <c:v>280</c:v>
                </c:pt>
                <c:pt idx="29">
                  <c:v>316</c:v>
                </c:pt>
                <c:pt idx="30">
                  <c:v>304</c:v>
                </c:pt>
                <c:pt idx="31">
                  <c:v>333</c:v>
                </c:pt>
                <c:pt idx="32">
                  <c:v>254</c:v>
                </c:pt>
                <c:pt idx="33">
                  <c:v>227</c:v>
                </c:pt>
                <c:pt idx="34">
                  <c:v>123</c:v>
                </c:pt>
                <c:pt idx="3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4E07-AC2A-F60FFB168EDC}"/>
            </c:ext>
          </c:extLst>
        </c:ser>
        <c:ser>
          <c:idx val="3"/>
          <c:order val="3"/>
          <c:tx>
            <c:v>Anterior</c:v>
          </c:tx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'Buen fin (2)'!$AY$64:$CH$64</c:f>
              <c:numCache>
                <c:formatCode>General</c:formatCode>
                <c:ptCount val="36"/>
                <c:pt idx="0">
                  <c:v>216</c:v>
                </c:pt>
                <c:pt idx="1">
                  <c:v>462</c:v>
                </c:pt>
                <c:pt idx="2">
                  <c:v>515</c:v>
                </c:pt>
                <c:pt idx="3">
                  <c:v>468</c:v>
                </c:pt>
                <c:pt idx="4">
                  <c:v>474</c:v>
                </c:pt>
                <c:pt idx="5">
                  <c:v>172</c:v>
                </c:pt>
                <c:pt idx="6">
                  <c:v>287</c:v>
                </c:pt>
                <c:pt idx="7">
                  <c:v>373</c:v>
                </c:pt>
                <c:pt idx="8">
                  <c:v>423</c:v>
                </c:pt>
                <c:pt idx="9">
                  <c:v>363</c:v>
                </c:pt>
                <c:pt idx="10">
                  <c:v>265</c:v>
                </c:pt>
                <c:pt idx="11">
                  <c:v>369</c:v>
                </c:pt>
                <c:pt idx="12">
                  <c:v>259</c:v>
                </c:pt>
                <c:pt idx="13">
                  <c:v>136</c:v>
                </c:pt>
                <c:pt idx="14">
                  <c:v>355</c:v>
                </c:pt>
                <c:pt idx="15">
                  <c:v>410</c:v>
                </c:pt>
                <c:pt idx="16">
                  <c:v>322</c:v>
                </c:pt>
                <c:pt idx="17">
                  <c:v>319</c:v>
                </c:pt>
                <c:pt idx="18">
                  <c:v>303</c:v>
                </c:pt>
                <c:pt idx="19">
                  <c:v>213</c:v>
                </c:pt>
                <c:pt idx="20">
                  <c:v>221</c:v>
                </c:pt>
                <c:pt idx="21">
                  <c:v>270</c:v>
                </c:pt>
                <c:pt idx="22">
                  <c:v>226</c:v>
                </c:pt>
                <c:pt idx="23">
                  <c:v>203</c:v>
                </c:pt>
                <c:pt idx="24">
                  <c:v>169</c:v>
                </c:pt>
                <c:pt idx="25">
                  <c:v>262</c:v>
                </c:pt>
                <c:pt idx="26">
                  <c:v>174</c:v>
                </c:pt>
                <c:pt idx="27">
                  <c:v>83</c:v>
                </c:pt>
                <c:pt idx="28">
                  <c:v>267</c:v>
                </c:pt>
                <c:pt idx="29">
                  <c:v>191</c:v>
                </c:pt>
                <c:pt idx="30">
                  <c:v>266</c:v>
                </c:pt>
                <c:pt idx="31">
                  <c:v>211</c:v>
                </c:pt>
                <c:pt idx="32">
                  <c:v>191</c:v>
                </c:pt>
                <c:pt idx="33">
                  <c:v>122</c:v>
                </c:pt>
                <c:pt idx="34">
                  <c:v>71</c:v>
                </c:pt>
                <c:pt idx="35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F-4E07-AC2A-F60FFB168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812736"/>
        <c:axId val="471381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'Buen fin (2)'!$AY$62:$CH$62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00F-4E07-AC2A-F60FFB168EDC}"/>
                  </c:ext>
                </c:extLst>
              </c15:ser>
            </c15:filteredLineSeries>
          </c:ext>
        </c:extLst>
      </c:lineChart>
      <c:catAx>
        <c:axId val="10628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81040"/>
        <c:crosses val="autoZero"/>
        <c:auto val="1"/>
        <c:lblAlgn val="ctr"/>
        <c:lblOffset val="100"/>
        <c:noMultiLvlLbl val="0"/>
      </c:catAx>
      <c:valAx>
        <c:axId val="4713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TAF-Athletics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Comportamiento!$E$61</c:f>
              <c:strCache>
                <c:ptCount val="1"/>
                <c:pt idx="0">
                  <c:v>Pronóstico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Comportamiento!$F$53:$GT$53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Comportamiento!$F$61:$GT$61</c:f>
              <c:numCache>
                <c:formatCode>#,##0</c:formatCode>
                <c:ptCount val="192"/>
                <c:pt idx="0">
                  <c:v>557</c:v>
                </c:pt>
                <c:pt idx="1">
                  <c:v>492</c:v>
                </c:pt>
                <c:pt idx="2">
                  <c:v>410</c:v>
                </c:pt>
                <c:pt idx="3">
                  <c:v>734</c:v>
                </c:pt>
                <c:pt idx="4">
                  <c:v>946</c:v>
                </c:pt>
                <c:pt idx="5">
                  <c:v>904</c:v>
                </c:pt>
                <c:pt idx="6">
                  <c:v>985</c:v>
                </c:pt>
                <c:pt idx="7">
                  <c:v>1141</c:v>
                </c:pt>
                <c:pt idx="8">
                  <c:v>802</c:v>
                </c:pt>
                <c:pt idx="9">
                  <c:v>560</c:v>
                </c:pt>
                <c:pt idx="10">
                  <c:v>1283</c:v>
                </c:pt>
                <c:pt idx="11">
                  <c:v>1269</c:v>
                </c:pt>
                <c:pt idx="12">
                  <c:v>1153</c:v>
                </c:pt>
                <c:pt idx="13">
                  <c:v>1084</c:v>
                </c:pt>
                <c:pt idx="14">
                  <c:v>813</c:v>
                </c:pt>
                <c:pt idx="15">
                  <c:v>743</c:v>
                </c:pt>
                <c:pt idx="16">
                  <c:v>583</c:v>
                </c:pt>
                <c:pt idx="17">
                  <c:v>1283</c:v>
                </c:pt>
                <c:pt idx="18">
                  <c:v>1269</c:v>
                </c:pt>
                <c:pt idx="19">
                  <c:v>629</c:v>
                </c:pt>
                <c:pt idx="20">
                  <c:v>591</c:v>
                </c:pt>
                <c:pt idx="21">
                  <c:v>461</c:v>
                </c:pt>
                <c:pt idx="22">
                  <c:v>357</c:v>
                </c:pt>
                <c:pt idx="23">
                  <c:v>253</c:v>
                </c:pt>
                <c:pt idx="24">
                  <c:v>811</c:v>
                </c:pt>
                <c:pt idx="25">
                  <c:v>818</c:v>
                </c:pt>
                <c:pt idx="26">
                  <c:v>598</c:v>
                </c:pt>
                <c:pt idx="27">
                  <c:v>557</c:v>
                </c:pt>
                <c:pt idx="28">
                  <c:v>564</c:v>
                </c:pt>
                <c:pt idx="29">
                  <c:v>364</c:v>
                </c:pt>
                <c:pt idx="30">
                  <c:v>282</c:v>
                </c:pt>
                <c:pt idx="31">
                  <c:v>711</c:v>
                </c:pt>
                <c:pt idx="32">
                  <c:v>692</c:v>
                </c:pt>
                <c:pt idx="33">
                  <c:v>672</c:v>
                </c:pt>
                <c:pt idx="34">
                  <c:v>684</c:v>
                </c:pt>
                <c:pt idx="35">
                  <c:v>614</c:v>
                </c:pt>
                <c:pt idx="36">
                  <c:v>406</c:v>
                </c:pt>
                <c:pt idx="37">
                  <c:v>322</c:v>
                </c:pt>
                <c:pt idx="38">
                  <c:v>130</c:v>
                </c:pt>
                <c:pt idx="39">
                  <c:v>627</c:v>
                </c:pt>
                <c:pt idx="40">
                  <c:v>562</c:v>
                </c:pt>
                <c:pt idx="41">
                  <c:v>530</c:v>
                </c:pt>
                <c:pt idx="42">
                  <c:v>489</c:v>
                </c:pt>
                <c:pt idx="43">
                  <c:v>382</c:v>
                </c:pt>
                <c:pt idx="44">
                  <c:v>242</c:v>
                </c:pt>
                <c:pt idx="45">
                  <c:v>201</c:v>
                </c:pt>
                <c:pt idx="46">
                  <c:v>595</c:v>
                </c:pt>
                <c:pt idx="47">
                  <c:v>513</c:v>
                </c:pt>
                <c:pt idx="48">
                  <c:v>463</c:v>
                </c:pt>
                <c:pt idx="49">
                  <c:v>404</c:v>
                </c:pt>
                <c:pt idx="50">
                  <c:v>316</c:v>
                </c:pt>
                <c:pt idx="51">
                  <c:v>190</c:v>
                </c:pt>
                <c:pt idx="52">
                  <c:v>573</c:v>
                </c:pt>
                <c:pt idx="53">
                  <c:v>477</c:v>
                </c:pt>
                <c:pt idx="54">
                  <c:v>319</c:v>
                </c:pt>
                <c:pt idx="55">
                  <c:v>290</c:v>
                </c:pt>
                <c:pt idx="56">
                  <c:v>278</c:v>
                </c:pt>
                <c:pt idx="57">
                  <c:v>237</c:v>
                </c:pt>
                <c:pt idx="58">
                  <c:v>158</c:v>
                </c:pt>
                <c:pt idx="59">
                  <c:v>375</c:v>
                </c:pt>
                <c:pt idx="60">
                  <c:v>342</c:v>
                </c:pt>
                <c:pt idx="61">
                  <c:v>319</c:v>
                </c:pt>
                <c:pt idx="62">
                  <c:v>270</c:v>
                </c:pt>
                <c:pt idx="63">
                  <c:v>249</c:v>
                </c:pt>
                <c:pt idx="64">
                  <c:v>177</c:v>
                </c:pt>
                <c:pt idx="65">
                  <c:v>113</c:v>
                </c:pt>
                <c:pt idx="66">
                  <c:v>357</c:v>
                </c:pt>
                <c:pt idx="67">
                  <c:v>314</c:v>
                </c:pt>
                <c:pt idx="68">
                  <c:v>240</c:v>
                </c:pt>
                <c:pt idx="69">
                  <c:v>244</c:v>
                </c:pt>
                <c:pt idx="70">
                  <c:v>199</c:v>
                </c:pt>
                <c:pt idx="71">
                  <c:v>145</c:v>
                </c:pt>
                <c:pt idx="72">
                  <c:v>79</c:v>
                </c:pt>
                <c:pt idx="73">
                  <c:v>257</c:v>
                </c:pt>
                <c:pt idx="74">
                  <c:v>247</c:v>
                </c:pt>
                <c:pt idx="75">
                  <c:v>241</c:v>
                </c:pt>
                <c:pt idx="76">
                  <c:v>222</c:v>
                </c:pt>
                <c:pt idx="77">
                  <c:v>210</c:v>
                </c:pt>
                <c:pt idx="78">
                  <c:v>162</c:v>
                </c:pt>
                <c:pt idx="79">
                  <c:v>99</c:v>
                </c:pt>
                <c:pt idx="80">
                  <c:v>154</c:v>
                </c:pt>
                <c:pt idx="81">
                  <c:v>299</c:v>
                </c:pt>
                <c:pt idx="82">
                  <c:v>230</c:v>
                </c:pt>
                <c:pt idx="83">
                  <c:v>206</c:v>
                </c:pt>
                <c:pt idx="84">
                  <c:v>178</c:v>
                </c:pt>
                <c:pt idx="85">
                  <c:v>155</c:v>
                </c:pt>
                <c:pt idx="86">
                  <c:v>100</c:v>
                </c:pt>
                <c:pt idx="87">
                  <c:v>256</c:v>
                </c:pt>
                <c:pt idx="88">
                  <c:v>236</c:v>
                </c:pt>
                <c:pt idx="89">
                  <c:v>220</c:v>
                </c:pt>
                <c:pt idx="90">
                  <c:v>194</c:v>
                </c:pt>
                <c:pt idx="91">
                  <c:v>178</c:v>
                </c:pt>
                <c:pt idx="92">
                  <c:v>137</c:v>
                </c:pt>
                <c:pt idx="93">
                  <c:v>85</c:v>
                </c:pt>
                <c:pt idx="94">
                  <c:v>239</c:v>
                </c:pt>
                <c:pt idx="95">
                  <c:v>218</c:v>
                </c:pt>
                <c:pt idx="96">
                  <c:v>272</c:v>
                </c:pt>
                <c:pt idx="97">
                  <c:v>251</c:v>
                </c:pt>
                <c:pt idx="98">
                  <c:v>236</c:v>
                </c:pt>
                <c:pt idx="99">
                  <c:v>150</c:v>
                </c:pt>
                <c:pt idx="100">
                  <c:v>89</c:v>
                </c:pt>
                <c:pt idx="101">
                  <c:v>225</c:v>
                </c:pt>
                <c:pt idx="102">
                  <c:v>236</c:v>
                </c:pt>
                <c:pt idx="103">
                  <c:v>218</c:v>
                </c:pt>
                <c:pt idx="104">
                  <c:v>212</c:v>
                </c:pt>
                <c:pt idx="105">
                  <c:v>202</c:v>
                </c:pt>
                <c:pt idx="106">
                  <c:v>117</c:v>
                </c:pt>
                <c:pt idx="107">
                  <c:v>90</c:v>
                </c:pt>
                <c:pt idx="108">
                  <c:v>222</c:v>
                </c:pt>
                <c:pt idx="109">
                  <c:v>209</c:v>
                </c:pt>
                <c:pt idx="110">
                  <c:v>203</c:v>
                </c:pt>
                <c:pt idx="111">
                  <c:v>206</c:v>
                </c:pt>
                <c:pt idx="112">
                  <c:v>200</c:v>
                </c:pt>
                <c:pt idx="113">
                  <c:v>109</c:v>
                </c:pt>
                <c:pt idx="114">
                  <c:v>81</c:v>
                </c:pt>
                <c:pt idx="115">
                  <c:v>208</c:v>
                </c:pt>
                <c:pt idx="116">
                  <c:v>195</c:v>
                </c:pt>
                <c:pt idx="117">
                  <c:v>201</c:v>
                </c:pt>
                <c:pt idx="118">
                  <c:v>186</c:v>
                </c:pt>
                <c:pt idx="119">
                  <c:v>174</c:v>
                </c:pt>
                <c:pt idx="120">
                  <c:v>104</c:v>
                </c:pt>
                <c:pt idx="121">
                  <c:v>79</c:v>
                </c:pt>
                <c:pt idx="122">
                  <c:v>102</c:v>
                </c:pt>
                <c:pt idx="123">
                  <c:v>235</c:v>
                </c:pt>
                <c:pt idx="124">
                  <c:v>231</c:v>
                </c:pt>
                <c:pt idx="125">
                  <c:v>221</c:v>
                </c:pt>
                <c:pt idx="126">
                  <c:v>198</c:v>
                </c:pt>
                <c:pt idx="127">
                  <c:v>127</c:v>
                </c:pt>
                <c:pt idx="128">
                  <c:v>89</c:v>
                </c:pt>
                <c:pt idx="129">
                  <c:v>252</c:v>
                </c:pt>
                <c:pt idx="130">
                  <c:v>237</c:v>
                </c:pt>
                <c:pt idx="131">
                  <c:v>217</c:v>
                </c:pt>
                <c:pt idx="132">
                  <c:v>140</c:v>
                </c:pt>
                <c:pt idx="133">
                  <c:v>127</c:v>
                </c:pt>
                <c:pt idx="134">
                  <c:v>88</c:v>
                </c:pt>
                <c:pt idx="135">
                  <c:v>63</c:v>
                </c:pt>
                <c:pt idx="136">
                  <c:v>259</c:v>
                </c:pt>
                <c:pt idx="137">
                  <c:v>251</c:v>
                </c:pt>
                <c:pt idx="138">
                  <c:v>234</c:v>
                </c:pt>
                <c:pt idx="139">
                  <c:v>226</c:v>
                </c:pt>
                <c:pt idx="140">
                  <c:v>216</c:v>
                </c:pt>
                <c:pt idx="141">
                  <c:v>135</c:v>
                </c:pt>
                <c:pt idx="142">
                  <c:v>91</c:v>
                </c:pt>
                <c:pt idx="143">
                  <c:v>244</c:v>
                </c:pt>
                <c:pt idx="144">
                  <c:v>227</c:v>
                </c:pt>
                <c:pt idx="145">
                  <c:v>214</c:v>
                </c:pt>
                <c:pt idx="146">
                  <c:v>219</c:v>
                </c:pt>
                <c:pt idx="147">
                  <c:v>204</c:v>
                </c:pt>
                <c:pt idx="148">
                  <c:v>124</c:v>
                </c:pt>
                <c:pt idx="149">
                  <c:v>88</c:v>
                </c:pt>
                <c:pt idx="150">
                  <c:v>271</c:v>
                </c:pt>
                <c:pt idx="151">
                  <c:v>251</c:v>
                </c:pt>
                <c:pt idx="152">
                  <c:v>243</c:v>
                </c:pt>
                <c:pt idx="153">
                  <c:v>266</c:v>
                </c:pt>
                <c:pt idx="154">
                  <c:v>247</c:v>
                </c:pt>
                <c:pt idx="155">
                  <c:v>150</c:v>
                </c:pt>
                <c:pt idx="156">
                  <c:v>106</c:v>
                </c:pt>
                <c:pt idx="157">
                  <c:v>276</c:v>
                </c:pt>
                <c:pt idx="158">
                  <c:v>256</c:v>
                </c:pt>
                <c:pt idx="159">
                  <c:v>241</c:v>
                </c:pt>
                <c:pt idx="160">
                  <c:v>218</c:v>
                </c:pt>
                <c:pt idx="161">
                  <c:v>201</c:v>
                </c:pt>
                <c:pt idx="162">
                  <c:v>133</c:v>
                </c:pt>
                <c:pt idx="163">
                  <c:v>87</c:v>
                </c:pt>
                <c:pt idx="164">
                  <c:v>276</c:v>
                </c:pt>
                <c:pt idx="165">
                  <c:v>250</c:v>
                </c:pt>
                <c:pt idx="166">
                  <c:v>186</c:v>
                </c:pt>
                <c:pt idx="167">
                  <c:v>270</c:v>
                </c:pt>
                <c:pt idx="168">
                  <c:v>262</c:v>
                </c:pt>
                <c:pt idx="169">
                  <c:v>157</c:v>
                </c:pt>
                <c:pt idx="170">
                  <c:v>108</c:v>
                </c:pt>
                <c:pt idx="171">
                  <c:v>275</c:v>
                </c:pt>
                <c:pt idx="172">
                  <c:v>260</c:v>
                </c:pt>
                <c:pt idx="173">
                  <c:v>251</c:v>
                </c:pt>
                <c:pt idx="174">
                  <c:v>237</c:v>
                </c:pt>
                <c:pt idx="175">
                  <c:v>221</c:v>
                </c:pt>
                <c:pt idx="176">
                  <c:v>142</c:v>
                </c:pt>
                <c:pt idx="177">
                  <c:v>108</c:v>
                </c:pt>
                <c:pt idx="178">
                  <c:v>293</c:v>
                </c:pt>
                <c:pt idx="179">
                  <c:v>269</c:v>
                </c:pt>
                <c:pt idx="180">
                  <c:v>508</c:v>
                </c:pt>
                <c:pt idx="181">
                  <c:v>506</c:v>
                </c:pt>
                <c:pt idx="182">
                  <c:v>524</c:v>
                </c:pt>
                <c:pt idx="183">
                  <c:v>463</c:v>
                </c:pt>
                <c:pt idx="184">
                  <c:v>432</c:v>
                </c:pt>
                <c:pt idx="185">
                  <c:v>667</c:v>
                </c:pt>
                <c:pt idx="186">
                  <c:v>620</c:v>
                </c:pt>
                <c:pt idx="187">
                  <c:v>787</c:v>
                </c:pt>
                <c:pt idx="188">
                  <c:v>739</c:v>
                </c:pt>
                <c:pt idx="189">
                  <c:v>835</c:v>
                </c:pt>
                <c:pt idx="190">
                  <c:v>608</c:v>
                </c:pt>
                <c:pt idx="191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3-4F1B-AC66-94E6DE098199}"/>
            </c:ext>
          </c:extLst>
        </c:ser>
        <c:ser>
          <c:idx val="0"/>
          <c:order val="1"/>
          <c:tx>
            <c:strRef>
              <c:f>Comportamiento!$E$54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Comportamiento!$F$53:$GT$53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Comportamiento!$F$54:$GT$54</c:f>
              <c:numCache>
                <c:formatCode>#,##0</c:formatCode>
                <c:ptCount val="192"/>
                <c:pt idx="0">
                  <c:v>617</c:v>
                </c:pt>
                <c:pt idx="1">
                  <c:v>469</c:v>
                </c:pt>
                <c:pt idx="2">
                  <c:v>485</c:v>
                </c:pt>
                <c:pt idx="3">
                  <c:v>725</c:v>
                </c:pt>
                <c:pt idx="4">
                  <c:v>1075</c:v>
                </c:pt>
                <c:pt idx="5">
                  <c:v>1074</c:v>
                </c:pt>
                <c:pt idx="6">
                  <c:v>1075</c:v>
                </c:pt>
                <c:pt idx="7">
                  <c:v>1084</c:v>
                </c:pt>
                <c:pt idx="8">
                  <c:v>825</c:v>
                </c:pt>
                <c:pt idx="9">
                  <c:v>553</c:v>
                </c:pt>
                <c:pt idx="10">
                  <c:v>1282</c:v>
                </c:pt>
                <c:pt idx="11">
                  <c:v>985</c:v>
                </c:pt>
                <c:pt idx="12">
                  <c:v>1143</c:v>
                </c:pt>
                <c:pt idx="13">
                  <c:v>961</c:v>
                </c:pt>
                <c:pt idx="14">
                  <c:v>882</c:v>
                </c:pt>
                <c:pt idx="15">
                  <c:v>535</c:v>
                </c:pt>
                <c:pt idx="16">
                  <c:v>304</c:v>
                </c:pt>
                <c:pt idx="17">
                  <c:v>615</c:v>
                </c:pt>
                <c:pt idx="18">
                  <c:v>595</c:v>
                </c:pt>
                <c:pt idx="19">
                  <c:v>614</c:v>
                </c:pt>
                <c:pt idx="20">
                  <c:v>561</c:v>
                </c:pt>
                <c:pt idx="21">
                  <c:v>461</c:v>
                </c:pt>
                <c:pt idx="22">
                  <c:v>317</c:v>
                </c:pt>
                <c:pt idx="23">
                  <c:v>253</c:v>
                </c:pt>
                <c:pt idx="24">
                  <c:v>606</c:v>
                </c:pt>
                <c:pt idx="25">
                  <c:v>591</c:v>
                </c:pt>
                <c:pt idx="26">
                  <c:v>560</c:v>
                </c:pt>
                <c:pt idx="27">
                  <c:v>471</c:v>
                </c:pt>
                <c:pt idx="28">
                  <c:v>432</c:v>
                </c:pt>
                <c:pt idx="29">
                  <c:v>367</c:v>
                </c:pt>
                <c:pt idx="30">
                  <c:v>299</c:v>
                </c:pt>
                <c:pt idx="31">
                  <c:v>887</c:v>
                </c:pt>
                <c:pt idx="32">
                  <c:v>624</c:v>
                </c:pt>
                <c:pt idx="33">
                  <c:v>625</c:v>
                </c:pt>
                <c:pt idx="34">
                  <c:v>739</c:v>
                </c:pt>
                <c:pt idx="35">
                  <c:v>708</c:v>
                </c:pt>
                <c:pt idx="36">
                  <c:v>435</c:v>
                </c:pt>
                <c:pt idx="37">
                  <c:v>256</c:v>
                </c:pt>
                <c:pt idx="38">
                  <c:v>177</c:v>
                </c:pt>
                <c:pt idx="39">
                  <c:v>632</c:v>
                </c:pt>
                <c:pt idx="40">
                  <c:v>488</c:v>
                </c:pt>
                <c:pt idx="41">
                  <c:v>417</c:v>
                </c:pt>
                <c:pt idx="42">
                  <c:v>412</c:v>
                </c:pt>
                <c:pt idx="43">
                  <c:v>275</c:v>
                </c:pt>
                <c:pt idx="44">
                  <c:v>176</c:v>
                </c:pt>
                <c:pt idx="45">
                  <c:v>129</c:v>
                </c:pt>
                <c:pt idx="46">
                  <c:v>500</c:v>
                </c:pt>
                <c:pt idx="47">
                  <c:v>495</c:v>
                </c:pt>
                <c:pt idx="48">
                  <c:v>347</c:v>
                </c:pt>
                <c:pt idx="49">
                  <c:v>323</c:v>
                </c:pt>
                <c:pt idx="50">
                  <c:v>199</c:v>
                </c:pt>
                <c:pt idx="51">
                  <c:v>176</c:v>
                </c:pt>
                <c:pt idx="52">
                  <c:v>370</c:v>
                </c:pt>
                <c:pt idx="53">
                  <c:v>357</c:v>
                </c:pt>
                <c:pt idx="54">
                  <c:v>252</c:v>
                </c:pt>
                <c:pt idx="55">
                  <c:v>285</c:v>
                </c:pt>
                <c:pt idx="56">
                  <c:v>243</c:v>
                </c:pt>
                <c:pt idx="57">
                  <c:v>165</c:v>
                </c:pt>
                <c:pt idx="58">
                  <c:v>124</c:v>
                </c:pt>
                <c:pt idx="59">
                  <c:v>311</c:v>
                </c:pt>
                <c:pt idx="60">
                  <c:v>353</c:v>
                </c:pt>
                <c:pt idx="61">
                  <c:v>330</c:v>
                </c:pt>
                <c:pt idx="62">
                  <c:v>323</c:v>
                </c:pt>
                <c:pt idx="63">
                  <c:v>310</c:v>
                </c:pt>
                <c:pt idx="64">
                  <c:v>178</c:v>
                </c:pt>
                <c:pt idx="65">
                  <c:v>94</c:v>
                </c:pt>
                <c:pt idx="66">
                  <c:v>278</c:v>
                </c:pt>
                <c:pt idx="67">
                  <c:v>285</c:v>
                </c:pt>
                <c:pt idx="68">
                  <c:v>206</c:v>
                </c:pt>
                <c:pt idx="69">
                  <c:v>214</c:v>
                </c:pt>
                <c:pt idx="70">
                  <c:v>192</c:v>
                </c:pt>
                <c:pt idx="71">
                  <c:v>149</c:v>
                </c:pt>
                <c:pt idx="72">
                  <c:v>84</c:v>
                </c:pt>
                <c:pt idx="73">
                  <c:v>259</c:v>
                </c:pt>
                <c:pt idx="74">
                  <c:v>245</c:v>
                </c:pt>
                <c:pt idx="75">
                  <c:v>232</c:v>
                </c:pt>
                <c:pt idx="76">
                  <c:v>208</c:v>
                </c:pt>
                <c:pt idx="77">
                  <c:v>193</c:v>
                </c:pt>
                <c:pt idx="78">
                  <c:v>180</c:v>
                </c:pt>
                <c:pt idx="79">
                  <c:v>89</c:v>
                </c:pt>
                <c:pt idx="80">
                  <c:v>168</c:v>
                </c:pt>
                <c:pt idx="81">
                  <c:v>264</c:v>
                </c:pt>
                <c:pt idx="82">
                  <c:v>224</c:v>
                </c:pt>
                <c:pt idx="83">
                  <c:v>197</c:v>
                </c:pt>
                <c:pt idx="84">
                  <c:v>155</c:v>
                </c:pt>
                <c:pt idx="85">
                  <c:v>130</c:v>
                </c:pt>
                <c:pt idx="86">
                  <c:v>82</c:v>
                </c:pt>
                <c:pt idx="87">
                  <c:v>252</c:v>
                </c:pt>
                <c:pt idx="88">
                  <c:v>232</c:v>
                </c:pt>
                <c:pt idx="89">
                  <c:v>157</c:v>
                </c:pt>
                <c:pt idx="90">
                  <c:v>243</c:v>
                </c:pt>
                <c:pt idx="91">
                  <c:v>188</c:v>
                </c:pt>
                <c:pt idx="92">
                  <c:v>137</c:v>
                </c:pt>
                <c:pt idx="93">
                  <c:v>100</c:v>
                </c:pt>
                <c:pt idx="94">
                  <c:v>259</c:v>
                </c:pt>
                <c:pt idx="95">
                  <c:v>329</c:v>
                </c:pt>
                <c:pt idx="96">
                  <c:v>315</c:v>
                </c:pt>
                <c:pt idx="97">
                  <c:v>218</c:v>
                </c:pt>
                <c:pt idx="98">
                  <c:v>165</c:v>
                </c:pt>
                <c:pt idx="99">
                  <c:v>107</c:v>
                </c:pt>
                <c:pt idx="100">
                  <c:v>95</c:v>
                </c:pt>
                <c:pt idx="101">
                  <c:v>207</c:v>
                </c:pt>
                <c:pt idx="102">
                  <c:v>248</c:v>
                </c:pt>
                <c:pt idx="103">
                  <c:v>194</c:v>
                </c:pt>
                <c:pt idx="104">
                  <c:v>187</c:v>
                </c:pt>
                <c:pt idx="105">
                  <c:v>176</c:v>
                </c:pt>
                <c:pt idx="106">
                  <c:v>130</c:v>
                </c:pt>
                <c:pt idx="107">
                  <c:v>96</c:v>
                </c:pt>
                <c:pt idx="108">
                  <c:v>342</c:v>
                </c:pt>
                <c:pt idx="109">
                  <c:v>204</c:v>
                </c:pt>
                <c:pt idx="110">
                  <c:v>217</c:v>
                </c:pt>
                <c:pt idx="111">
                  <c:v>223</c:v>
                </c:pt>
                <c:pt idx="112">
                  <c:v>143</c:v>
                </c:pt>
                <c:pt idx="113">
                  <c:v>129</c:v>
                </c:pt>
                <c:pt idx="114">
                  <c:v>68</c:v>
                </c:pt>
                <c:pt idx="115">
                  <c:v>247</c:v>
                </c:pt>
                <c:pt idx="116">
                  <c:v>202</c:v>
                </c:pt>
                <c:pt idx="117">
                  <c:v>235</c:v>
                </c:pt>
                <c:pt idx="118">
                  <c:v>201</c:v>
                </c:pt>
                <c:pt idx="119">
                  <c:v>199</c:v>
                </c:pt>
                <c:pt idx="120">
                  <c:v>147</c:v>
                </c:pt>
                <c:pt idx="121">
                  <c:v>96</c:v>
                </c:pt>
                <c:pt idx="122">
                  <c:v>107</c:v>
                </c:pt>
                <c:pt idx="123">
                  <c:v>264</c:v>
                </c:pt>
                <c:pt idx="124">
                  <c:v>260</c:v>
                </c:pt>
                <c:pt idx="125">
                  <c:v>200</c:v>
                </c:pt>
                <c:pt idx="126">
                  <c:v>211</c:v>
                </c:pt>
                <c:pt idx="127">
                  <c:v>120</c:v>
                </c:pt>
                <c:pt idx="128">
                  <c:v>99</c:v>
                </c:pt>
                <c:pt idx="129">
                  <c:v>219</c:v>
                </c:pt>
                <c:pt idx="130">
                  <c:v>196</c:v>
                </c:pt>
                <c:pt idx="131">
                  <c:v>201</c:v>
                </c:pt>
                <c:pt idx="132">
                  <c:v>130</c:v>
                </c:pt>
                <c:pt idx="133">
                  <c:v>118</c:v>
                </c:pt>
                <c:pt idx="134">
                  <c:v>90</c:v>
                </c:pt>
                <c:pt idx="135">
                  <c:v>80</c:v>
                </c:pt>
                <c:pt idx="136">
                  <c:v>256</c:v>
                </c:pt>
                <c:pt idx="137">
                  <c:v>234</c:v>
                </c:pt>
                <c:pt idx="138">
                  <c:v>219</c:v>
                </c:pt>
                <c:pt idx="139">
                  <c:v>239</c:v>
                </c:pt>
                <c:pt idx="140">
                  <c:v>231</c:v>
                </c:pt>
                <c:pt idx="141">
                  <c:v>150</c:v>
                </c:pt>
                <c:pt idx="142">
                  <c:v>102</c:v>
                </c:pt>
                <c:pt idx="143">
                  <c:v>267</c:v>
                </c:pt>
                <c:pt idx="144">
                  <c:v>236</c:v>
                </c:pt>
                <c:pt idx="145">
                  <c:v>264</c:v>
                </c:pt>
                <c:pt idx="146">
                  <c:v>246</c:v>
                </c:pt>
                <c:pt idx="147">
                  <c:v>230</c:v>
                </c:pt>
                <c:pt idx="148">
                  <c:v>154</c:v>
                </c:pt>
                <c:pt idx="149">
                  <c:v>131</c:v>
                </c:pt>
                <c:pt idx="150">
                  <c:v>254</c:v>
                </c:pt>
                <c:pt idx="151">
                  <c:v>248</c:v>
                </c:pt>
                <c:pt idx="152">
                  <c:v>283</c:v>
                </c:pt>
                <c:pt idx="153">
                  <c:v>266</c:v>
                </c:pt>
                <c:pt idx="154">
                  <c:v>228</c:v>
                </c:pt>
                <c:pt idx="155">
                  <c:v>153</c:v>
                </c:pt>
                <c:pt idx="156">
                  <c:v>124</c:v>
                </c:pt>
                <c:pt idx="157">
                  <c:v>282</c:v>
                </c:pt>
                <c:pt idx="158">
                  <c:v>241</c:v>
                </c:pt>
                <c:pt idx="159">
                  <c:v>244</c:v>
                </c:pt>
                <c:pt idx="160">
                  <c:v>250</c:v>
                </c:pt>
                <c:pt idx="161">
                  <c:v>197</c:v>
                </c:pt>
                <c:pt idx="162">
                  <c:v>129</c:v>
                </c:pt>
                <c:pt idx="163">
                  <c:v>96</c:v>
                </c:pt>
                <c:pt idx="164">
                  <c:v>295</c:v>
                </c:pt>
                <c:pt idx="165">
                  <c:v>245</c:v>
                </c:pt>
                <c:pt idx="166">
                  <c:v>141</c:v>
                </c:pt>
                <c:pt idx="167">
                  <c:v>322</c:v>
                </c:pt>
                <c:pt idx="168">
                  <c:v>257</c:v>
                </c:pt>
                <c:pt idx="169">
                  <c:v>161</c:v>
                </c:pt>
                <c:pt idx="170">
                  <c:v>119</c:v>
                </c:pt>
                <c:pt idx="171">
                  <c:v>272</c:v>
                </c:pt>
                <c:pt idx="172">
                  <c:v>251</c:v>
                </c:pt>
                <c:pt idx="173">
                  <c:v>270</c:v>
                </c:pt>
                <c:pt idx="174">
                  <c:v>245</c:v>
                </c:pt>
                <c:pt idx="175">
                  <c:v>169</c:v>
                </c:pt>
                <c:pt idx="176">
                  <c:v>147</c:v>
                </c:pt>
                <c:pt idx="177">
                  <c:v>115</c:v>
                </c:pt>
                <c:pt idx="178">
                  <c:v>321</c:v>
                </c:pt>
                <c:pt idx="179">
                  <c:v>350</c:v>
                </c:pt>
                <c:pt idx="180">
                  <c:v>501</c:v>
                </c:pt>
                <c:pt idx="181">
                  <c:v>516</c:v>
                </c:pt>
                <c:pt idx="182">
                  <c:v>545</c:v>
                </c:pt>
                <c:pt idx="183">
                  <c:v>475</c:v>
                </c:pt>
                <c:pt idx="184">
                  <c:v>294</c:v>
                </c:pt>
                <c:pt idx="185">
                  <c:v>669</c:v>
                </c:pt>
                <c:pt idx="186">
                  <c:v>718</c:v>
                </c:pt>
                <c:pt idx="187">
                  <c:v>860</c:v>
                </c:pt>
                <c:pt idx="188">
                  <c:v>1013</c:v>
                </c:pt>
                <c:pt idx="189">
                  <c:v>781</c:v>
                </c:pt>
                <c:pt idx="190">
                  <c:v>481</c:v>
                </c:pt>
                <c:pt idx="191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3-4A3D-B902-F29B6602C13E}"/>
            </c:ext>
          </c:extLst>
        </c:ser>
        <c:ser>
          <c:idx val="4"/>
          <c:order val="2"/>
          <c:tx>
            <c:strRef>
              <c:f>Comportamiento!$E$59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Comportamiento!$F$53:$GT$53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Comportamiento!$F$59:$GT$59</c:f>
              <c:numCache>
                <c:formatCode>#,##0</c:formatCode>
                <c:ptCount val="192"/>
                <c:pt idx="5">
                  <c:v>562</c:v>
                </c:pt>
                <c:pt idx="6">
                  <c:v>843</c:v>
                </c:pt>
                <c:pt idx="7">
                  <c:v>1090</c:v>
                </c:pt>
                <c:pt idx="8">
                  <c:v>1264</c:v>
                </c:pt>
                <c:pt idx="9">
                  <c:v>1367</c:v>
                </c:pt>
                <c:pt idx="10">
                  <c:v>1542</c:v>
                </c:pt>
                <c:pt idx="11">
                  <c:v>1914</c:v>
                </c:pt>
                <c:pt idx="12">
                  <c:v>1025</c:v>
                </c:pt>
                <c:pt idx="13">
                  <c:v>1344</c:v>
                </c:pt>
                <c:pt idx="14">
                  <c:v>1186</c:v>
                </c:pt>
                <c:pt idx="15">
                  <c:v>1474</c:v>
                </c:pt>
                <c:pt idx="16">
                  <c:v>1690</c:v>
                </c:pt>
                <c:pt idx="17">
                  <c:v>1385</c:v>
                </c:pt>
                <c:pt idx="18">
                  <c:v>1323</c:v>
                </c:pt>
                <c:pt idx="19">
                  <c:v>1014</c:v>
                </c:pt>
                <c:pt idx="20">
                  <c:v>1205</c:v>
                </c:pt>
                <c:pt idx="21">
                  <c:v>1315</c:v>
                </c:pt>
                <c:pt idx="22">
                  <c:v>1254</c:v>
                </c:pt>
                <c:pt idx="23">
                  <c:v>1248</c:v>
                </c:pt>
                <c:pt idx="24">
                  <c:v>1033</c:v>
                </c:pt>
                <c:pt idx="25">
                  <c:v>1206</c:v>
                </c:pt>
                <c:pt idx="26">
                  <c:v>1330</c:v>
                </c:pt>
                <c:pt idx="27">
                  <c:v>1284</c:v>
                </c:pt>
                <c:pt idx="28">
                  <c:v>971</c:v>
                </c:pt>
                <c:pt idx="29">
                  <c:v>929</c:v>
                </c:pt>
                <c:pt idx="30">
                  <c:v>877</c:v>
                </c:pt>
                <c:pt idx="31">
                  <c:v>960</c:v>
                </c:pt>
                <c:pt idx="32">
                  <c:v>1239</c:v>
                </c:pt>
                <c:pt idx="33">
                  <c:v>1126</c:v>
                </c:pt>
                <c:pt idx="34">
                  <c:v>976</c:v>
                </c:pt>
                <c:pt idx="35">
                  <c:v>1065</c:v>
                </c:pt>
                <c:pt idx="36">
                  <c:v>1013</c:v>
                </c:pt>
                <c:pt idx="37">
                  <c:v>1003</c:v>
                </c:pt>
                <c:pt idx="38">
                  <c:v>715</c:v>
                </c:pt>
                <c:pt idx="39">
                  <c:v>390</c:v>
                </c:pt>
                <c:pt idx="40">
                  <c:v>484</c:v>
                </c:pt>
                <c:pt idx="41">
                  <c:v>234</c:v>
                </c:pt>
                <c:pt idx="42">
                  <c:v>106</c:v>
                </c:pt>
                <c:pt idx="43">
                  <c:v>110</c:v>
                </c:pt>
                <c:pt idx="44">
                  <c:v>77</c:v>
                </c:pt>
                <c:pt idx="45">
                  <c:v>46</c:v>
                </c:pt>
                <c:pt idx="46">
                  <c:v>49</c:v>
                </c:pt>
                <c:pt idx="47">
                  <c:v>96</c:v>
                </c:pt>
                <c:pt idx="48">
                  <c:v>154</c:v>
                </c:pt>
                <c:pt idx="49">
                  <c:v>49</c:v>
                </c:pt>
                <c:pt idx="50">
                  <c:v>105</c:v>
                </c:pt>
                <c:pt idx="51">
                  <c:v>61</c:v>
                </c:pt>
                <c:pt idx="52">
                  <c:v>81</c:v>
                </c:pt>
                <c:pt idx="53">
                  <c:v>75</c:v>
                </c:pt>
                <c:pt idx="54">
                  <c:v>90</c:v>
                </c:pt>
                <c:pt idx="55">
                  <c:v>136</c:v>
                </c:pt>
                <c:pt idx="56">
                  <c:v>150</c:v>
                </c:pt>
                <c:pt idx="57">
                  <c:v>73</c:v>
                </c:pt>
                <c:pt idx="58">
                  <c:v>28</c:v>
                </c:pt>
                <c:pt idx="59">
                  <c:v>64</c:v>
                </c:pt>
                <c:pt idx="60">
                  <c:v>73</c:v>
                </c:pt>
                <c:pt idx="61">
                  <c:v>66</c:v>
                </c:pt>
                <c:pt idx="62">
                  <c:v>83</c:v>
                </c:pt>
                <c:pt idx="63">
                  <c:v>70</c:v>
                </c:pt>
                <c:pt idx="64">
                  <c:v>74</c:v>
                </c:pt>
                <c:pt idx="65">
                  <c:v>68</c:v>
                </c:pt>
                <c:pt idx="66">
                  <c:v>29</c:v>
                </c:pt>
                <c:pt idx="67">
                  <c:v>111</c:v>
                </c:pt>
                <c:pt idx="68">
                  <c:v>6</c:v>
                </c:pt>
                <c:pt idx="69">
                  <c:v>14</c:v>
                </c:pt>
                <c:pt idx="70">
                  <c:v>45</c:v>
                </c:pt>
                <c:pt idx="71">
                  <c:v>55</c:v>
                </c:pt>
                <c:pt idx="72">
                  <c:v>82</c:v>
                </c:pt>
                <c:pt idx="73">
                  <c:v>47</c:v>
                </c:pt>
                <c:pt idx="74">
                  <c:v>36</c:v>
                </c:pt>
                <c:pt idx="75">
                  <c:v>44</c:v>
                </c:pt>
                <c:pt idx="76">
                  <c:v>40</c:v>
                </c:pt>
                <c:pt idx="77">
                  <c:v>18</c:v>
                </c:pt>
                <c:pt idx="78">
                  <c:v>40</c:v>
                </c:pt>
                <c:pt idx="79">
                  <c:v>7</c:v>
                </c:pt>
                <c:pt idx="80">
                  <c:v>5</c:v>
                </c:pt>
                <c:pt idx="81">
                  <c:v>8</c:v>
                </c:pt>
                <c:pt idx="82">
                  <c:v>62</c:v>
                </c:pt>
                <c:pt idx="83">
                  <c:v>8</c:v>
                </c:pt>
                <c:pt idx="84">
                  <c:v>41</c:v>
                </c:pt>
                <c:pt idx="85">
                  <c:v>7</c:v>
                </c:pt>
                <c:pt idx="86">
                  <c:v>21</c:v>
                </c:pt>
                <c:pt idx="87">
                  <c:v>1</c:v>
                </c:pt>
                <c:pt idx="88">
                  <c:v>21</c:v>
                </c:pt>
                <c:pt idx="89">
                  <c:v>32</c:v>
                </c:pt>
                <c:pt idx="90">
                  <c:v>11</c:v>
                </c:pt>
                <c:pt idx="91">
                  <c:v>27</c:v>
                </c:pt>
                <c:pt idx="92">
                  <c:v>21</c:v>
                </c:pt>
                <c:pt idx="93">
                  <c:v>11</c:v>
                </c:pt>
                <c:pt idx="94">
                  <c:v>11</c:v>
                </c:pt>
                <c:pt idx="95">
                  <c:v>35</c:v>
                </c:pt>
                <c:pt idx="96">
                  <c:v>110</c:v>
                </c:pt>
                <c:pt idx="97">
                  <c:v>89</c:v>
                </c:pt>
                <c:pt idx="98">
                  <c:v>52</c:v>
                </c:pt>
                <c:pt idx="99">
                  <c:v>14</c:v>
                </c:pt>
                <c:pt idx="100">
                  <c:v>9</c:v>
                </c:pt>
                <c:pt idx="101">
                  <c:v>4</c:v>
                </c:pt>
                <c:pt idx="102">
                  <c:v>7</c:v>
                </c:pt>
                <c:pt idx="103">
                  <c:v>29</c:v>
                </c:pt>
                <c:pt idx="104">
                  <c:v>4</c:v>
                </c:pt>
                <c:pt idx="105">
                  <c:v>5</c:v>
                </c:pt>
                <c:pt idx="106">
                  <c:v>24</c:v>
                </c:pt>
                <c:pt idx="107">
                  <c:v>22</c:v>
                </c:pt>
                <c:pt idx="108">
                  <c:v>0</c:v>
                </c:pt>
                <c:pt idx="109">
                  <c:v>11</c:v>
                </c:pt>
                <c:pt idx="110">
                  <c:v>12</c:v>
                </c:pt>
                <c:pt idx="111">
                  <c:v>5</c:v>
                </c:pt>
                <c:pt idx="112">
                  <c:v>0</c:v>
                </c:pt>
                <c:pt idx="113">
                  <c:v>28</c:v>
                </c:pt>
                <c:pt idx="114">
                  <c:v>21</c:v>
                </c:pt>
                <c:pt idx="115">
                  <c:v>7</c:v>
                </c:pt>
                <c:pt idx="116">
                  <c:v>23</c:v>
                </c:pt>
                <c:pt idx="117">
                  <c:v>2</c:v>
                </c:pt>
                <c:pt idx="118">
                  <c:v>28</c:v>
                </c:pt>
                <c:pt idx="119">
                  <c:v>0</c:v>
                </c:pt>
                <c:pt idx="120">
                  <c:v>22</c:v>
                </c:pt>
                <c:pt idx="121">
                  <c:v>13</c:v>
                </c:pt>
                <c:pt idx="122">
                  <c:v>28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37</c:v>
                </c:pt>
                <c:pt idx="127">
                  <c:v>10</c:v>
                </c:pt>
                <c:pt idx="128">
                  <c:v>8</c:v>
                </c:pt>
                <c:pt idx="129">
                  <c:v>23</c:v>
                </c:pt>
                <c:pt idx="130">
                  <c:v>3</c:v>
                </c:pt>
                <c:pt idx="131">
                  <c:v>5</c:v>
                </c:pt>
                <c:pt idx="132">
                  <c:v>6</c:v>
                </c:pt>
                <c:pt idx="133">
                  <c:v>9</c:v>
                </c:pt>
                <c:pt idx="134">
                  <c:v>11</c:v>
                </c:pt>
                <c:pt idx="135">
                  <c:v>9</c:v>
                </c:pt>
                <c:pt idx="136">
                  <c:v>3</c:v>
                </c:pt>
                <c:pt idx="137">
                  <c:v>10</c:v>
                </c:pt>
                <c:pt idx="138">
                  <c:v>4</c:v>
                </c:pt>
                <c:pt idx="139">
                  <c:v>4</c:v>
                </c:pt>
                <c:pt idx="140">
                  <c:v>1</c:v>
                </c:pt>
                <c:pt idx="141">
                  <c:v>35</c:v>
                </c:pt>
                <c:pt idx="142">
                  <c:v>14</c:v>
                </c:pt>
                <c:pt idx="143">
                  <c:v>5</c:v>
                </c:pt>
                <c:pt idx="144">
                  <c:v>10</c:v>
                </c:pt>
                <c:pt idx="145">
                  <c:v>11</c:v>
                </c:pt>
                <c:pt idx="146">
                  <c:v>2</c:v>
                </c:pt>
                <c:pt idx="147">
                  <c:v>2</c:v>
                </c:pt>
                <c:pt idx="148">
                  <c:v>18</c:v>
                </c:pt>
                <c:pt idx="149">
                  <c:v>1</c:v>
                </c:pt>
                <c:pt idx="150">
                  <c:v>1</c:v>
                </c:pt>
                <c:pt idx="151">
                  <c:v>10</c:v>
                </c:pt>
                <c:pt idx="152">
                  <c:v>15</c:v>
                </c:pt>
                <c:pt idx="153">
                  <c:v>7</c:v>
                </c:pt>
                <c:pt idx="154">
                  <c:v>18</c:v>
                </c:pt>
                <c:pt idx="155">
                  <c:v>37</c:v>
                </c:pt>
                <c:pt idx="156">
                  <c:v>37</c:v>
                </c:pt>
                <c:pt idx="157">
                  <c:v>26</c:v>
                </c:pt>
                <c:pt idx="158">
                  <c:v>26</c:v>
                </c:pt>
                <c:pt idx="159">
                  <c:v>44</c:v>
                </c:pt>
                <c:pt idx="160">
                  <c:v>69</c:v>
                </c:pt>
                <c:pt idx="161">
                  <c:v>66</c:v>
                </c:pt>
                <c:pt idx="162">
                  <c:v>65</c:v>
                </c:pt>
                <c:pt idx="163">
                  <c:v>42</c:v>
                </c:pt>
                <c:pt idx="164">
                  <c:v>121</c:v>
                </c:pt>
                <c:pt idx="165">
                  <c:v>121</c:v>
                </c:pt>
                <c:pt idx="166">
                  <c:v>118</c:v>
                </c:pt>
                <c:pt idx="167">
                  <c:v>102</c:v>
                </c:pt>
                <c:pt idx="168">
                  <c:v>102</c:v>
                </c:pt>
                <c:pt idx="169">
                  <c:v>73</c:v>
                </c:pt>
                <c:pt idx="170">
                  <c:v>89</c:v>
                </c:pt>
                <c:pt idx="171">
                  <c:v>52</c:v>
                </c:pt>
                <c:pt idx="172">
                  <c:v>69</c:v>
                </c:pt>
                <c:pt idx="173">
                  <c:v>66</c:v>
                </c:pt>
                <c:pt idx="174">
                  <c:v>77</c:v>
                </c:pt>
                <c:pt idx="175">
                  <c:v>23</c:v>
                </c:pt>
                <c:pt idx="176">
                  <c:v>52</c:v>
                </c:pt>
                <c:pt idx="177">
                  <c:v>19</c:v>
                </c:pt>
                <c:pt idx="178">
                  <c:v>37</c:v>
                </c:pt>
                <c:pt idx="179">
                  <c:v>99</c:v>
                </c:pt>
                <c:pt idx="180">
                  <c:v>157</c:v>
                </c:pt>
                <c:pt idx="181">
                  <c:v>183</c:v>
                </c:pt>
                <c:pt idx="182">
                  <c:v>140</c:v>
                </c:pt>
                <c:pt idx="183">
                  <c:v>175</c:v>
                </c:pt>
                <c:pt idx="184">
                  <c:v>189</c:v>
                </c:pt>
                <c:pt idx="185">
                  <c:v>273</c:v>
                </c:pt>
                <c:pt idx="186">
                  <c:v>479</c:v>
                </c:pt>
                <c:pt idx="187">
                  <c:v>343</c:v>
                </c:pt>
                <c:pt idx="188">
                  <c:v>343</c:v>
                </c:pt>
                <c:pt idx="189">
                  <c:v>479</c:v>
                </c:pt>
                <c:pt idx="190">
                  <c:v>416</c:v>
                </c:pt>
                <c:pt idx="191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3-4F1B-AC66-94E6DE098199}"/>
            </c:ext>
          </c:extLst>
        </c:ser>
        <c:ser>
          <c:idx val="5"/>
          <c:order val="3"/>
          <c:tx>
            <c:strRef>
              <c:f>Comportamiento!$E$62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Comportamiento!$F$53:$GT$53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Comportamiento!$F$62:$GT$62</c:f>
              <c:numCache>
                <c:formatCode>#,##0</c:formatCode>
                <c:ptCount val="192"/>
                <c:pt idx="0">
                  <c:v>557</c:v>
                </c:pt>
                <c:pt idx="1">
                  <c:v>492</c:v>
                </c:pt>
                <c:pt idx="2">
                  <c:v>410</c:v>
                </c:pt>
                <c:pt idx="3">
                  <c:v>734</c:v>
                </c:pt>
                <c:pt idx="4">
                  <c:v>946</c:v>
                </c:pt>
                <c:pt idx="5">
                  <c:v>1466</c:v>
                </c:pt>
                <c:pt idx="6">
                  <c:v>1828</c:v>
                </c:pt>
                <c:pt idx="7">
                  <c:v>2231</c:v>
                </c:pt>
                <c:pt idx="8">
                  <c:v>2066</c:v>
                </c:pt>
                <c:pt idx="9">
                  <c:v>1927</c:v>
                </c:pt>
                <c:pt idx="10">
                  <c:v>2825</c:v>
                </c:pt>
                <c:pt idx="11">
                  <c:v>3183</c:v>
                </c:pt>
                <c:pt idx="12">
                  <c:v>2178</c:v>
                </c:pt>
                <c:pt idx="13">
                  <c:v>2428</c:v>
                </c:pt>
                <c:pt idx="14">
                  <c:v>1999</c:v>
                </c:pt>
                <c:pt idx="15">
                  <c:v>2217</c:v>
                </c:pt>
                <c:pt idx="16">
                  <c:v>2273</c:v>
                </c:pt>
                <c:pt idx="17">
                  <c:v>2668</c:v>
                </c:pt>
                <c:pt idx="18">
                  <c:v>2592</c:v>
                </c:pt>
                <c:pt idx="19">
                  <c:v>1643</c:v>
                </c:pt>
                <c:pt idx="20">
                  <c:v>1796</c:v>
                </c:pt>
                <c:pt idx="21">
                  <c:v>1776</c:v>
                </c:pt>
                <c:pt idx="22">
                  <c:v>1611</c:v>
                </c:pt>
                <c:pt idx="23">
                  <c:v>1501</c:v>
                </c:pt>
                <c:pt idx="24">
                  <c:v>1844</c:v>
                </c:pt>
                <c:pt idx="25">
                  <c:v>2024</c:v>
                </c:pt>
                <c:pt idx="26">
                  <c:v>1928</c:v>
                </c:pt>
                <c:pt idx="27">
                  <c:v>1841</c:v>
                </c:pt>
                <c:pt idx="28">
                  <c:v>1535</c:v>
                </c:pt>
                <c:pt idx="29">
                  <c:v>1293</c:v>
                </c:pt>
                <c:pt idx="30">
                  <c:v>1159</c:v>
                </c:pt>
                <c:pt idx="31">
                  <c:v>1671</c:v>
                </c:pt>
                <c:pt idx="32">
                  <c:v>1931</c:v>
                </c:pt>
                <c:pt idx="33">
                  <c:v>1798</c:v>
                </c:pt>
                <c:pt idx="34">
                  <c:v>1660</c:v>
                </c:pt>
                <c:pt idx="35">
                  <c:v>1679</c:v>
                </c:pt>
                <c:pt idx="36">
                  <c:v>1419</c:v>
                </c:pt>
                <c:pt idx="37">
                  <c:v>1325</c:v>
                </c:pt>
                <c:pt idx="38">
                  <c:v>845</c:v>
                </c:pt>
                <c:pt idx="39">
                  <c:v>1017</c:v>
                </c:pt>
                <c:pt idx="40">
                  <c:v>1046</c:v>
                </c:pt>
                <c:pt idx="41">
                  <c:v>764</c:v>
                </c:pt>
                <c:pt idx="42">
                  <c:v>595</c:v>
                </c:pt>
                <c:pt idx="43">
                  <c:v>492</c:v>
                </c:pt>
                <c:pt idx="44">
                  <c:v>319</c:v>
                </c:pt>
                <c:pt idx="45">
                  <c:v>247</c:v>
                </c:pt>
                <c:pt idx="46">
                  <c:v>644</c:v>
                </c:pt>
                <c:pt idx="47">
                  <c:v>609</c:v>
                </c:pt>
                <c:pt idx="48">
                  <c:v>617</c:v>
                </c:pt>
                <c:pt idx="49">
                  <c:v>453</c:v>
                </c:pt>
                <c:pt idx="50">
                  <c:v>421</c:v>
                </c:pt>
                <c:pt idx="51">
                  <c:v>251</c:v>
                </c:pt>
                <c:pt idx="52">
                  <c:v>654</c:v>
                </c:pt>
                <c:pt idx="53">
                  <c:v>552</c:v>
                </c:pt>
                <c:pt idx="54">
                  <c:v>409</c:v>
                </c:pt>
                <c:pt idx="55">
                  <c:v>426</c:v>
                </c:pt>
                <c:pt idx="56">
                  <c:v>428</c:v>
                </c:pt>
                <c:pt idx="57">
                  <c:v>310</c:v>
                </c:pt>
                <c:pt idx="58">
                  <c:v>186</c:v>
                </c:pt>
                <c:pt idx="59">
                  <c:v>439</c:v>
                </c:pt>
                <c:pt idx="60">
                  <c:v>415</c:v>
                </c:pt>
                <c:pt idx="61">
                  <c:v>385</c:v>
                </c:pt>
                <c:pt idx="62">
                  <c:v>353</c:v>
                </c:pt>
                <c:pt idx="63">
                  <c:v>319</c:v>
                </c:pt>
                <c:pt idx="64">
                  <c:v>251</c:v>
                </c:pt>
                <c:pt idx="65">
                  <c:v>181</c:v>
                </c:pt>
                <c:pt idx="66">
                  <c:v>386</c:v>
                </c:pt>
                <c:pt idx="67">
                  <c:v>425</c:v>
                </c:pt>
                <c:pt idx="68">
                  <c:v>246</c:v>
                </c:pt>
                <c:pt idx="69">
                  <c:v>258</c:v>
                </c:pt>
                <c:pt idx="70">
                  <c:v>244</c:v>
                </c:pt>
                <c:pt idx="71">
                  <c:v>200</c:v>
                </c:pt>
                <c:pt idx="72">
                  <c:v>161</c:v>
                </c:pt>
                <c:pt idx="73">
                  <c:v>304</c:v>
                </c:pt>
                <c:pt idx="74">
                  <c:v>283</c:v>
                </c:pt>
                <c:pt idx="75">
                  <c:v>285</c:v>
                </c:pt>
                <c:pt idx="76">
                  <c:v>262</c:v>
                </c:pt>
                <c:pt idx="77">
                  <c:v>211</c:v>
                </c:pt>
                <c:pt idx="78">
                  <c:v>220</c:v>
                </c:pt>
                <c:pt idx="79">
                  <c:v>96</c:v>
                </c:pt>
                <c:pt idx="80">
                  <c:v>173</c:v>
                </c:pt>
                <c:pt idx="81">
                  <c:v>272</c:v>
                </c:pt>
                <c:pt idx="82">
                  <c:v>286</c:v>
                </c:pt>
                <c:pt idx="83">
                  <c:v>205</c:v>
                </c:pt>
                <c:pt idx="84">
                  <c:v>196</c:v>
                </c:pt>
                <c:pt idx="85">
                  <c:v>137</c:v>
                </c:pt>
                <c:pt idx="86">
                  <c:v>103</c:v>
                </c:pt>
                <c:pt idx="87">
                  <c:v>253</c:v>
                </c:pt>
                <c:pt idx="88">
                  <c:v>253</c:v>
                </c:pt>
                <c:pt idx="89">
                  <c:v>189</c:v>
                </c:pt>
                <c:pt idx="90">
                  <c:v>254</c:v>
                </c:pt>
                <c:pt idx="91">
                  <c:v>215</c:v>
                </c:pt>
                <c:pt idx="92">
                  <c:v>158</c:v>
                </c:pt>
                <c:pt idx="93">
                  <c:v>111</c:v>
                </c:pt>
                <c:pt idx="94">
                  <c:v>270</c:v>
                </c:pt>
                <c:pt idx="95">
                  <c:v>364</c:v>
                </c:pt>
                <c:pt idx="96">
                  <c:v>425</c:v>
                </c:pt>
                <c:pt idx="97">
                  <c:v>307</c:v>
                </c:pt>
                <c:pt idx="98">
                  <c:v>217</c:v>
                </c:pt>
                <c:pt idx="99">
                  <c:v>121</c:v>
                </c:pt>
                <c:pt idx="100">
                  <c:v>104</c:v>
                </c:pt>
                <c:pt idx="101">
                  <c:v>211</c:v>
                </c:pt>
                <c:pt idx="102">
                  <c:v>255</c:v>
                </c:pt>
                <c:pt idx="103">
                  <c:v>223</c:v>
                </c:pt>
                <c:pt idx="104">
                  <c:v>191</c:v>
                </c:pt>
                <c:pt idx="105">
                  <c:v>181</c:v>
                </c:pt>
                <c:pt idx="106">
                  <c:v>154</c:v>
                </c:pt>
                <c:pt idx="107">
                  <c:v>118</c:v>
                </c:pt>
                <c:pt idx="108">
                  <c:v>342</c:v>
                </c:pt>
                <c:pt idx="109">
                  <c:v>215</c:v>
                </c:pt>
                <c:pt idx="110">
                  <c:v>229</c:v>
                </c:pt>
                <c:pt idx="111">
                  <c:v>228</c:v>
                </c:pt>
                <c:pt idx="112">
                  <c:v>143</c:v>
                </c:pt>
                <c:pt idx="113">
                  <c:v>157</c:v>
                </c:pt>
                <c:pt idx="114">
                  <c:v>89</c:v>
                </c:pt>
                <c:pt idx="115">
                  <c:v>254</c:v>
                </c:pt>
                <c:pt idx="116">
                  <c:v>225</c:v>
                </c:pt>
                <c:pt idx="117">
                  <c:v>237</c:v>
                </c:pt>
                <c:pt idx="118">
                  <c:v>229</c:v>
                </c:pt>
                <c:pt idx="119">
                  <c:v>199</c:v>
                </c:pt>
                <c:pt idx="120">
                  <c:v>169</c:v>
                </c:pt>
                <c:pt idx="121">
                  <c:v>109</c:v>
                </c:pt>
                <c:pt idx="122">
                  <c:v>135</c:v>
                </c:pt>
                <c:pt idx="123">
                  <c:v>267</c:v>
                </c:pt>
                <c:pt idx="124">
                  <c:v>262</c:v>
                </c:pt>
                <c:pt idx="125">
                  <c:v>203</c:v>
                </c:pt>
                <c:pt idx="126">
                  <c:v>248</c:v>
                </c:pt>
                <c:pt idx="127">
                  <c:v>130</c:v>
                </c:pt>
                <c:pt idx="128">
                  <c:v>107</c:v>
                </c:pt>
                <c:pt idx="129">
                  <c:v>242</c:v>
                </c:pt>
                <c:pt idx="130">
                  <c:v>199</c:v>
                </c:pt>
                <c:pt idx="131">
                  <c:v>206</c:v>
                </c:pt>
                <c:pt idx="132">
                  <c:v>136</c:v>
                </c:pt>
                <c:pt idx="133">
                  <c:v>127</c:v>
                </c:pt>
                <c:pt idx="134">
                  <c:v>101</c:v>
                </c:pt>
                <c:pt idx="135">
                  <c:v>89</c:v>
                </c:pt>
                <c:pt idx="136">
                  <c:v>259</c:v>
                </c:pt>
                <c:pt idx="137">
                  <c:v>244</c:v>
                </c:pt>
                <c:pt idx="138">
                  <c:v>223</c:v>
                </c:pt>
                <c:pt idx="139">
                  <c:v>243</c:v>
                </c:pt>
                <c:pt idx="140">
                  <c:v>232</c:v>
                </c:pt>
                <c:pt idx="141">
                  <c:v>185</c:v>
                </c:pt>
                <c:pt idx="142">
                  <c:v>116</c:v>
                </c:pt>
                <c:pt idx="143">
                  <c:v>272</c:v>
                </c:pt>
                <c:pt idx="144">
                  <c:v>246</c:v>
                </c:pt>
                <c:pt idx="145">
                  <c:v>275</c:v>
                </c:pt>
                <c:pt idx="146">
                  <c:v>248</c:v>
                </c:pt>
                <c:pt idx="147">
                  <c:v>232</c:v>
                </c:pt>
                <c:pt idx="148">
                  <c:v>172</c:v>
                </c:pt>
                <c:pt idx="149">
                  <c:v>132</c:v>
                </c:pt>
                <c:pt idx="150">
                  <c:v>255</c:v>
                </c:pt>
                <c:pt idx="151">
                  <c:v>258</c:v>
                </c:pt>
                <c:pt idx="152">
                  <c:v>298</c:v>
                </c:pt>
                <c:pt idx="153">
                  <c:v>273</c:v>
                </c:pt>
                <c:pt idx="154">
                  <c:v>246</c:v>
                </c:pt>
                <c:pt idx="155">
                  <c:v>190</c:v>
                </c:pt>
                <c:pt idx="156">
                  <c:v>161</c:v>
                </c:pt>
                <c:pt idx="157">
                  <c:v>308</c:v>
                </c:pt>
                <c:pt idx="158">
                  <c:v>267</c:v>
                </c:pt>
                <c:pt idx="159">
                  <c:v>288</c:v>
                </c:pt>
                <c:pt idx="160">
                  <c:v>319</c:v>
                </c:pt>
                <c:pt idx="161">
                  <c:v>263</c:v>
                </c:pt>
                <c:pt idx="162">
                  <c:v>194</c:v>
                </c:pt>
                <c:pt idx="163">
                  <c:v>138</c:v>
                </c:pt>
                <c:pt idx="164">
                  <c:v>416</c:v>
                </c:pt>
                <c:pt idx="165">
                  <c:v>366</c:v>
                </c:pt>
                <c:pt idx="166">
                  <c:v>259</c:v>
                </c:pt>
                <c:pt idx="167">
                  <c:v>424</c:v>
                </c:pt>
                <c:pt idx="168">
                  <c:v>359</c:v>
                </c:pt>
                <c:pt idx="169">
                  <c:v>234</c:v>
                </c:pt>
                <c:pt idx="170">
                  <c:v>208</c:v>
                </c:pt>
                <c:pt idx="171">
                  <c:v>324</c:v>
                </c:pt>
                <c:pt idx="172">
                  <c:v>320</c:v>
                </c:pt>
                <c:pt idx="173">
                  <c:v>336</c:v>
                </c:pt>
                <c:pt idx="174">
                  <c:v>322</c:v>
                </c:pt>
                <c:pt idx="175">
                  <c:v>192</c:v>
                </c:pt>
                <c:pt idx="176">
                  <c:v>199</c:v>
                </c:pt>
                <c:pt idx="177">
                  <c:v>134</c:v>
                </c:pt>
                <c:pt idx="178">
                  <c:v>358</c:v>
                </c:pt>
                <c:pt idx="179">
                  <c:v>449</c:v>
                </c:pt>
                <c:pt idx="180">
                  <c:v>658</c:v>
                </c:pt>
                <c:pt idx="181">
                  <c:v>699</c:v>
                </c:pt>
                <c:pt idx="182">
                  <c:v>685</c:v>
                </c:pt>
                <c:pt idx="183">
                  <c:v>650</c:v>
                </c:pt>
                <c:pt idx="184">
                  <c:v>483</c:v>
                </c:pt>
                <c:pt idx="185">
                  <c:v>942</c:v>
                </c:pt>
                <c:pt idx="186">
                  <c:v>1197</c:v>
                </c:pt>
                <c:pt idx="187">
                  <c:v>1203</c:v>
                </c:pt>
                <c:pt idx="188">
                  <c:v>1356</c:v>
                </c:pt>
                <c:pt idx="189">
                  <c:v>1260</c:v>
                </c:pt>
                <c:pt idx="190">
                  <c:v>897</c:v>
                </c:pt>
                <c:pt idx="191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3-4F1B-AC66-94E6DE098199}"/>
            </c:ext>
          </c:extLst>
        </c:ser>
        <c:ser>
          <c:idx val="1"/>
          <c:order val="4"/>
          <c:tx>
            <c:strRef>
              <c:f>Comportamiento!$E$55</c:f>
              <c:strCache>
                <c:ptCount val="1"/>
                <c:pt idx="0">
                  <c:v>Capacidad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Comportamiento!$F$53:$GT$53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Comportamiento!$F$55:$GT$55</c:f>
              <c:numCache>
                <c:formatCode>#,##0</c:formatCode>
                <c:ptCount val="192"/>
                <c:pt idx="0">
                  <c:v>570</c:v>
                </c:pt>
                <c:pt idx="1">
                  <c:v>317</c:v>
                </c:pt>
                <c:pt idx="2">
                  <c:v>245</c:v>
                </c:pt>
                <c:pt idx="3">
                  <c:v>570</c:v>
                </c:pt>
                <c:pt idx="4">
                  <c:v>570</c:v>
                </c:pt>
                <c:pt idx="5">
                  <c:v>570</c:v>
                </c:pt>
                <c:pt idx="6">
                  <c:v>570</c:v>
                </c:pt>
                <c:pt idx="7">
                  <c:v>570</c:v>
                </c:pt>
                <c:pt idx="8">
                  <c:v>317</c:v>
                </c:pt>
                <c:pt idx="9">
                  <c:v>245</c:v>
                </c:pt>
                <c:pt idx="10">
                  <c:v>570</c:v>
                </c:pt>
                <c:pt idx="11">
                  <c:v>532</c:v>
                </c:pt>
                <c:pt idx="12">
                  <c:v>570</c:v>
                </c:pt>
                <c:pt idx="13">
                  <c:v>565.5</c:v>
                </c:pt>
                <c:pt idx="14">
                  <c:v>565.5</c:v>
                </c:pt>
                <c:pt idx="15">
                  <c:v>302</c:v>
                </c:pt>
                <c:pt idx="16">
                  <c:v>302</c:v>
                </c:pt>
                <c:pt idx="17">
                  <c:v>565.5</c:v>
                </c:pt>
                <c:pt idx="18">
                  <c:v>565.5</c:v>
                </c:pt>
                <c:pt idx="19">
                  <c:v>565.5</c:v>
                </c:pt>
                <c:pt idx="20">
                  <c:v>413</c:v>
                </c:pt>
                <c:pt idx="21">
                  <c:v>413</c:v>
                </c:pt>
                <c:pt idx="22">
                  <c:v>266</c:v>
                </c:pt>
                <c:pt idx="23">
                  <c:v>227</c:v>
                </c:pt>
                <c:pt idx="24">
                  <c:v>413</c:v>
                </c:pt>
                <c:pt idx="25">
                  <c:v>413</c:v>
                </c:pt>
                <c:pt idx="26">
                  <c:v>413</c:v>
                </c:pt>
                <c:pt idx="27">
                  <c:v>413</c:v>
                </c:pt>
                <c:pt idx="28">
                  <c:v>413</c:v>
                </c:pt>
                <c:pt idx="29">
                  <c:v>225</c:v>
                </c:pt>
                <c:pt idx="30">
                  <c:v>289</c:v>
                </c:pt>
                <c:pt idx="31">
                  <c:v>489</c:v>
                </c:pt>
                <c:pt idx="32">
                  <c:v>489</c:v>
                </c:pt>
                <c:pt idx="33">
                  <c:v>489</c:v>
                </c:pt>
                <c:pt idx="34">
                  <c:v>489</c:v>
                </c:pt>
                <c:pt idx="35">
                  <c:v>489</c:v>
                </c:pt>
                <c:pt idx="36">
                  <c:v>383</c:v>
                </c:pt>
                <c:pt idx="37">
                  <c:v>296</c:v>
                </c:pt>
                <c:pt idx="38">
                  <c:v>350</c:v>
                </c:pt>
                <c:pt idx="39">
                  <c:v>489</c:v>
                </c:pt>
                <c:pt idx="40">
                  <c:v>489</c:v>
                </c:pt>
                <c:pt idx="41">
                  <c:v>489</c:v>
                </c:pt>
                <c:pt idx="42">
                  <c:v>489</c:v>
                </c:pt>
                <c:pt idx="43">
                  <c:v>225</c:v>
                </c:pt>
                <c:pt idx="44">
                  <c:v>243</c:v>
                </c:pt>
                <c:pt idx="45">
                  <c:v>244</c:v>
                </c:pt>
                <c:pt idx="46">
                  <c:v>373</c:v>
                </c:pt>
                <c:pt idx="47">
                  <c:v>373</c:v>
                </c:pt>
                <c:pt idx="48">
                  <c:v>373</c:v>
                </c:pt>
                <c:pt idx="49">
                  <c:v>373</c:v>
                </c:pt>
                <c:pt idx="50">
                  <c:v>238</c:v>
                </c:pt>
                <c:pt idx="51">
                  <c:v>198</c:v>
                </c:pt>
                <c:pt idx="52">
                  <c:v>373</c:v>
                </c:pt>
                <c:pt idx="53">
                  <c:v>373</c:v>
                </c:pt>
                <c:pt idx="54">
                  <c:v>373</c:v>
                </c:pt>
                <c:pt idx="55">
                  <c:v>373</c:v>
                </c:pt>
                <c:pt idx="56">
                  <c:v>373</c:v>
                </c:pt>
                <c:pt idx="57">
                  <c:v>220</c:v>
                </c:pt>
                <c:pt idx="58">
                  <c:v>192</c:v>
                </c:pt>
                <c:pt idx="59">
                  <c:v>373</c:v>
                </c:pt>
                <c:pt idx="60">
                  <c:v>373</c:v>
                </c:pt>
                <c:pt idx="61">
                  <c:v>373</c:v>
                </c:pt>
                <c:pt idx="62">
                  <c:v>373</c:v>
                </c:pt>
                <c:pt idx="63">
                  <c:v>373</c:v>
                </c:pt>
                <c:pt idx="64">
                  <c:v>258</c:v>
                </c:pt>
                <c:pt idx="65">
                  <c:v>229</c:v>
                </c:pt>
                <c:pt idx="66">
                  <c:v>373</c:v>
                </c:pt>
                <c:pt idx="67">
                  <c:v>373</c:v>
                </c:pt>
                <c:pt idx="68">
                  <c:v>373</c:v>
                </c:pt>
                <c:pt idx="69">
                  <c:v>373</c:v>
                </c:pt>
                <c:pt idx="70">
                  <c:v>373</c:v>
                </c:pt>
                <c:pt idx="71">
                  <c:v>167</c:v>
                </c:pt>
                <c:pt idx="72">
                  <c:v>186</c:v>
                </c:pt>
                <c:pt idx="73">
                  <c:v>373</c:v>
                </c:pt>
                <c:pt idx="74">
                  <c:v>373</c:v>
                </c:pt>
                <c:pt idx="75">
                  <c:v>373</c:v>
                </c:pt>
                <c:pt idx="76">
                  <c:v>373</c:v>
                </c:pt>
                <c:pt idx="77">
                  <c:v>373</c:v>
                </c:pt>
                <c:pt idx="78">
                  <c:v>209</c:v>
                </c:pt>
                <c:pt idx="79">
                  <c:v>171</c:v>
                </c:pt>
                <c:pt idx="80">
                  <c:v>209</c:v>
                </c:pt>
                <c:pt idx="81">
                  <c:v>454</c:v>
                </c:pt>
                <c:pt idx="82">
                  <c:v>454</c:v>
                </c:pt>
                <c:pt idx="83">
                  <c:v>454</c:v>
                </c:pt>
                <c:pt idx="84">
                  <c:v>454</c:v>
                </c:pt>
                <c:pt idx="85">
                  <c:v>209</c:v>
                </c:pt>
                <c:pt idx="86">
                  <c:v>209</c:v>
                </c:pt>
                <c:pt idx="87">
                  <c:v>454</c:v>
                </c:pt>
                <c:pt idx="88">
                  <c:v>454</c:v>
                </c:pt>
                <c:pt idx="89">
                  <c:v>377</c:v>
                </c:pt>
                <c:pt idx="90">
                  <c:v>377</c:v>
                </c:pt>
                <c:pt idx="91">
                  <c:v>377</c:v>
                </c:pt>
                <c:pt idx="92">
                  <c:v>209</c:v>
                </c:pt>
                <c:pt idx="93">
                  <c:v>209</c:v>
                </c:pt>
                <c:pt idx="94">
                  <c:v>377</c:v>
                </c:pt>
                <c:pt idx="95">
                  <c:v>377</c:v>
                </c:pt>
                <c:pt idx="96">
                  <c:v>377</c:v>
                </c:pt>
                <c:pt idx="97">
                  <c:v>377</c:v>
                </c:pt>
                <c:pt idx="98">
                  <c:v>377</c:v>
                </c:pt>
                <c:pt idx="99">
                  <c:v>209</c:v>
                </c:pt>
                <c:pt idx="100">
                  <c:v>209</c:v>
                </c:pt>
                <c:pt idx="101">
                  <c:v>377</c:v>
                </c:pt>
                <c:pt idx="102">
                  <c:v>377</c:v>
                </c:pt>
                <c:pt idx="103">
                  <c:v>377</c:v>
                </c:pt>
                <c:pt idx="104">
                  <c:v>377</c:v>
                </c:pt>
                <c:pt idx="105">
                  <c:v>377</c:v>
                </c:pt>
                <c:pt idx="106">
                  <c:v>209</c:v>
                </c:pt>
                <c:pt idx="107">
                  <c:v>209</c:v>
                </c:pt>
                <c:pt idx="108">
                  <c:v>377</c:v>
                </c:pt>
                <c:pt idx="109">
                  <c:v>377</c:v>
                </c:pt>
                <c:pt idx="110">
                  <c:v>377</c:v>
                </c:pt>
                <c:pt idx="111">
                  <c:v>377</c:v>
                </c:pt>
                <c:pt idx="112">
                  <c:v>377</c:v>
                </c:pt>
                <c:pt idx="113">
                  <c:v>209</c:v>
                </c:pt>
                <c:pt idx="114">
                  <c:v>209</c:v>
                </c:pt>
                <c:pt idx="115">
                  <c:v>377</c:v>
                </c:pt>
                <c:pt idx="116">
                  <c:v>377</c:v>
                </c:pt>
                <c:pt idx="117">
                  <c:v>377</c:v>
                </c:pt>
                <c:pt idx="118">
                  <c:v>377</c:v>
                </c:pt>
                <c:pt idx="119">
                  <c:v>377</c:v>
                </c:pt>
                <c:pt idx="120">
                  <c:v>209</c:v>
                </c:pt>
                <c:pt idx="121">
                  <c:v>209</c:v>
                </c:pt>
                <c:pt idx="122">
                  <c:v>143</c:v>
                </c:pt>
                <c:pt idx="123">
                  <c:v>377</c:v>
                </c:pt>
                <c:pt idx="124">
                  <c:v>377</c:v>
                </c:pt>
                <c:pt idx="125">
                  <c:v>377</c:v>
                </c:pt>
                <c:pt idx="126">
                  <c:v>377</c:v>
                </c:pt>
                <c:pt idx="127">
                  <c:v>209</c:v>
                </c:pt>
                <c:pt idx="128">
                  <c:v>209</c:v>
                </c:pt>
                <c:pt idx="129">
                  <c:v>377</c:v>
                </c:pt>
                <c:pt idx="130">
                  <c:v>377</c:v>
                </c:pt>
                <c:pt idx="131">
                  <c:v>377</c:v>
                </c:pt>
                <c:pt idx="132">
                  <c:v>377</c:v>
                </c:pt>
                <c:pt idx="133">
                  <c:v>377</c:v>
                </c:pt>
                <c:pt idx="134">
                  <c:v>209</c:v>
                </c:pt>
                <c:pt idx="135">
                  <c:v>209</c:v>
                </c:pt>
                <c:pt idx="136">
                  <c:v>377</c:v>
                </c:pt>
                <c:pt idx="137">
                  <c:v>377</c:v>
                </c:pt>
                <c:pt idx="138">
                  <c:v>377</c:v>
                </c:pt>
                <c:pt idx="139">
                  <c:v>377</c:v>
                </c:pt>
                <c:pt idx="140">
                  <c:v>377</c:v>
                </c:pt>
                <c:pt idx="141">
                  <c:v>209</c:v>
                </c:pt>
                <c:pt idx="142">
                  <c:v>209</c:v>
                </c:pt>
                <c:pt idx="143">
                  <c:v>377</c:v>
                </c:pt>
                <c:pt idx="144">
                  <c:v>377</c:v>
                </c:pt>
                <c:pt idx="145">
                  <c:v>377</c:v>
                </c:pt>
                <c:pt idx="146">
                  <c:v>377</c:v>
                </c:pt>
                <c:pt idx="147">
                  <c:v>377</c:v>
                </c:pt>
                <c:pt idx="148">
                  <c:v>209</c:v>
                </c:pt>
                <c:pt idx="149">
                  <c:v>209</c:v>
                </c:pt>
                <c:pt idx="150">
                  <c:v>377</c:v>
                </c:pt>
                <c:pt idx="151">
                  <c:v>377</c:v>
                </c:pt>
                <c:pt idx="152">
                  <c:v>377</c:v>
                </c:pt>
                <c:pt idx="153">
                  <c:v>377</c:v>
                </c:pt>
                <c:pt idx="154">
                  <c:v>377</c:v>
                </c:pt>
                <c:pt idx="155">
                  <c:v>209</c:v>
                </c:pt>
                <c:pt idx="156">
                  <c:v>209</c:v>
                </c:pt>
                <c:pt idx="157">
                  <c:v>377</c:v>
                </c:pt>
                <c:pt idx="158">
                  <c:v>377</c:v>
                </c:pt>
                <c:pt idx="159">
                  <c:v>377</c:v>
                </c:pt>
                <c:pt idx="160">
                  <c:v>377</c:v>
                </c:pt>
                <c:pt idx="161">
                  <c:v>377</c:v>
                </c:pt>
                <c:pt idx="162">
                  <c:v>209</c:v>
                </c:pt>
                <c:pt idx="163">
                  <c:v>209</c:v>
                </c:pt>
                <c:pt idx="164">
                  <c:v>377</c:v>
                </c:pt>
                <c:pt idx="165">
                  <c:v>377</c:v>
                </c:pt>
                <c:pt idx="166">
                  <c:v>143</c:v>
                </c:pt>
                <c:pt idx="167">
                  <c:v>377</c:v>
                </c:pt>
                <c:pt idx="168">
                  <c:v>377</c:v>
                </c:pt>
                <c:pt idx="169">
                  <c:v>209</c:v>
                </c:pt>
                <c:pt idx="170">
                  <c:v>209</c:v>
                </c:pt>
                <c:pt idx="171">
                  <c:v>377</c:v>
                </c:pt>
                <c:pt idx="172">
                  <c:v>377</c:v>
                </c:pt>
                <c:pt idx="173">
                  <c:v>377</c:v>
                </c:pt>
                <c:pt idx="174">
                  <c:v>377</c:v>
                </c:pt>
                <c:pt idx="175">
                  <c:v>377</c:v>
                </c:pt>
                <c:pt idx="176">
                  <c:v>209</c:v>
                </c:pt>
                <c:pt idx="177">
                  <c:v>138</c:v>
                </c:pt>
                <c:pt idx="178">
                  <c:v>377</c:v>
                </c:pt>
                <c:pt idx="179">
                  <c:v>232</c:v>
                </c:pt>
                <c:pt idx="180">
                  <c:v>305</c:v>
                </c:pt>
                <c:pt idx="181">
                  <c:v>305</c:v>
                </c:pt>
                <c:pt idx="182">
                  <c:v>595</c:v>
                </c:pt>
                <c:pt idx="183">
                  <c:v>276</c:v>
                </c:pt>
                <c:pt idx="184">
                  <c:v>276</c:v>
                </c:pt>
                <c:pt idx="185">
                  <c:v>595</c:v>
                </c:pt>
                <c:pt idx="186">
                  <c:v>595</c:v>
                </c:pt>
                <c:pt idx="187">
                  <c:v>595</c:v>
                </c:pt>
                <c:pt idx="188">
                  <c:v>595</c:v>
                </c:pt>
                <c:pt idx="189">
                  <c:v>595</c:v>
                </c:pt>
                <c:pt idx="190">
                  <c:v>278</c:v>
                </c:pt>
                <c:pt idx="19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3-4A3D-B902-F29B6602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2"/>
          <c:order val="5"/>
          <c:tx>
            <c:strRef>
              <c:f>Comportamiento!$E$56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Comportamiento!$F$53:$GT$53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Comportamiento!$F$56:$GT$56</c:f>
              <c:numCache>
                <c:formatCode>#,##0</c:formatCode>
                <c:ptCount val="192"/>
                <c:pt idx="0">
                  <c:v>273</c:v>
                </c:pt>
                <c:pt idx="1">
                  <c:v>304</c:v>
                </c:pt>
                <c:pt idx="2">
                  <c:v>412</c:v>
                </c:pt>
                <c:pt idx="3">
                  <c:v>450</c:v>
                </c:pt>
                <c:pt idx="4">
                  <c:v>714</c:v>
                </c:pt>
                <c:pt idx="5">
                  <c:v>712</c:v>
                </c:pt>
                <c:pt idx="6">
                  <c:v>790</c:v>
                </c:pt>
                <c:pt idx="7">
                  <c:v>724</c:v>
                </c:pt>
                <c:pt idx="8">
                  <c:v>360</c:v>
                </c:pt>
                <c:pt idx="9">
                  <c:v>379</c:v>
                </c:pt>
                <c:pt idx="10">
                  <c:v>730</c:v>
                </c:pt>
                <c:pt idx="11">
                  <c:v>704</c:v>
                </c:pt>
                <c:pt idx="12">
                  <c:v>628</c:v>
                </c:pt>
                <c:pt idx="13">
                  <c:v>502</c:v>
                </c:pt>
                <c:pt idx="14">
                  <c:v>608</c:v>
                </c:pt>
                <c:pt idx="15">
                  <c:v>251</c:v>
                </c:pt>
                <c:pt idx="16">
                  <c:v>438</c:v>
                </c:pt>
                <c:pt idx="17">
                  <c:v>650</c:v>
                </c:pt>
                <c:pt idx="18">
                  <c:v>768</c:v>
                </c:pt>
                <c:pt idx="19">
                  <c:v>622</c:v>
                </c:pt>
                <c:pt idx="20">
                  <c:v>430</c:v>
                </c:pt>
                <c:pt idx="21">
                  <c:v>501</c:v>
                </c:pt>
                <c:pt idx="22">
                  <c:v>357</c:v>
                </c:pt>
                <c:pt idx="23">
                  <c:v>244</c:v>
                </c:pt>
                <c:pt idx="24">
                  <c:v>524</c:v>
                </c:pt>
                <c:pt idx="25">
                  <c:v>525</c:v>
                </c:pt>
                <c:pt idx="26">
                  <c:v>556</c:v>
                </c:pt>
                <c:pt idx="27">
                  <c:v>567</c:v>
                </c:pt>
                <c:pt idx="28">
                  <c:v>543</c:v>
                </c:pt>
                <c:pt idx="29">
                  <c:v>384</c:v>
                </c:pt>
                <c:pt idx="30">
                  <c:v>191</c:v>
                </c:pt>
                <c:pt idx="31">
                  <c:v>553</c:v>
                </c:pt>
                <c:pt idx="32">
                  <c:v>414</c:v>
                </c:pt>
                <c:pt idx="33">
                  <c:v>600</c:v>
                </c:pt>
                <c:pt idx="34">
                  <c:v>519</c:v>
                </c:pt>
                <c:pt idx="35">
                  <c:v>620</c:v>
                </c:pt>
                <c:pt idx="36">
                  <c:v>388</c:v>
                </c:pt>
                <c:pt idx="37">
                  <c:v>358</c:v>
                </c:pt>
                <c:pt idx="38">
                  <c:v>392</c:v>
                </c:pt>
                <c:pt idx="39">
                  <c:v>585</c:v>
                </c:pt>
                <c:pt idx="40">
                  <c:v>512</c:v>
                </c:pt>
                <c:pt idx="41">
                  <c:v>617</c:v>
                </c:pt>
                <c:pt idx="42">
                  <c:v>633</c:v>
                </c:pt>
                <c:pt idx="43">
                  <c:v>287</c:v>
                </c:pt>
                <c:pt idx="44">
                  <c:v>194</c:v>
                </c:pt>
                <c:pt idx="45">
                  <c:v>168</c:v>
                </c:pt>
                <c:pt idx="46">
                  <c:v>510</c:v>
                </c:pt>
                <c:pt idx="47">
                  <c:v>504</c:v>
                </c:pt>
                <c:pt idx="48">
                  <c:v>523</c:v>
                </c:pt>
                <c:pt idx="49">
                  <c:v>375</c:v>
                </c:pt>
                <c:pt idx="50">
                  <c:v>241</c:v>
                </c:pt>
                <c:pt idx="51">
                  <c:v>219</c:v>
                </c:pt>
                <c:pt idx="52">
                  <c:v>391</c:v>
                </c:pt>
                <c:pt idx="53">
                  <c:v>425</c:v>
                </c:pt>
                <c:pt idx="54">
                  <c:v>302</c:v>
                </c:pt>
                <c:pt idx="55">
                  <c:v>308</c:v>
                </c:pt>
                <c:pt idx="56">
                  <c:v>341</c:v>
                </c:pt>
                <c:pt idx="57">
                  <c:v>246</c:v>
                </c:pt>
                <c:pt idx="58">
                  <c:v>94</c:v>
                </c:pt>
                <c:pt idx="59">
                  <c:v>357</c:v>
                </c:pt>
                <c:pt idx="60">
                  <c:v>316</c:v>
                </c:pt>
                <c:pt idx="61">
                  <c:v>307</c:v>
                </c:pt>
                <c:pt idx="62">
                  <c:v>331</c:v>
                </c:pt>
                <c:pt idx="63">
                  <c:v>296</c:v>
                </c:pt>
                <c:pt idx="64">
                  <c:v>141</c:v>
                </c:pt>
                <c:pt idx="65">
                  <c:v>160</c:v>
                </c:pt>
                <c:pt idx="66">
                  <c:v>200</c:v>
                </c:pt>
                <c:pt idx="67">
                  <c:v>390</c:v>
                </c:pt>
                <c:pt idx="68">
                  <c:v>294</c:v>
                </c:pt>
                <c:pt idx="69">
                  <c:v>281</c:v>
                </c:pt>
                <c:pt idx="70">
                  <c:v>305</c:v>
                </c:pt>
                <c:pt idx="71">
                  <c:v>115</c:v>
                </c:pt>
                <c:pt idx="72">
                  <c:v>129</c:v>
                </c:pt>
                <c:pt idx="73">
                  <c:v>280</c:v>
                </c:pt>
                <c:pt idx="74">
                  <c:v>316</c:v>
                </c:pt>
                <c:pt idx="75">
                  <c:v>304</c:v>
                </c:pt>
                <c:pt idx="76">
                  <c:v>333</c:v>
                </c:pt>
                <c:pt idx="77">
                  <c:v>254</c:v>
                </c:pt>
                <c:pt idx="78">
                  <c:v>227</c:v>
                </c:pt>
                <c:pt idx="79">
                  <c:v>123</c:v>
                </c:pt>
                <c:pt idx="80">
                  <c:v>162</c:v>
                </c:pt>
                <c:pt idx="81">
                  <c:v>390</c:v>
                </c:pt>
                <c:pt idx="82">
                  <c:v>323</c:v>
                </c:pt>
                <c:pt idx="83">
                  <c:v>284</c:v>
                </c:pt>
                <c:pt idx="84">
                  <c:v>280</c:v>
                </c:pt>
                <c:pt idx="85">
                  <c:v>176</c:v>
                </c:pt>
                <c:pt idx="86">
                  <c:v>150</c:v>
                </c:pt>
                <c:pt idx="87">
                  <c:v>326</c:v>
                </c:pt>
                <c:pt idx="88">
                  <c:v>278</c:v>
                </c:pt>
                <c:pt idx="89">
                  <c:v>278</c:v>
                </c:pt>
                <c:pt idx="90">
                  <c:v>266</c:v>
                </c:pt>
                <c:pt idx="91">
                  <c:v>221</c:v>
                </c:pt>
                <c:pt idx="92">
                  <c:v>198</c:v>
                </c:pt>
                <c:pt idx="93">
                  <c:v>201</c:v>
                </c:pt>
                <c:pt idx="94">
                  <c:v>234</c:v>
                </c:pt>
                <c:pt idx="95">
                  <c:v>377</c:v>
                </c:pt>
                <c:pt idx="96">
                  <c:v>274</c:v>
                </c:pt>
                <c:pt idx="97">
                  <c:v>313</c:v>
                </c:pt>
                <c:pt idx="98">
                  <c:v>319</c:v>
                </c:pt>
                <c:pt idx="99">
                  <c:v>243</c:v>
                </c:pt>
                <c:pt idx="100">
                  <c:v>92</c:v>
                </c:pt>
                <c:pt idx="101">
                  <c:v>344</c:v>
                </c:pt>
                <c:pt idx="102">
                  <c:v>274</c:v>
                </c:pt>
                <c:pt idx="103">
                  <c:v>294</c:v>
                </c:pt>
                <c:pt idx="104">
                  <c:v>259</c:v>
                </c:pt>
                <c:pt idx="105">
                  <c:v>216</c:v>
                </c:pt>
                <c:pt idx="106">
                  <c:v>202</c:v>
                </c:pt>
                <c:pt idx="107">
                  <c:v>156</c:v>
                </c:pt>
                <c:pt idx="108">
                  <c:v>303</c:v>
                </c:pt>
                <c:pt idx="109">
                  <c:v>237</c:v>
                </c:pt>
                <c:pt idx="110">
                  <c:v>334</c:v>
                </c:pt>
                <c:pt idx="111">
                  <c:v>272</c:v>
                </c:pt>
                <c:pt idx="112">
                  <c:v>204</c:v>
                </c:pt>
                <c:pt idx="113">
                  <c:v>156</c:v>
                </c:pt>
                <c:pt idx="114">
                  <c:v>71</c:v>
                </c:pt>
                <c:pt idx="115">
                  <c:v>273</c:v>
                </c:pt>
                <c:pt idx="116">
                  <c:v>263</c:v>
                </c:pt>
                <c:pt idx="117">
                  <c:v>315</c:v>
                </c:pt>
                <c:pt idx="118">
                  <c:v>268</c:v>
                </c:pt>
                <c:pt idx="119">
                  <c:v>284</c:v>
                </c:pt>
                <c:pt idx="120">
                  <c:v>205</c:v>
                </c:pt>
                <c:pt idx="121">
                  <c:v>96</c:v>
                </c:pt>
                <c:pt idx="122">
                  <c:v>133</c:v>
                </c:pt>
                <c:pt idx="123">
                  <c:v>333</c:v>
                </c:pt>
                <c:pt idx="124">
                  <c:v>303</c:v>
                </c:pt>
                <c:pt idx="125">
                  <c:v>241</c:v>
                </c:pt>
                <c:pt idx="126">
                  <c:v>282</c:v>
                </c:pt>
                <c:pt idx="127">
                  <c:v>167</c:v>
                </c:pt>
                <c:pt idx="128">
                  <c:v>82</c:v>
                </c:pt>
                <c:pt idx="129">
                  <c:v>249</c:v>
                </c:pt>
                <c:pt idx="130">
                  <c:v>263</c:v>
                </c:pt>
                <c:pt idx="131">
                  <c:v>249</c:v>
                </c:pt>
                <c:pt idx="132">
                  <c:v>221</c:v>
                </c:pt>
                <c:pt idx="133">
                  <c:v>172</c:v>
                </c:pt>
                <c:pt idx="134">
                  <c:v>138</c:v>
                </c:pt>
                <c:pt idx="135">
                  <c:v>92</c:v>
                </c:pt>
                <c:pt idx="136">
                  <c:v>348</c:v>
                </c:pt>
                <c:pt idx="137">
                  <c:v>353</c:v>
                </c:pt>
                <c:pt idx="138">
                  <c:v>309</c:v>
                </c:pt>
                <c:pt idx="139">
                  <c:v>356</c:v>
                </c:pt>
                <c:pt idx="140">
                  <c:v>316</c:v>
                </c:pt>
                <c:pt idx="141">
                  <c:v>198</c:v>
                </c:pt>
                <c:pt idx="142">
                  <c:v>220</c:v>
                </c:pt>
                <c:pt idx="143">
                  <c:v>392</c:v>
                </c:pt>
                <c:pt idx="144">
                  <c:v>353</c:v>
                </c:pt>
                <c:pt idx="145">
                  <c:v>427</c:v>
                </c:pt>
                <c:pt idx="146">
                  <c:v>446</c:v>
                </c:pt>
                <c:pt idx="147">
                  <c:v>355</c:v>
                </c:pt>
                <c:pt idx="148">
                  <c:v>243</c:v>
                </c:pt>
                <c:pt idx="149">
                  <c:v>179</c:v>
                </c:pt>
                <c:pt idx="150">
                  <c:v>406</c:v>
                </c:pt>
                <c:pt idx="151">
                  <c:v>379</c:v>
                </c:pt>
                <c:pt idx="152">
                  <c:v>439</c:v>
                </c:pt>
                <c:pt idx="153">
                  <c:v>509</c:v>
                </c:pt>
                <c:pt idx="154">
                  <c:v>316</c:v>
                </c:pt>
                <c:pt idx="155">
                  <c:v>189</c:v>
                </c:pt>
                <c:pt idx="156">
                  <c:v>148</c:v>
                </c:pt>
                <c:pt idx="157">
                  <c:v>338</c:v>
                </c:pt>
                <c:pt idx="158">
                  <c:v>369</c:v>
                </c:pt>
                <c:pt idx="159">
                  <c:v>275</c:v>
                </c:pt>
                <c:pt idx="160">
                  <c:v>345</c:v>
                </c:pt>
                <c:pt idx="161">
                  <c:v>235</c:v>
                </c:pt>
                <c:pt idx="162">
                  <c:v>162</c:v>
                </c:pt>
                <c:pt idx="163">
                  <c:v>105</c:v>
                </c:pt>
                <c:pt idx="164">
                  <c:v>171</c:v>
                </c:pt>
                <c:pt idx="165">
                  <c:v>290</c:v>
                </c:pt>
                <c:pt idx="166">
                  <c:v>245</c:v>
                </c:pt>
                <c:pt idx="167">
                  <c:v>228</c:v>
                </c:pt>
                <c:pt idx="168">
                  <c:v>305</c:v>
                </c:pt>
                <c:pt idx="169">
                  <c:v>180</c:v>
                </c:pt>
                <c:pt idx="170">
                  <c:v>180</c:v>
                </c:pt>
                <c:pt idx="171">
                  <c:v>201</c:v>
                </c:pt>
                <c:pt idx="172">
                  <c:v>270</c:v>
                </c:pt>
                <c:pt idx="173">
                  <c:v>242</c:v>
                </c:pt>
                <c:pt idx="174">
                  <c:v>282</c:v>
                </c:pt>
                <c:pt idx="175">
                  <c:v>240</c:v>
                </c:pt>
                <c:pt idx="176">
                  <c:v>187</c:v>
                </c:pt>
                <c:pt idx="177">
                  <c:v>146</c:v>
                </c:pt>
                <c:pt idx="178">
                  <c:v>231</c:v>
                </c:pt>
                <c:pt idx="179">
                  <c:v>285</c:v>
                </c:pt>
                <c:pt idx="180">
                  <c:v>481</c:v>
                </c:pt>
                <c:pt idx="181">
                  <c:v>535</c:v>
                </c:pt>
                <c:pt idx="182">
                  <c:v>285</c:v>
                </c:pt>
                <c:pt idx="183">
                  <c:v>481</c:v>
                </c:pt>
                <c:pt idx="184">
                  <c:v>535</c:v>
                </c:pt>
                <c:pt idx="185">
                  <c:v>395</c:v>
                </c:pt>
                <c:pt idx="186">
                  <c:v>605</c:v>
                </c:pt>
                <c:pt idx="187">
                  <c:v>747</c:v>
                </c:pt>
                <c:pt idx="188">
                  <c:v>678</c:v>
                </c:pt>
                <c:pt idx="189">
                  <c:v>686</c:v>
                </c:pt>
                <c:pt idx="190">
                  <c:v>509</c:v>
                </c:pt>
                <c:pt idx="191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3-4A3D-B902-F29B6602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AXO-LifeStyle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Comportamiento!$E$112</c:f>
              <c:strCache>
                <c:ptCount val="1"/>
                <c:pt idx="0">
                  <c:v>Pronóstico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Comportamiento!$F$104:$GT$104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Comportamiento!$F$112:$GT$112</c:f>
              <c:numCache>
                <c:formatCode>#,##0</c:formatCode>
                <c:ptCount val="192"/>
                <c:pt idx="0">
                  <c:v>964</c:v>
                </c:pt>
                <c:pt idx="1">
                  <c:v>685</c:v>
                </c:pt>
                <c:pt idx="2">
                  <c:v>647</c:v>
                </c:pt>
                <c:pt idx="3">
                  <c:v>1247</c:v>
                </c:pt>
                <c:pt idx="4">
                  <c:v>1691</c:v>
                </c:pt>
                <c:pt idx="5">
                  <c:v>1684</c:v>
                </c:pt>
                <c:pt idx="6">
                  <c:v>1488</c:v>
                </c:pt>
                <c:pt idx="7">
                  <c:v>1666</c:v>
                </c:pt>
                <c:pt idx="8">
                  <c:v>1209</c:v>
                </c:pt>
                <c:pt idx="9">
                  <c:v>781</c:v>
                </c:pt>
                <c:pt idx="10">
                  <c:v>3558</c:v>
                </c:pt>
                <c:pt idx="11">
                  <c:v>3124</c:v>
                </c:pt>
                <c:pt idx="12">
                  <c:v>3237</c:v>
                </c:pt>
                <c:pt idx="13">
                  <c:v>2599</c:v>
                </c:pt>
                <c:pt idx="14">
                  <c:v>2239</c:v>
                </c:pt>
                <c:pt idx="15">
                  <c:v>1439</c:v>
                </c:pt>
                <c:pt idx="16">
                  <c:v>469</c:v>
                </c:pt>
                <c:pt idx="17">
                  <c:v>1555</c:v>
                </c:pt>
                <c:pt idx="18">
                  <c:v>1539</c:v>
                </c:pt>
                <c:pt idx="19">
                  <c:v>1592</c:v>
                </c:pt>
                <c:pt idx="20">
                  <c:v>1519</c:v>
                </c:pt>
                <c:pt idx="21">
                  <c:v>1577</c:v>
                </c:pt>
                <c:pt idx="22">
                  <c:v>1073</c:v>
                </c:pt>
                <c:pt idx="23">
                  <c:v>821</c:v>
                </c:pt>
                <c:pt idx="24">
                  <c:v>1049</c:v>
                </c:pt>
                <c:pt idx="25">
                  <c:v>1016</c:v>
                </c:pt>
                <c:pt idx="26">
                  <c:v>1722</c:v>
                </c:pt>
                <c:pt idx="27">
                  <c:v>1708</c:v>
                </c:pt>
                <c:pt idx="28">
                  <c:v>1636</c:v>
                </c:pt>
                <c:pt idx="29">
                  <c:v>1056</c:v>
                </c:pt>
                <c:pt idx="30">
                  <c:v>845</c:v>
                </c:pt>
                <c:pt idx="31">
                  <c:v>2042</c:v>
                </c:pt>
                <c:pt idx="32">
                  <c:v>2441</c:v>
                </c:pt>
                <c:pt idx="33">
                  <c:v>2165</c:v>
                </c:pt>
                <c:pt idx="34">
                  <c:v>1997</c:v>
                </c:pt>
                <c:pt idx="35">
                  <c:v>1799</c:v>
                </c:pt>
                <c:pt idx="36">
                  <c:v>923</c:v>
                </c:pt>
                <c:pt idx="37">
                  <c:v>520</c:v>
                </c:pt>
                <c:pt idx="38">
                  <c:v>527</c:v>
                </c:pt>
                <c:pt idx="39">
                  <c:v>1707</c:v>
                </c:pt>
                <c:pt idx="40">
                  <c:v>1448</c:v>
                </c:pt>
                <c:pt idx="41">
                  <c:v>1381</c:v>
                </c:pt>
                <c:pt idx="42">
                  <c:v>1288</c:v>
                </c:pt>
                <c:pt idx="43">
                  <c:v>759</c:v>
                </c:pt>
                <c:pt idx="44">
                  <c:v>411</c:v>
                </c:pt>
                <c:pt idx="45">
                  <c:v>346</c:v>
                </c:pt>
                <c:pt idx="46">
                  <c:v>2169</c:v>
                </c:pt>
                <c:pt idx="47">
                  <c:v>1887</c:v>
                </c:pt>
                <c:pt idx="48">
                  <c:v>1602</c:v>
                </c:pt>
                <c:pt idx="49">
                  <c:v>1462</c:v>
                </c:pt>
                <c:pt idx="50">
                  <c:v>902</c:v>
                </c:pt>
                <c:pt idx="51">
                  <c:v>479</c:v>
                </c:pt>
                <c:pt idx="52">
                  <c:v>1879</c:v>
                </c:pt>
                <c:pt idx="53">
                  <c:v>1541</c:v>
                </c:pt>
                <c:pt idx="54">
                  <c:v>2065</c:v>
                </c:pt>
                <c:pt idx="55">
                  <c:v>2042</c:v>
                </c:pt>
                <c:pt idx="56">
                  <c:v>1962</c:v>
                </c:pt>
                <c:pt idx="57">
                  <c:v>1101</c:v>
                </c:pt>
                <c:pt idx="58">
                  <c:v>696</c:v>
                </c:pt>
                <c:pt idx="59">
                  <c:v>2230</c:v>
                </c:pt>
                <c:pt idx="60">
                  <c:v>2097</c:v>
                </c:pt>
                <c:pt idx="61">
                  <c:v>2339</c:v>
                </c:pt>
                <c:pt idx="62">
                  <c:v>2042</c:v>
                </c:pt>
                <c:pt idx="63">
                  <c:v>2023</c:v>
                </c:pt>
                <c:pt idx="64">
                  <c:v>1201</c:v>
                </c:pt>
                <c:pt idx="65">
                  <c:v>727</c:v>
                </c:pt>
                <c:pt idx="66">
                  <c:v>2603</c:v>
                </c:pt>
                <c:pt idx="67">
                  <c:v>2227</c:v>
                </c:pt>
                <c:pt idx="68">
                  <c:v>1673</c:v>
                </c:pt>
                <c:pt idx="69">
                  <c:v>1578</c:v>
                </c:pt>
                <c:pt idx="70">
                  <c:v>1414</c:v>
                </c:pt>
                <c:pt idx="71">
                  <c:v>695</c:v>
                </c:pt>
                <c:pt idx="72">
                  <c:v>485</c:v>
                </c:pt>
                <c:pt idx="73">
                  <c:v>1343</c:v>
                </c:pt>
                <c:pt idx="74">
                  <c:v>1268</c:v>
                </c:pt>
                <c:pt idx="75">
                  <c:v>1118</c:v>
                </c:pt>
                <c:pt idx="76">
                  <c:v>1032</c:v>
                </c:pt>
                <c:pt idx="77">
                  <c:v>943</c:v>
                </c:pt>
                <c:pt idx="78">
                  <c:v>508</c:v>
                </c:pt>
                <c:pt idx="79">
                  <c:v>346</c:v>
                </c:pt>
                <c:pt idx="80">
                  <c:v>404</c:v>
                </c:pt>
                <c:pt idx="81">
                  <c:v>948</c:v>
                </c:pt>
                <c:pt idx="82">
                  <c:v>827</c:v>
                </c:pt>
                <c:pt idx="83">
                  <c:v>777</c:v>
                </c:pt>
                <c:pt idx="84">
                  <c:v>726</c:v>
                </c:pt>
                <c:pt idx="85">
                  <c:v>420</c:v>
                </c:pt>
                <c:pt idx="86">
                  <c:v>272</c:v>
                </c:pt>
                <c:pt idx="87">
                  <c:v>834</c:v>
                </c:pt>
                <c:pt idx="88">
                  <c:v>743</c:v>
                </c:pt>
                <c:pt idx="89">
                  <c:v>706</c:v>
                </c:pt>
                <c:pt idx="90">
                  <c:v>664</c:v>
                </c:pt>
                <c:pt idx="91">
                  <c:v>584</c:v>
                </c:pt>
                <c:pt idx="92">
                  <c:v>368</c:v>
                </c:pt>
                <c:pt idx="93">
                  <c:v>230</c:v>
                </c:pt>
                <c:pt idx="94">
                  <c:v>764</c:v>
                </c:pt>
                <c:pt idx="95">
                  <c:v>703</c:v>
                </c:pt>
                <c:pt idx="96">
                  <c:v>692</c:v>
                </c:pt>
                <c:pt idx="97">
                  <c:v>656</c:v>
                </c:pt>
                <c:pt idx="98">
                  <c:v>555</c:v>
                </c:pt>
                <c:pt idx="99">
                  <c:v>346</c:v>
                </c:pt>
                <c:pt idx="100">
                  <c:v>241</c:v>
                </c:pt>
                <c:pt idx="101">
                  <c:v>705</c:v>
                </c:pt>
                <c:pt idx="102">
                  <c:v>692</c:v>
                </c:pt>
                <c:pt idx="103">
                  <c:v>635</c:v>
                </c:pt>
                <c:pt idx="104">
                  <c:v>674</c:v>
                </c:pt>
                <c:pt idx="105">
                  <c:v>582</c:v>
                </c:pt>
                <c:pt idx="106">
                  <c:v>319</c:v>
                </c:pt>
                <c:pt idx="107">
                  <c:v>212</c:v>
                </c:pt>
                <c:pt idx="108">
                  <c:v>657</c:v>
                </c:pt>
                <c:pt idx="109">
                  <c:v>627</c:v>
                </c:pt>
                <c:pt idx="110">
                  <c:v>557</c:v>
                </c:pt>
                <c:pt idx="111">
                  <c:v>511</c:v>
                </c:pt>
                <c:pt idx="112">
                  <c:v>458</c:v>
                </c:pt>
                <c:pt idx="113">
                  <c:v>299</c:v>
                </c:pt>
                <c:pt idx="114">
                  <c:v>217</c:v>
                </c:pt>
                <c:pt idx="115">
                  <c:v>599</c:v>
                </c:pt>
                <c:pt idx="116">
                  <c:v>565</c:v>
                </c:pt>
                <c:pt idx="117">
                  <c:v>526</c:v>
                </c:pt>
                <c:pt idx="118">
                  <c:v>483</c:v>
                </c:pt>
                <c:pt idx="119">
                  <c:v>465</c:v>
                </c:pt>
                <c:pt idx="120">
                  <c:v>275</c:v>
                </c:pt>
                <c:pt idx="121">
                  <c:v>193</c:v>
                </c:pt>
                <c:pt idx="122">
                  <c:v>215</c:v>
                </c:pt>
                <c:pt idx="123">
                  <c:v>611</c:v>
                </c:pt>
                <c:pt idx="124">
                  <c:v>566</c:v>
                </c:pt>
                <c:pt idx="125">
                  <c:v>499</c:v>
                </c:pt>
                <c:pt idx="126">
                  <c:v>454</c:v>
                </c:pt>
                <c:pt idx="127">
                  <c:v>302</c:v>
                </c:pt>
                <c:pt idx="128">
                  <c:v>215</c:v>
                </c:pt>
                <c:pt idx="129">
                  <c:v>602</c:v>
                </c:pt>
                <c:pt idx="130">
                  <c:v>577</c:v>
                </c:pt>
                <c:pt idx="131">
                  <c:v>506</c:v>
                </c:pt>
                <c:pt idx="132">
                  <c:v>281</c:v>
                </c:pt>
                <c:pt idx="133">
                  <c:v>251</c:v>
                </c:pt>
                <c:pt idx="134">
                  <c:v>185</c:v>
                </c:pt>
                <c:pt idx="135">
                  <c:v>163</c:v>
                </c:pt>
                <c:pt idx="136">
                  <c:v>594</c:v>
                </c:pt>
                <c:pt idx="137">
                  <c:v>465</c:v>
                </c:pt>
                <c:pt idx="138">
                  <c:v>450</c:v>
                </c:pt>
                <c:pt idx="139">
                  <c:v>396</c:v>
                </c:pt>
                <c:pt idx="140">
                  <c:v>353</c:v>
                </c:pt>
                <c:pt idx="141">
                  <c:v>225</c:v>
                </c:pt>
                <c:pt idx="142">
                  <c:v>186</c:v>
                </c:pt>
                <c:pt idx="143">
                  <c:v>450</c:v>
                </c:pt>
                <c:pt idx="144">
                  <c:v>409</c:v>
                </c:pt>
                <c:pt idx="145">
                  <c:v>390</c:v>
                </c:pt>
                <c:pt idx="146">
                  <c:v>360</c:v>
                </c:pt>
                <c:pt idx="147">
                  <c:v>344</c:v>
                </c:pt>
                <c:pt idx="148">
                  <c:v>234</c:v>
                </c:pt>
                <c:pt idx="149">
                  <c:v>161</c:v>
                </c:pt>
                <c:pt idx="150">
                  <c:v>393</c:v>
                </c:pt>
                <c:pt idx="151">
                  <c:v>371</c:v>
                </c:pt>
                <c:pt idx="152">
                  <c:v>345</c:v>
                </c:pt>
                <c:pt idx="153">
                  <c:v>353</c:v>
                </c:pt>
                <c:pt idx="154">
                  <c:v>330</c:v>
                </c:pt>
                <c:pt idx="155">
                  <c:v>248</c:v>
                </c:pt>
                <c:pt idx="156">
                  <c:v>165</c:v>
                </c:pt>
                <c:pt idx="157">
                  <c:v>753</c:v>
                </c:pt>
                <c:pt idx="158">
                  <c:v>697</c:v>
                </c:pt>
                <c:pt idx="159">
                  <c:v>661</c:v>
                </c:pt>
                <c:pt idx="160">
                  <c:v>505</c:v>
                </c:pt>
                <c:pt idx="161">
                  <c:v>466</c:v>
                </c:pt>
                <c:pt idx="162">
                  <c:v>247</c:v>
                </c:pt>
                <c:pt idx="163">
                  <c:v>186</c:v>
                </c:pt>
                <c:pt idx="164">
                  <c:v>793</c:v>
                </c:pt>
                <c:pt idx="165">
                  <c:v>735</c:v>
                </c:pt>
                <c:pt idx="166">
                  <c:v>508</c:v>
                </c:pt>
                <c:pt idx="167">
                  <c:v>1610</c:v>
                </c:pt>
                <c:pt idx="168">
                  <c:v>1328</c:v>
                </c:pt>
                <c:pt idx="169">
                  <c:v>938</c:v>
                </c:pt>
                <c:pt idx="170">
                  <c:v>789</c:v>
                </c:pt>
                <c:pt idx="171">
                  <c:v>1822</c:v>
                </c:pt>
                <c:pt idx="172">
                  <c:v>1763</c:v>
                </c:pt>
                <c:pt idx="173">
                  <c:v>1642</c:v>
                </c:pt>
                <c:pt idx="174">
                  <c:v>1857</c:v>
                </c:pt>
                <c:pt idx="175">
                  <c:v>1671</c:v>
                </c:pt>
                <c:pt idx="176">
                  <c:v>1100</c:v>
                </c:pt>
                <c:pt idx="177">
                  <c:v>725</c:v>
                </c:pt>
                <c:pt idx="178">
                  <c:v>2339</c:v>
                </c:pt>
                <c:pt idx="179">
                  <c:v>2239</c:v>
                </c:pt>
                <c:pt idx="180">
                  <c:v>3415</c:v>
                </c:pt>
                <c:pt idx="181">
                  <c:v>3679</c:v>
                </c:pt>
                <c:pt idx="182">
                  <c:v>3789</c:v>
                </c:pt>
                <c:pt idx="183">
                  <c:v>2756</c:v>
                </c:pt>
                <c:pt idx="184">
                  <c:v>2005</c:v>
                </c:pt>
                <c:pt idx="185">
                  <c:v>2771</c:v>
                </c:pt>
                <c:pt idx="186">
                  <c:v>2764</c:v>
                </c:pt>
                <c:pt idx="187">
                  <c:v>2882</c:v>
                </c:pt>
                <c:pt idx="188">
                  <c:v>2707</c:v>
                </c:pt>
                <c:pt idx="189">
                  <c:v>2126</c:v>
                </c:pt>
                <c:pt idx="190">
                  <c:v>1111</c:v>
                </c:pt>
                <c:pt idx="191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0-43B5-86CB-3B9F09B0537C}"/>
            </c:ext>
          </c:extLst>
        </c:ser>
        <c:ser>
          <c:idx val="0"/>
          <c:order val="1"/>
          <c:tx>
            <c:strRef>
              <c:f>Comportamiento!$E$105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Comportamiento!$F$104:$GT$104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Comportamiento!$F$105:$GT$105</c:f>
              <c:numCache>
                <c:formatCode>#,##0</c:formatCode>
                <c:ptCount val="192"/>
                <c:pt idx="0">
                  <c:v>885</c:v>
                </c:pt>
                <c:pt idx="1">
                  <c:v>735</c:v>
                </c:pt>
                <c:pt idx="2">
                  <c:v>721</c:v>
                </c:pt>
                <c:pt idx="3">
                  <c:v>1256</c:v>
                </c:pt>
                <c:pt idx="4">
                  <c:v>1562</c:v>
                </c:pt>
                <c:pt idx="5">
                  <c:v>1514</c:v>
                </c:pt>
                <c:pt idx="6">
                  <c:v>1398</c:v>
                </c:pt>
                <c:pt idx="7">
                  <c:v>1723</c:v>
                </c:pt>
                <c:pt idx="8">
                  <c:v>1186</c:v>
                </c:pt>
                <c:pt idx="9">
                  <c:v>788</c:v>
                </c:pt>
                <c:pt idx="10">
                  <c:v>3405</c:v>
                </c:pt>
                <c:pt idx="11">
                  <c:v>3408</c:v>
                </c:pt>
                <c:pt idx="12">
                  <c:v>3224</c:v>
                </c:pt>
                <c:pt idx="13">
                  <c:v>2722</c:v>
                </c:pt>
                <c:pt idx="14">
                  <c:v>2170</c:v>
                </c:pt>
                <c:pt idx="15">
                  <c:v>1647</c:v>
                </c:pt>
                <c:pt idx="16">
                  <c:v>748</c:v>
                </c:pt>
                <c:pt idx="17">
                  <c:v>2332</c:v>
                </c:pt>
                <c:pt idx="18">
                  <c:v>2417</c:v>
                </c:pt>
                <c:pt idx="19">
                  <c:v>1650</c:v>
                </c:pt>
                <c:pt idx="20">
                  <c:v>1358</c:v>
                </c:pt>
                <c:pt idx="21">
                  <c:v>1456</c:v>
                </c:pt>
                <c:pt idx="22">
                  <c:v>947</c:v>
                </c:pt>
                <c:pt idx="23">
                  <c:v>829</c:v>
                </c:pt>
                <c:pt idx="24">
                  <c:v>2066</c:v>
                </c:pt>
                <c:pt idx="25">
                  <c:v>1861</c:v>
                </c:pt>
                <c:pt idx="26">
                  <c:v>1962</c:v>
                </c:pt>
                <c:pt idx="27">
                  <c:v>1833</c:v>
                </c:pt>
                <c:pt idx="28">
                  <c:v>1800</c:v>
                </c:pt>
                <c:pt idx="29">
                  <c:v>1093</c:v>
                </c:pt>
                <c:pt idx="30">
                  <c:v>924</c:v>
                </c:pt>
                <c:pt idx="31">
                  <c:v>2576</c:v>
                </c:pt>
                <c:pt idx="32">
                  <c:v>2207</c:v>
                </c:pt>
                <c:pt idx="33">
                  <c:v>1906</c:v>
                </c:pt>
                <c:pt idx="34">
                  <c:v>1623</c:v>
                </c:pt>
                <c:pt idx="35">
                  <c:v>1496</c:v>
                </c:pt>
                <c:pt idx="36">
                  <c:v>949</c:v>
                </c:pt>
                <c:pt idx="37">
                  <c:v>482</c:v>
                </c:pt>
                <c:pt idx="38">
                  <c:v>463</c:v>
                </c:pt>
                <c:pt idx="39">
                  <c:v>1921</c:v>
                </c:pt>
                <c:pt idx="40">
                  <c:v>1400</c:v>
                </c:pt>
                <c:pt idx="41">
                  <c:v>1612</c:v>
                </c:pt>
                <c:pt idx="42">
                  <c:v>1199</c:v>
                </c:pt>
                <c:pt idx="43">
                  <c:v>797</c:v>
                </c:pt>
                <c:pt idx="44">
                  <c:v>372</c:v>
                </c:pt>
                <c:pt idx="45">
                  <c:v>345</c:v>
                </c:pt>
                <c:pt idx="46">
                  <c:v>1831</c:v>
                </c:pt>
                <c:pt idx="47">
                  <c:v>1711</c:v>
                </c:pt>
                <c:pt idx="48">
                  <c:v>1593</c:v>
                </c:pt>
                <c:pt idx="49">
                  <c:v>1570</c:v>
                </c:pt>
                <c:pt idx="50">
                  <c:v>939</c:v>
                </c:pt>
                <c:pt idx="51">
                  <c:v>609</c:v>
                </c:pt>
                <c:pt idx="52">
                  <c:v>1764</c:v>
                </c:pt>
                <c:pt idx="53">
                  <c:v>1929</c:v>
                </c:pt>
                <c:pt idx="54">
                  <c:v>2221</c:v>
                </c:pt>
                <c:pt idx="55">
                  <c:v>2167</c:v>
                </c:pt>
                <c:pt idx="56">
                  <c:v>1904</c:v>
                </c:pt>
                <c:pt idx="57">
                  <c:v>925</c:v>
                </c:pt>
                <c:pt idx="58">
                  <c:v>585</c:v>
                </c:pt>
                <c:pt idx="59">
                  <c:v>2882</c:v>
                </c:pt>
                <c:pt idx="60">
                  <c:v>2666</c:v>
                </c:pt>
                <c:pt idx="61">
                  <c:v>2316</c:v>
                </c:pt>
                <c:pt idx="62">
                  <c:v>1844</c:v>
                </c:pt>
                <c:pt idx="63">
                  <c:v>1582</c:v>
                </c:pt>
                <c:pt idx="64">
                  <c:v>740</c:v>
                </c:pt>
                <c:pt idx="65">
                  <c:v>474</c:v>
                </c:pt>
                <c:pt idx="66">
                  <c:v>2163</c:v>
                </c:pt>
                <c:pt idx="67">
                  <c:v>1935</c:v>
                </c:pt>
                <c:pt idx="68">
                  <c:v>1124</c:v>
                </c:pt>
                <c:pt idx="69">
                  <c:v>1106</c:v>
                </c:pt>
                <c:pt idx="70">
                  <c:v>728</c:v>
                </c:pt>
                <c:pt idx="71">
                  <c:v>369</c:v>
                </c:pt>
                <c:pt idx="72">
                  <c:v>275</c:v>
                </c:pt>
                <c:pt idx="73">
                  <c:v>985</c:v>
                </c:pt>
                <c:pt idx="74">
                  <c:v>948</c:v>
                </c:pt>
                <c:pt idx="75">
                  <c:v>974</c:v>
                </c:pt>
                <c:pt idx="76">
                  <c:v>830</c:v>
                </c:pt>
                <c:pt idx="77">
                  <c:v>675</c:v>
                </c:pt>
                <c:pt idx="78">
                  <c:v>396</c:v>
                </c:pt>
                <c:pt idx="79">
                  <c:v>310</c:v>
                </c:pt>
                <c:pt idx="80">
                  <c:v>445</c:v>
                </c:pt>
                <c:pt idx="81">
                  <c:v>826</c:v>
                </c:pt>
                <c:pt idx="82">
                  <c:v>757</c:v>
                </c:pt>
                <c:pt idx="83">
                  <c:v>771</c:v>
                </c:pt>
                <c:pt idx="84">
                  <c:v>633</c:v>
                </c:pt>
                <c:pt idx="85">
                  <c:v>399</c:v>
                </c:pt>
                <c:pt idx="86">
                  <c:v>254</c:v>
                </c:pt>
                <c:pt idx="87">
                  <c:v>746</c:v>
                </c:pt>
                <c:pt idx="88">
                  <c:v>788</c:v>
                </c:pt>
                <c:pt idx="89">
                  <c:v>591</c:v>
                </c:pt>
                <c:pt idx="90">
                  <c:v>704</c:v>
                </c:pt>
                <c:pt idx="91">
                  <c:v>629</c:v>
                </c:pt>
                <c:pt idx="92">
                  <c:v>349</c:v>
                </c:pt>
                <c:pt idx="93">
                  <c:v>261</c:v>
                </c:pt>
                <c:pt idx="94">
                  <c:v>760</c:v>
                </c:pt>
                <c:pt idx="95">
                  <c:v>796</c:v>
                </c:pt>
                <c:pt idx="96">
                  <c:v>692</c:v>
                </c:pt>
                <c:pt idx="97">
                  <c:v>617</c:v>
                </c:pt>
                <c:pt idx="98">
                  <c:v>609</c:v>
                </c:pt>
                <c:pt idx="99">
                  <c:v>318</c:v>
                </c:pt>
                <c:pt idx="100">
                  <c:v>240</c:v>
                </c:pt>
                <c:pt idx="101">
                  <c:v>705</c:v>
                </c:pt>
                <c:pt idx="102">
                  <c:v>635</c:v>
                </c:pt>
                <c:pt idx="103">
                  <c:v>548</c:v>
                </c:pt>
                <c:pt idx="104">
                  <c:v>524</c:v>
                </c:pt>
                <c:pt idx="105">
                  <c:v>621</c:v>
                </c:pt>
                <c:pt idx="106">
                  <c:v>420</c:v>
                </c:pt>
                <c:pt idx="107">
                  <c:v>284</c:v>
                </c:pt>
                <c:pt idx="108">
                  <c:v>553</c:v>
                </c:pt>
                <c:pt idx="109">
                  <c:v>629</c:v>
                </c:pt>
                <c:pt idx="110">
                  <c:v>606</c:v>
                </c:pt>
                <c:pt idx="111">
                  <c:v>455</c:v>
                </c:pt>
                <c:pt idx="112">
                  <c:v>388</c:v>
                </c:pt>
                <c:pt idx="113">
                  <c:v>260</c:v>
                </c:pt>
                <c:pt idx="114">
                  <c:v>182</c:v>
                </c:pt>
                <c:pt idx="115">
                  <c:v>623</c:v>
                </c:pt>
                <c:pt idx="116">
                  <c:v>561</c:v>
                </c:pt>
                <c:pt idx="117">
                  <c:v>523</c:v>
                </c:pt>
                <c:pt idx="118">
                  <c:v>437</c:v>
                </c:pt>
                <c:pt idx="119">
                  <c:v>455</c:v>
                </c:pt>
                <c:pt idx="120">
                  <c:v>320</c:v>
                </c:pt>
                <c:pt idx="121">
                  <c:v>237</c:v>
                </c:pt>
                <c:pt idx="122">
                  <c:v>250</c:v>
                </c:pt>
                <c:pt idx="123">
                  <c:v>613</c:v>
                </c:pt>
                <c:pt idx="124">
                  <c:v>546</c:v>
                </c:pt>
                <c:pt idx="125">
                  <c:v>594</c:v>
                </c:pt>
                <c:pt idx="126">
                  <c:v>499</c:v>
                </c:pt>
                <c:pt idx="127">
                  <c:v>295</c:v>
                </c:pt>
                <c:pt idx="128">
                  <c:v>219</c:v>
                </c:pt>
                <c:pt idx="129">
                  <c:v>595</c:v>
                </c:pt>
                <c:pt idx="130">
                  <c:v>465</c:v>
                </c:pt>
                <c:pt idx="131">
                  <c:v>495</c:v>
                </c:pt>
                <c:pt idx="132">
                  <c:v>245</c:v>
                </c:pt>
                <c:pt idx="133">
                  <c:v>239</c:v>
                </c:pt>
                <c:pt idx="134">
                  <c:v>166</c:v>
                </c:pt>
                <c:pt idx="135">
                  <c:v>149</c:v>
                </c:pt>
                <c:pt idx="136">
                  <c:v>581</c:v>
                </c:pt>
                <c:pt idx="137">
                  <c:v>371</c:v>
                </c:pt>
                <c:pt idx="138">
                  <c:v>431</c:v>
                </c:pt>
                <c:pt idx="139">
                  <c:v>353</c:v>
                </c:pt>
                <c:pt idx="140">
                  <c:v>314</c:v>
                </c:pt>
                <c:pt idx="141">
                  <c:v>213</c:v>
                </c:pt>
                <c:pt idx="142">
                  <c:v>174</c:v>
                </c:pt>
                <c:pt idx="143">
                  <c:v>423</c:v>
                </c:pt>
                <c:pt idx="144">
                  <c:v>389</c:v>
                </c:pt>
                <c:pt idx="145">
                  <c:v>344</c:v>
                </c:pt>
                <c:pt idx="146">
                  <c:v>280</c:v>
                </c:pt>
                <c:pt idx="147">
                  <c:v>305</c:v>
                </c:pt>
                <c:pt idx="148">
                  <c:v>182</c:v>
                </c:pt>
                <c:pt idx="149">
                  <c:v>165</c:v>
                </c:pt>
                <c:pt idx="150">
                  <c:v>370</c:v>
                </c:pt>
                <c:pt idx="151">
                  <c:v>375</c:v>
                </c:pt>
                <c:pt idx="152">
                  <c:v>377</c:v>
                </c:pt>
                <c:pt idx="153">
                  <c:v>411</c:v>
                </c:pt>
                <c:pt idx="154">
                  <c:v>555</c:v>
                </c:pt>
                <c:pt idx="155">
                  <c:v>353</c:v>
                </c:pt>
                <c:pt idx="156">
                  <c:v>336</c:v>
                </c:pt>
                <c:pt idx="157">
                  <c:v>852</c:v>
                </c:pt>
                <c:pt idx="158">
                  <c:v>598</c:v>
                </c:pt>
                <c:pt idx="159">
                  <c:v>537</c:v>
                </c:pt>
                <c:pt idx="160">
                  <c:v>515</c:v>
                </c:pt>
                <c:pt idx="161">
                  <c:v>663</c:v>
                </c:pt>
                <c:pt idx="162">
                  <c:v>525</c:v>
                </c:pt>
                <c:pt idx="163">
                  <c:v>452</c:v>
                </c:pt>
                <c:pt idx="164">
                  <c:v>1600</c:v>
                </c:pt>
                <c:pt idx="165">
                  <c:v>1479</c:v>
                </c:pt>
                <c:pt idx="166">
                  <c:v>907</c:v>
                </c:pt>
                <c:pt idx="167">
                  <c:v>2087</c:v>
                </c:pt>
                <c:pt idx="168">
                  <c:v>1675</c:v>
                </c:pt>
                <c:pt idx="169">
                  <c:v>869</c:v>
                </c:pt>
                <c:pt idx="170">
                  <c:v>565</c:v>
                </c:pt>
                <c:pt idx="171">
                  <c:v>2284</c:v>
                </c:pt>
                <c:pt idx="172">
                  <c:v>2104</c:v>
                </c:pt>
                <c:pt idx="173">
                  <c:v>1814</c:v>
                </c:pt>
                <c:pt idx="174">
                  <c:v>2070</c:v>
                </c:pt>
                <c:pt idx="175">
                  <c:v>1870</c:v>
                </c:pt>
                <c:pt idx="176">
                  <c:v>1173</c:v>
                </c:pt>
                <c:pt idx="177">
                  <c:v>457</c:v>
                </c:pt>
                <c:pt idx="178">
                  <c:v>2590</c:v>
                </c:pt>
                <c:pt idx="179">
                  <c:v>2543</c:v>
                </c:pt>
                <c:pt idx="180">
                  <c:v>2804</c:v>
                </c:pt>
                <c:pt idx="181">
                  <c:v>2423</c:v>
                </c:pt>
                <c:pt idx="182">
                  <c:v>2231</c:v>
                </c:pt>
                <c:pt idx="183">
                  <c:v>1144</c:v>
                </c:pt>
                <c:pt idx="184">
                  <c:v>719</c:v>
                </c:pt>
                <c:pt idx="185">
                  <c:v>2516</c:v>
                </c:pt>
                <c:pt idx="186">
                  <c:v>3015</c:v>
                </c:pt>
                <c:pt idx="187">
                  <c:v>2788</c:v>
                </c:pt>
                <c:pt idx="188">
                  <c:v>2410</c:v>
                </c:pt>
                <c:pt idx="189">
                  <c:v>2121</c:v>
                </c:pt>
                <c:pt idx="190">
                  <c:v>915</c:v>
                </c:pt>
                <c:pt idx="191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C-4EAB-9445-4286BDEF61A8}"/>
            </c:ext>
          </c:extLst>
        </c:ser>
        <c:ser>
          <c:idx val="4"/>
          <c:order val="2"/>
          <c:tx>
            <c:strRef>
              <c:f>Comportamiento!$E$110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Comportamiento!$F$104:$GT$104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Comportamiento!$F$110:$GT$110</c:f>
              <c:numCache>
                <c:formatCode>#,##0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447</c:v>
                </c:pt>
                <c:pt idx="6">
                  <c:v>553</c:v>
                </c:pt>
                <c:pt idx="7">
                  <c:v>600</c:v>
                </c:pt>
                <c:pt idx="8">
                  <c:v>920</c:v>
                </c:pt>
                <c:pt idx="9">
                  <c:v>1101</c:v>
                </c:pt>
                <c:pt idx="10">
                  <c:v>1317</c:v>
                </c:pt>
                <c:pt idx="11">
                  <c:v>2097</c:v>
                </c:pt>
                <c:pt idx="12">
                  <c:v>1707</c:v>
                </c:pt>
                <c:pt idx="13">
                  <c:v>2256</c:v>
                </c:pt>
                <c:pt idx="14">
                  <c:v>2424</c:v>
                </c:pt>
                <c:pt idx="15">
                  <c:v>2848</c:v>
                </c:pt>
                <c:pt idx="16">
                  <c:v>3365</c:v>
                </c:pt>
                <c:pt idx="17">
                  <c:v>3267</c:v>
                </c:pt>
                <c:pt idx="18">
                  <c:v>3081</c:v>
                </c:pt>
                <c:pt idx="19">
                  <c:v>2873</c:v>
                </c:pt>
                <c:pt idx="20">
                  <c:v>2944</c:v>
                </c:pt>
                <c:pt idx="21">
                  <c:v>2669</c:v>
                </c:pt>
                <c:pt idx="22">
                  <c:v>2324</c:v>
                </c:pt>
                <c:pt idx="23">
                  <c:v>2524</c:v>
                </c:pt>
                <c:pt idx="24">
                  <c:v>2048</c:v>
                </c:pt>
                <c:pt idx="25">
                  <c:v>2200</c:v>
                </c:pt>
                <c:pt idx="26">
                  <c:v>2182</c:v>
                </c:pt>
                <c:pt idx="27">
                  <c:v>2290</c:v>
                </c:pt>
                <c:pt idx="28">
                  <c:v>2069</c:v>
                </c:pt>
                <c:pt idx="29">
                  <c:v>2261</c:v>
                </c:pt>
                <c:pt idx="30">
                  <c:v>2421</c:v>
                </c:pt>
                <c:pt idx="31">
                  <c:v>3200</c:v>
                </c:pt>
                <c:pt idx="32">
                  <c:v>3871</c:v>
                </c:pt>
                <c:pt idx="33">
                  <c:v>3893</c:v>
                </c:pt>
                <c:pt idx="34">
                  <c:v>3518</c:v>
                </c:pt>
                <c:pt idx="35">
                  <c:v>3644</c:v>
                </c:pt>
                <c:pt idx="36">
                  <c:v>3646</c:v>
                </c:pt>
                <c:pt idx="37">
                  <c:v>3568</c:v>
                </c:pt>
                <c:pt idx="38">
                  <c:v>3364</c:v>
                </c:pt>
                <c:pt idx="39">
                  <c:v>2768</c:v>
                </c:pt>
                <c:pt idx="40">
                  <c:v>2945</c:v>
                </c:pt>
                <c:pt idx="41">
                  <c:v>2188</c:v>
                </c:pt>
                <c:pt idx="42">
                  <c:v>1551</c:v>
                </c:pt>
                <c:pt idx="43">
                  <c:v>1295</c:v>
                </c:pt>
                <c:pt idx="44">
                  <c:v>1224</c:v>
                </c:pt>
                <c:pt idx="45">
                  <c:v>616</c:v>
                </c:pt>
                <c:pt idx="46">
                  <c:v>261</c:v>
                </c:pt>
                <c:pt idx="47">
                  <c:v>606</c:v>
                </c:pt>
                <c:pt idx="48">
                  <c:v>777</c:v>
                </c:pt>
                <c:pt idx="49">
                  <c:v>886</c:v>
                </c:pt>
                <c:pt idx="50">
                  <c:v>1107</c:v>
                </c:pt>
                <c:pt idx="51">
                  <c:v>1256</c:v>
                </c:pt>
                <c:pt idx="52">
                  <c:v>1010</c:v>
                </c:pt>
                <c:pt idx="53">
                  <c:v>1208</c:v>
                </c:pt>
                <c:pt idx="54">
                  <c:v>1447</c:v>
                </c:pt>
                <c:pt idx="55">
                  <c:v>1647</c:v>
                </c:pt>
                <c:pt idx="56">
                  <c:v>1793</c:v>
                </c:pt>
                <c:pt idx="57">
                  <c:v>1562</c:v>
                </c:pt>
                <c:pt idx="58">
                  <c:v>1700</c:v>
                </c:pt>
                <c:pt idx="59">
                  <c:v>1784</c:v>
                </c:pt>
                <c:pt idx="60">
                  <c:v>2016</c:v>
                </c:pt>
                <c:pt idx="61">
                  <c:v>1989</c:v>
                </c:pt>
                <c:pt idx="62">
                  <c:v>1823</c:v>
                </c:pt>
                <c:pt idx="63">
                  <c:v>1400</c:v>
                </c:pt>
                <c:pt idx="64">
                  <c:v>1046</c:v>
                </c:pt>
                <c:pt idx="65">
                  <c:v>779</c:v>
                </c:pt>
                <c:pt idx="66">
                  <c:v>640</c:v>
                </c:pt>
                <c:pt idx="67">
                  <c:v>342</c:v>
                </c:pt>
                <c:pt idx="68">
                  <c:v>102</c:v>
                </c:pt>
                <c:pt idx="69">
                  <c:v>179</c:v>
                </c:pt>
                <c:pt idx="70">
                  <c:v>201</c:v>
                </c:pt>
                <c:pt idx="71">
                  <c:v>203</c:v>
                </c:pt>
                <c:pt idx="72">
                  <c:v>324</c:v>
                </c:pt>
                <c:pt idx="73">
                  <c:v>179</c:v>
                </c:pt>
                <c:pt idx="74">
                  <c:v>169</c:v>
                </c:pt>
                <c:pt idx="75">
                  <c:v>179</c:v>
                </c:pt>
                <c:pt idx="76">
                  <c:v>163</c:v>
                </c:pt>
                <c:pt idx="77">
                  <c:v>58</c:v>
                </c:pt>
                <c:pt idx="78">
                  <c:v>67</c:v>
                </c:pt>
                <c:pt idx="79">
                  <c:v>41</c:v>
                </c:pt>
                <c:pt idx="80">
                  <c:v>80</c:v>
                </c:pt>
                <c:pt idx="81">
                  <c:v>99</c:v>
                </c:pt>
                <c:pt idx="82">
                  <c:v>165</c:v>
                </c:pt>
                <c:pt idx="83">
                  <c:v>33</c:v>
                </c:pt>
                <c:pt idx="84">
                  <c:v>84</c:v>
                </c:pt>
                <c:pt idx="85">
                  <c:v>19</c:v>
                </c:pt>
                <c:pt idx="86">
                  <c:v>43</c:v>
                </c:pt>
                <c:pt idx="87">
                  <c:v>16</c:v>
                </c:pt>
                <c:pt idx="88">
                  <c:v>70</c:v>
                </c:pt>
                <c:pt idx="89">
                  <c:v>93</c:v>
                </c:pt>
                <c:pt idx="90">
                  <c:v>35</c:v>
                </c:pt>
                <c:pt idx="91">
                  <c:v>71</c:v>
                </c:pt>
                <c:pt idx="92">
                  <c:v>71</c:v>
                </c:pt>
                <c:pt idx="93">
                  <c:v>39</c:v>
                </c:pt>
                <c:pt idx="94">
                  <c:v>48</c:v>
                </c:pt>
                <c:pt idx="95">
                  <c:v>80</c:v>
                </c:pt>
                <c:pt idx="96">
                  <c:v>184</c:v>
                </c:pt>
                <c:pt idx="97">
                  <c:v>194</c:v>
                </c:pt>
                <c:pt idx="98">
                  <c:v>140</c:v>
                </c:pt>
                <c:pt idx="99">
                  <c:v>54</c:v>
                </c:pt>
                <c:pt idx="100">
                  <c:v>58</c:v>
                </c:pt>
                <c:pt idx="101">
                  <c:v>10</c:v>
                </c:pt>
                <c:pt idx="102">
                  <c:v>41</c:v>
                </c:pt>
                <c:pt idx="103">
                  <c:v>62</c:v>
                </c:pt>
                <c:pt idx="104">
                  <c:v>18</c:v>
                </c:pt>
                <c:pt idx="105">
                  <c:v>24</c:v>
                </c:pt>
                <c:pt idx="106">
                  <c:v>56</c:v>
                </c:pt>
                <c:pt idx="107">
                  <c:v>30</c:v>
                </c:pt>
                <c:pt idx="108">
                  <c:v>12</c:v>
                </c:pt>
                <c:pt idx="109">
                  <c:v>28</c:v>
                </c:pt>
                <c:pt idx="110">
                  <c:v>25</c:v>
                </c:pt>
                <c:pt idx="111">
                  <c:v>14</c:v>
                </c:pt>
                <c:pt idx="112">
                  <c:v>10</c:v>
                </c:pt>
                <c:pt idx="113">
                  <c:v>16</c:v>
                </c:pt>
                <c:pt idx="114">
                  <c:v>40</c:v>
                </c:pt>
                <c:pt idx="115">
                  <c:v>12</c:v>
                </c:pt>
                <c:pt idx="116">
                  <c:v>37</c:v>
                </c:pt>
                <c:pt idx="117">
                  <c:v>21</c:v>
                </c:pt>
                <c:pt idx="118">
                  <c:v>60</c:v>
                </c:pt>
                <c:pt idx="119">
                  <c:v>17</c:v>
                </c:pt>
                <c:pt idx="120">
                  <c:v>47</c:v>
                </c:pt>
                <c:pt idx="121">
                  <c:v>35</c:v>
                </c:pt>
                <c:pt idx="122">
                  <c:v>48</c:v>
                </c:pt>
                <c:pt idx="123">
                  <c:v>45</c:v>
                </c:pt>
                <c:pt idx="124">
                  <c:v>12</c:v>
                </c:pt>
                <c:pt idx="125">
                  <c:v>13</c:v>
                </c:pt>
                <c:pt idx="126">
                  <c:v>46</c:v>
                </c:pt>
                <c:pt idx="127">
                  <c:v>32</c:v>
                </c:pt>
                <c:pt idx="128">
                  <c:v>23</c:v>
                </c:pt>
                <c:pt idx="129">
                  <c:v>54</c:v>
                </c:pt>
                <c:pt idx="130">
                  <c:v>11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34</c:v>
                </c:pt>
                <c:pt idx="135">
                  <c:v>35</c:v>
                </c:pt>
                <c:pt idx="136">
                  <c:v>4</c:v>
                </c:pt>
                <c:pt idx="137">
                  <c:v>19</c:v>
                </c:pt>
                <c:pt idx="138">
                  <c:v>18</c:v>
                </c:pt>
                <c:pt idx="139">
                  <c:v>21</c:v>
                </c:pt>
                <c:pt idx="140">
                  <c:v>15</c:v>
                </c:pt>
                <c:pt idx="141">
                  <c:v>36</c:v>
                </c:pt>
                <c:pt idx="142">
                  <c:v>24</c:v>
                </c:pt>
                <c:pt idx="143">
                  <c:v>16</c:v>
                </c:pt>
                <c:pt idx="144">
                  <c:v>13</c:v>
                </c:pt>
                <c:pt idx="145">
                  <c:v>7</c:v>
                </c:pt>
                <c:pt idx="146">
                  <c:v>13</c:v>
                </c:pt>
                <c:pt idx="147">
                  <c:v>4</c:v>
                </c:pt>
                <c:pt idx="148">
                  <c:v>8</c:v>
                </c:pt>
                <c:pt idx="149">
                  <c:v>10</c:v>
                </c:pt>
                <c:pt idx="150">
                  <c:v>9</c:v>
                </c:pt>
                <c:pt idx="151">
                  <c:v>11</c:v>
                </c:pt>
                <c:pt idx="152">
                  <c:v>27</c:v>
                </c:pt>
                <c:pt idx="153">
                  <c:v>13</c:v>
                </c:pt>
                <c:pt idx="154">
                  <c:v>18</c:v>
                </c:pt>
                <c:pt idx="155">
                  <c:v>51</c:v>
                </c:pt>
                <c:pt idx="156">
                  <c:v>49</c:v>
                </c:pt>
                <c:pt idx="157">
                  <c:v>58</c:v>
                </c:pt>
                <c:pt idx="158">
                  <c:v>46</c:v>
                </c:pt>
                <c:pt idx="159">
                  <c:v>193</c:v>
                </c:pt>
                <c:pt idx="160">
                  <c:v>119</c:v>
                </c:pt>
                <c:pt idx="161">
                  <c:v>97</c:v>
                </c:pt>
                <c:pt idx="162">
                  <c:v>96</c:v>
                </c:pt>
                <c:pt idx="163">
                  <c:v>833</c:v>
                </c:pt>
                <c:pt idx="164">
                  <c:v>787</c:v>
                </c:pt>
                <c:pt idx="165">
                  <c:v>787</c:v>
                </c:pt>
                <c:pt idx="166">
                  <c:v>1241</c:v>
                </c:pt>
                <c:pt idx="167">
                  <c:v>1887</c:v>
                </c:pt>
                <c:pt idx="168">
                  <c:v>1976</c:v>
                </c:pt>
                <c:pt idx="169">
                  <c:v>2116</c:v>
                </c:pt>
                <c:pt idx="170">
                  <c:v>2001</c:v>
                </c:pt>
                <c:pt idx="171">
                  <c:v>1930</c:v>
                </c:pt>
                <c:pt idx="172">
                  <c:v>2168</c:v>
                </c:pt>
                <c:pt idx="173">
                  <c:v>2483</c:v>
                </c:pt>
                <c:pt idx="174">
                  <c:v>2225</c:v>
                </c:pt>
                <c:pt idx="175">
                  <c:v>1796</c:v>
                </c:pt>
                <c:pt idx="176">
                  <c:v>1898</c:v>
                </c:pt>
                <c:pt idx="177">
                  <c:v>1970</c:v>
                </c:pt>
                <c:pt idx="178">
                  <c:v>1724</c:v>
                </c:pt>
                <c:pt idx="179">
                  <c:v>1852</c:v>
                </c:pt>
                <c:pt idx="180">
                  <c:v>1947</c:v>
                </c:pt>
                <c:pt idx="181">
                  <c:v>2192</c:v>
                </c:pt>
                <c:pt idx="182">
                  <c:v>2234</c:v>
                </c:pt>
                <c:pt idx="183">
                  <c:v>2227</c:v>
                </c:pt>
                <c:pt idx="184">
                  <c:v>2258</c:v>
                </c:pt>
                <c:pt idx="185">
                  <c:v>1979</c:v>
                </c:pt>
                <c:pt idx="186">
                  <c:v>1902</c:v>
                </c:pt>
                <c:pt idx="187">
                  <c:v>2048</c:v>
                </c:pt>
                <c:pt idx="188">
                  <c:v>1961</c:v>
                </c:pt>
                <c:pt idx="189">
                  <c:v>2086</c:v>
                </c:pt>
                <c:pt idx="190">
                  <c:v>2079</c:v>
                </c:pt>
                <c:pt idx="191">
                  <c:v>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0-43B5-86CB-3B9F09B0537C}"/>
            </c:ext>
          </c:extLst>
        </c:ser>
        <c:ser>
          <c:idx val="5"/>
          <c:order val="3"/>
          <c:tx>
            <c:strRef>
              <c:f>Comportamiento!$E$113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Comportamiento!$F$104:$GT$104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Comportamiento!$F$113:$GT$113</c:f>
              <c:numCache>
                <c:formatCode>#,##0</c:formatCode>
                <c:ptCount val="192"/>
                <c:pt idx="0">
                  <c:v>964</c:v>
                </c:pt>
                <c:pt idx="1">
                  <c:v>685</c:v>
                </c:pt>
                <c:pt idx="2">
                  <c:v>647</c:v>
                </c:pt>
                <c:pt idx="3">
                  <c:v>1247</c:v>
                </c:pt>
                <c:pt idx="4">
                  <c:v>1691</c:v>
                </c:pt>
                <c:pt idx="5">
                  <c:v>2131</c:v>
                </c:pt>
                <c:pt idx="6">
                  <c:v>2041</c:v>
                </c:pt>
                <c:pt idx="7">
                  <c:v>2266</c:v>
                </c:pt>
                <c:pt idx="8">
                  <c:v>2129</c:v>
                </c:pt>
                <c:pt idx="9">
                  <c:v>1882</c:v>
                </c:pt>
                <c:pt idx="10">
                  <c:v>4875</c:v>
                </c:pt>
                <c:pt idx="11">
                  <c:v>5221</c:v>
                </c:pt>
                <c:pt idx="12">
                  <c:v>4944</c:v>
                </c:pt>
                <c:pt idx="13">
                  <c:v>4855</c:v>
                </c:pt>
                <c:pt idx="14">
                  <c:v>4663</c:v>
                </c:pt>
                <c:pt idx="15">
                  <c:v>4287</c:v>
                </c:pt>
                <c:pt idx="16">
                  <c:v>3834</c:v>
                </c:pt>
                <c:pt idx="17">
                  <c:v>4822</c:v>
                </c:pt>
                <c:pt idx="18">
                  <c:v>4620</c:v>
                </c:pt>
                <c:pt idx="19">
                  <c:v>4465</c:v>
                </c:pt>
                <c:pt idx="20">
                  <c:v>4463</c:v>
                </c:pt>
                <c:pt idx="21">
                  <c:v>4246</c:v>
                </c:pt>
                <c:pt idx="22">
                  <c:v>3397</c:v>
                </c:pt>
                <c:pt idx="23">
                  <c:v>3345</c:v>
                </c:pt>
                <c:pt idx="24">
                  <c:v>3097</c:v>
                </c:pt>
                <c:pt idx="25">
                  <c:v>3216</c:v>
                </c:pt>
                <c:pt idx="26">
                  <c:v>3904</c:v>
                </c:pt>
                <c:pt idx="27">
                  <c:v>3998</c:v>
                </c:pt>
                <c:pt idx="28">
                  <c:v>3705</c:v>
                </c:pt>
                <c:pt idx="29">
                  <c:v>3317</c:v>
                </c:pt>
                <c:pt idx="30">
                  <c:v>3266</c:v>
                </c:pt>
                <c:pt idx="31">
                  <c:v>5242</c:v>
                </c:pt>
                <c:pt idx="32">
                  <c:v>6312</c:v>
                </c:pt>
                <c:pt idx="33">
                  <c:v>6058</c:v>
                </c:pt>
                <c:pt idx="34">
                  <c:v>5515</c:v>
                </c:pt>
                <c:pt idx="35">
                  <c:v>5443</c:v>
                </c:pt>
                <c:pt idx="36">
                  <c:v>4569</c:v>
                </c:pt>
                <c:pt idx="37">
                  <c:v>4088</c:v>
                </c:pt>
                <c:pt idx="38">
                  <c:v>3891</c:v>
                </c:pt>
                <c:pt idx="39">
                  <c:v>4475</c:v>
                </c:pt>
                <c:pt idx="40">
                  <c:v>4393</c:v>
                </c:pt>
                <c:pt idx="41">
                  <c:v>3569</c:v>
                </c:pt>
                <c:pt idx="42">
                  <c:v>2839</c:v>
                </c:pt>
                <c:pt idx="43">
                  <c:v>2054</c:v>
                </c:pt>
                <c:pt idx="44">
                  <c:v>1635</c:v>
                </c:pt>
                <c:pt idx="45">
                  <c:v>962</c:v>
                </c:pt>
                <c:pt idx="46">
                  <c:v>2430</c:v>
                </c:pt>
                <c:pt idx="47">
                  <c:v>2493</c:v>
                </c:pt>
                <c:pt idx="48">
                  <c:v>2379</c:v>
                </c:pt>
                <c:pt idx="49">
                  <c:v>2348</c:v>
                </c:pt>
                <c:pt idx="50">
                  <c:v>2009</c:v>
                </c:pt>
                <c:pt idx="51">
                  <c:v>1735</c:v>
                </c:pt>
                <c:pt idx="52">
                  <c:v>2889</c:v>
                </c:pt>
                <c:pt idx="53">
                  <c:v>2749</c:v>
                </c:pt>
                <c:pt idx="54">
                  <c:v>3512</c:v>
                </c:pt>
                <c:pt idx="55">
                  <c:v>3689</c:v>
                </c:pt>
                <c:pt idx="56">
                  <c:v>3755</c:v>
                </c:pt>
                <c:pt idx="57">
                  <c:v>2663</c:v>
                </c:pt>
                <c:pt idx="58">
                  <c:v>2396</c:v>
                </c:pt>
                <c:pt idx="59">
                  <c:v>4014</c:v>
                </c:pt>
                <c:pt idx="60">
                  <c:v>4113</c:v>
                </c:pt>
                <c:pt idx="61">
                  <c:v>4328</c:v>
                </c:pt>
                <c:pt idx="62">
                  <c:v>3865</c:v>
                </c:pt>
                <c:pt idx="63">
                  <c:v>3423</c:v>
                </c:pt>
                <c:pt idx="64">
                  <c:v>2247</c:v>
                </c:pt>
                <c:pt idx="65">
                  <c:v>1506</c:v>
                </c:pt>
                <c:pt idx="66">
                  <c:v>3243</c:v>
                </c:pt>
                <c:pt idx="67">
                  <c:v>2569</c:v>
                </c:pt>
                <c:pt idx="68">
                  <c:v>1775</c:v>
                </c:pt>
                <c:pt idx="69">
                  <c:v>1757</c:v>
                </c:pt>
                <c:pt idx="70">
                  <c:v>1615</c:v>
                </c:pt>
                <c:pt idx="71">
                  <c:v>898</c:v>
                </c:pt>
                <c:pt idx="72">
                  <c:v>809</c:v>
                </c:pt>
                <c:pt idx="73">
                  <c:v>1522</c:v>
                </c:pt>
                <c:pt idx="74">
                  <c:v>1437</c:v>
                </c:pt>
                <c:pt idx="75">
                  <c:v>1297</c:v>
                </c:pt>
                <c:pt idx="76">
                  <c:v>1195</c:v>
                </c:pt>
                <c:pt idx="77">
                  <c:v>733</c:v>
                </c:pt>
                <c:pt idx="78">
                  <c:v>463</c:v>
                </c:pt>
                <c:pt idx="79">
                  <c:v>351</c:v>
                </c:pt>
                <c:pt idx="80">
                  <c:v>525</c:v>
                </c:pt>
                <c:pt idx="81">
                  <c:v>925</c:v>
                </c:pt>
                <c:pt idx="82">
                  <c:v>922</c:v>
                </c:pt>
                <c:pt idx="83">
                  <c:v>804</c:v>
                </c:pt>
                <c:pt idx="84">
                  <c:v>717</c:v>
                </c:pt>
                <c:pt idx="85">
                  <c:v>418</c:v>
                </c:pt>
                <c:pt idx="86">
                  <c:v>297</c:v>
                </c:pt>
                <c:pt idx="87">
                  <c:v>762</c:v>
                </c:pt>
                <c:pt idx="88">
                  <c:v>858</c:v>
                </c:pt>
                <c:pt idx="89">
                  <c:v>684</c:v>
                </c:pt>
                <c:pt idx="90">
                  <c:v>739</c:v>
                </c:pt>
                <c:pt idx="91">
                  <c:v>700</c:v>
                </c:pt>
                <c:pt idx="92">
                  <c:v>420</c:v>
                </c:pt>
                <c:pt idx="93">
                  <c:v>300</c:v>
                </c:pt>
                <c:pt idx="94">
                  <c:v>808</c:v>
                </c:pt>
                <c:pt idx="95">
                  <c:v>876</c:v>
                </c:pt>
                <c:pt idx="96">
                  <c:v>876</c:v>
                </c:pt>
                <c:pt idx="97">
                  <c:v>811</c:v>
                </c:pt>
                <c:pt idx="98">
                  <c:v>749</c:v>
                </c:pt>
                <c:pt idx="99">
                  <c:v>372</c:v>
                </c:pt>
                <c:pt idx="100">
                  <c:v>298</c:v>
                </c:pt>
                <c:pt idx="101">
                  <c:v>715</c:v>
                </c:pt>
                <c:pt idx="102">
                  <c:v>676</c:v>
                </c:pt>
                <c:pt idx="103">
                  <c:v>610</c:v>
                </c:pt>
                <c:pt idx="104">
                  <c:v>542</c:v>
                </c:pt>
                <c:pt idx="105">
                  <c:v>645</c:v>
                </c:pt>
                <c:pt idx="106">
                  <c:v>476</c:v>
                </c:pt>
                <c:pt idx="107">
                  <c:v>314</c:v>
                </c:pt>
                <c:pt idx="108">
                  <c:v>565</c:v>
                </c:pt>
                <c:pt idx="109">
                  <c:v>657</c:v>
                </c:pt>
                <c:pt idx="110">
                  <c:v>631</c:v>
                </c:pt>
                <c:pt idx="111">
                  <c:v>469</c:v>
                </c:pt>
                <c:pt idx="112">
                  <c:v>398</c:v>
                </c:pt>
                <c:pt idx="113">
                  <c:v>276</c:v>
                </c:pt>
                <c:pt idx="114">
                  <c:v>222</c:v>
                </c:pt>
                <c:pt idx="115">
                  <c:v>635</c:v>
                </c:pt>
                <c:pt idx="116">
                  <c:v>598</c:v>
                </c:pt>
                <c:pt idx="117">
                  <c:v>544</c:v>
                </c:pt>
                <c:pt idx="118">
                  <c:v>497</c:v>
                </c:pt>
                <c:pt idx="119">
                  <c:v>472</c:v>
                </c:pt>
                <c:pt idx="120">
                  <c:v>367</c:v>
                </c:pt>
                <c:pt idx="121">
                  <c:v>272</c:v>
                </c:pt>
                <c:pt idx="122">
                  <c:v>298</c:v>
                </c:pt>
                <c:pt idx="123">
                  <c:v>658</c:v>
                </c:pt>
                <c:pt idx="124">
                  <c:v>558</c:v>
                </c:pt>
                <c:pt idx="125">
                  <c:v>607</c:v>
                </c:pt>
                <c:pt idx="126">
                  <c:v>545</c:v>
                </c:pt>
                <c:pt idx="127">
                  <c:v>327</c:v>
                </c:pt>
                <c:pt idx="128">
                  <c:v>242</c:v>
                </c:pt>
                <c:pt idx="129">
                  <c:v>649</c:v>
                </c:pt>
                <c:pt idx="130">
                  <c:v>476</c:v>
                </c:pt>
                <c:pt idx="131">
                  <c:v>507</c:v>
                </c:pt>
                <c:pt idx="132">
                  <c:v>257</c:v>
                </c:pt>
                <c:pt idx="133">
                  <c:v>251</c:v>
                </c:pt>
                <c:pt idx="134">
                  <c:v>200</c:v>
                </c:pt>
                <c:pt idx="135">
                  <c:v>184</c:v>
                </c:pt>
                <c:pt idx="136">
                  <c:v>585</c:v>
                </c:pt>
                <c:pt idx="137">
                  <c:v>390</c:v>
                </c:pt>
                <c:pt idx="138">
                  <c:v>449</c:v>
                </c:pt>
                <c:pt idx="139">
                  <c:v>374</c:v>
                </c:pt>
                <c:pt idx="140">
                  <c:v>329</c:v>
                </c:pt>
                <c:pt idx="141">
                  <c:v>249</c:v>
                </c:pt>
                <c:pt idx="142">
                  <c:v>198</c:v>
                </c:pt>
                <c:pt idx="143">
                  <c:v>439</c:v>
                </c:pt>
                <c:pt idx="144">
                  <c:v>402</c:v>
                </c:pt>
                <c:pt idx="145">
                  <c:v>351</c:v>
                </c:pt>
                <c:pt idx="146">
                  <c:v>293</c:v>
                </c:pt>
                <c:pt idx="147">
                  <c:v>309</c:v>
                </c:pt>
                <c:pt idx="148">
                  <c:v>190</c:v>
                </c:pt>
                <c:pt idx="149">
                  <c:v>175</c:v>
                </c:pt>
                <c:pt idx="150">
                  <c:v>379</c:v>
                </c:pt>
                <c:pt idx="151">
                  <c:v>386</c:v>
                </c:pt>
                <c:pt idx="152">
                  <c:v>404</c:v>
                </c:pt>
                <c:pt idx="153">
                  <c:v>424</c:v>
                </c:pt>
                <c:pt idx="154">
                  <c:v>573</c:v>
                </c:pt>
                <c:pt idx="155">
                  <c:v>404</c:v>
                </c:pt>
                <c:pt idx="156">
                  <c:v>385</c:v>
                </c:pt>
                <c:pt idx="157">
                  <c:v>910</c:v>
                </c:pt>
                <c:pt idx="158">
                  <c:v>644</c:v>
                </c:pt>
                <c:pt idx="159">
                  <c:v>730</c:v>
                </c:pt>
                <c:pt idx="160">
                  <c:v>634</c:v>
                </c:pt>
                <c:pt idx="161">
                  <c:v>760</c:v>
                </c:pt>
                <c:pt idx="162">
                  <c:v>761</c:v>
                </c:pt>
                <c:pt idx="163">
                  <c:v>571</c:v>
                </c:pt>
                <c:pt idx="164">
                  <c:v>2354</c:v>
                </c:pt>
                <c:pt idx="165">
                  <c:v>2266</c:v>
                </c:pt>
                <c:pt idx="166">
                  <c:v>2148</c:v>
                </c:pt>
                <c:pt idx="167">
                  <c:v>4063</c:v>
                </c:pt>
                <c:pt idx="168">
                  <c:v>3762</c:v>
                </c:pt>
                <c:pt idx="169">
                  <c:v>2886</c:v>
                </c:pt>
                <c:pt idx="170">
                  <c:v>2458</c:v>
                </c:pt>
                <c:pt idx="171">
                  <c:v>4469</c:v>
                </c:pt>
                <c:pt idx="172">
                  <c:v>4272</c:v>
                </c:pt>
                <c:pt idx="173">
                  <c:v>4297</c:v>
                </c:pt>
                <c:pt idx="174">
                  <c:v>4295</c:v>
                </c:pt>
                <c:pt idx="175">
                  <c:v>3666</c:v>
                </c:pt>
                <c:pt idx="176">
                  <c:v>3071</c:v>
                </c:pt>
                <c:pt idx="177">
                  <c:v>2427</c:v>
                </c:pt>
                <c:pt idx="178">
                  <c:v>4314</c:v>
                </c:pt>
                <c:pt idx="179">
                  <c:v>4395</c:v>
                </c:pt>
                <c:pt idx="180">
                  <c:v>4751</c:v>
                </c:pt>
                <c:pt idx="181">
                  <c:v>4615</c:v>
                </c:pt>
                <c:pt idx="182">
                  <c:v>4465</c:v>
                </c:pt>
                <c:pt idx="183">
                  <c:v>3371</c:v>
                </c:pt>
                <c:pt idx="184">
                  <c:v>2977</c:v>
                </c:pt>
                <c:pt idx="185">
                  <c:v>4495</c:v>
                </c:pt>
                <c:pt idx="186">
                  <c:v>4917</c:v>
                </c:pt>
                <c:pt idx="187">
                  <c:v>4836</c:v>
                </c:pt>
                <c:pt idx="188">
                  <c:v>4371</c:v>
                </c:pt>
                <c:pt idx="189">
                  <c:v>4207</c:v>
                </c:pt>
                <c:pt idx="190">
                  <c:v>2994</c:v>
                </c:pt>
                <c:pt idx="191">
                  <c:v>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0-43B5-86CB-3B9F09B0537C}"/>
            </c:ext>
          </c:extLst>
        </c:ser>
        <c:ser>
          <c:idx val="1"/>
          <c:order val="4"/>
          <c:tx>
            <c:strRef>
              <c:f>Comportamiento!$E$106</c:f>
              <c:strCache>
                <c:ptCount val="1"/>
                <c:pt idx="0">
                  <c:v>Capacidad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Comportamiento!$F$104:$GT$104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Comportamiento!$F$106:$GT$106</c:f>
              <c:numCache>
                <c:formatCode>#,##0</c:formatCode>
                <c:ptCount val="192"/>
                <c:pt idx="0">
                  <c:v>1196</c:v>
                </c:pt>
                <c:pt idx="1">
                  <c:v>607</c:v>
                </c:pt>
                <c:pt idx="2">
                  <c:v>527</c:v>
                </c:pt>
                <c:pt idx="3">
                  <c:v>1196</c:v>
                </c:pt>
                <c:pt idx="4">
                  <c:v>1196</c:v>
                </c:pt>
                <c:pt idx="5">
                  <c:v>1196</c:v>
                </c:pt>
                <c:pt idx="6">
                  <c:v>1196</c:v>
                </c:pt>
                <c:pt idx="7">
                  <c:v>1196</c:v>
                </c:pt>
                <c:pt idx="8">
                  <c:v>638</c:v>
                </c:pt>
                <c:pt idx="9">
                  <c:v>527</c:v>
                </c:pt>
                <c:pt idx="10">
                  <c:v>1196</c:v>
                </c:pt>
                <c:pt idx="11">
                  <c:v>1044</c:v>
                </c:pt>
                <c:pt idx="12">
                  <c:v>1080</c:v>
                </c:pt>
                <c:pt idx="13">
                  <c:v>1170</c:v>
                </c:pt>
                <c:pt idx="14">
                  <c:v>1170</c:v>
                </c:pt>
                <c:pt idx="15">
                  <c:v>643</c:v>
                </c:pt>
                <c:pt idx="16">
                  <c:v>643</c:v>
                </c:pt>
                <c:pt idx="17">
                  <c:v>1170</c:v>
                </c:pt>
                <c:pt idx="18">
                  <c:v>1170</c:v>
                </c:pt>
                <c:pt idx="19">
                  <c:v>1170</c:v>
                </c:pt>
                <c:pt idx="20">
                  <c:v>1728</c:v>
                </c:pt>
                <c:pt idx="21">
                  <c:v>1728</c:v>
                </c:pt>
                <c:pt idx="22">
                  <c:v>955</c:v>
                </c:pt>
                <c:pt idx="23">
                  <c:v>890</c:v>
                </c:pt>
                <c:pt idx="24">
                  <c:v>1728</c:v>
                </c:pt>
                <c:pt idx="25">
                  <c:v>1728</c:v>
                </c:pt>
                <c:pt idx="26">
                  <c:v>1728</c:v>
                </c:pt>
                <c:pt idx="27">
                  <c:v>1728</c:v>
                </c:pt>
                <c:pt idx="28">
                  <c:v>1728</c:v>
                </c:pt>
                <c:pt idx="29">
                  <c:v>917</c:v>
                </c:pt>
                <c:pt idx="30">
                  <c:v>689</c:v>
                </c:pt>
                <c:pt idx="31">
                  <c:v>1909</c:v>
                </c:pt>
                <c:pt idx="32">
                  <c:v>1909</c:v>
                </c:pt>
                <c:pt idx="33">
                  <c:v>1766</c:v>
                </c:pt>
                <c:pt idx="34">
                  <c:v>1766</c:v>
                </c:pt>
                <c:pt idx="35">
                  <c:v>1766</c:v>
                </c:pt>
                <c:pt idx="36">
                  <c:v>791.125</c:v>
                </c:pt>
                <c:pt idx="37">
                  <c:v>750</c:v>
                </c:pt>
                <c:pt idx="38">
                  <c:v>1125.25</c:v>
                </c:pt>
                <c:pt idx="39">
                  <c:v>1766</c:v>
                </c:pt>
                <c:pt idx="40">
                  <c:v>1766</c:v>
                </c:pt>
                <c:pt idx="41">
                  <c:v>1766</c:v>
                </c:pt>
                <c:pt idx="42">
                  <c:v>1766</c:v>
                </c:pt>
                <c:pt idx="43">
                  <c:v>941</c:v>
                </c:pt>
                <c:pt idx="44">
                  <c:v>892</c:v>
                </c:pt>
                <c:pt idx="45">
                  <c:v>1329</c:v>
                </c:pt>
                <c:pt idx="46">
                  <c:v>1547</c:v>
                </c:pt>
                <c:pt idx="47">
                  <c:v>1547</c:v>
                </c:pt>
                <c:pt idx="48">
                  <c:v>1547</c:v>
                </c:pt>
                <c:pt idx="49">
                  <c:v>1547</c:v>
                </c:pt>
                <c:pt idx="50">
                  <c:v>737</c:v>
                </c:pt>
                <c:pt idx="51">
                  <c:v>673</c:v>
                </c:pt>
                <c:pt idx="52">
                  <c:v>1547</c:v>
                </c:pt>
                <c:pt idx="53">
                  <c:v>1508</c:v>
                </c:pt>
                <c:pt idx="54">
                  <c:v>1508</c:v>
                </c:pt>
                <c:pt idx="55">
                  <c:v>1508</c:v>
                </c:pt>
                <c:pt idx="56">
                  <c:v>1508</c:v>
                </c:pt>
                <c:pt idx="57">
                  <c:v>736</c:v>
                </c:pt>
                <c:pt idx="58">
                  <c:v>611</c:v>
                </c:pt>
                <c:pt idx="59">
                  <c:v>1508</c:v>
                </c:pt>
                <c:pt idx="60">
                  <c:v>1454</c:v>
                </c:pt>
                <c:pt idx="61">
                  <c:v>1598</c:v>
                </c:pt>
                <c:pt idx="62">
                  <c:v>1598</c:v>
                </c:pt>
                <c:pt idx="63">
                  <c:v>1598</c:v>
                </c:pt>
                <c:pt idx="64">
                  <c:v>755</c:v>
                </c:pt>
                <c:pt idx="65">
                  <c:v>689</c:v>
                </c:pt>
                <c:pt idx="66">
                  <c:v>1598</c:v>
                </c:pt>
                <c:pt idx="67">
                  <c:v>1598</c:v>
                </c:pt>
                <c:pt idx="68">
                  <c:v>1598</c:v>
                </c:pt>
                <c:pt idx="69">
                  <c:v>1598</c:v>
                </c:pt>
                <c:pt idx="70">
                  <c:v>1598</c:v>
                </c:pt>
                <c:pt idx="71">
                  <c:v>789</c:v>
                </c:pt>
                <c:pt idx="72">
                  <c:v>746</c:v>
                </c:pt>
                <c:pt idx="73">
                  <c:v>1598</c:v>
                </c:pt>
                <c:pt idx="74">
                  <c:v>1598</c:v>
                </c:pt>
                <c:pt idx="75">
                  <c:v>1598</c:v>
                </c:pt>
                <c:pt idx="76">
                  <c:v>1598</c:v>
                </c:pt>
                <c:pt idx="77">
                  <c:v>1598</c:v>
                </c:pt>
                <c:pt idx="78">
                  <c:v>760</c:v>
                </c:pt>
                <c:pt idx="79">
                  <c:v>591</c:v>
                </c:pt>
                <c:pt idx="80">
                  <c:v>550</c:v>
                </c:pt>
                <c:pt idx="81">
                  <c:v>1406</c:v>
                </c:pt>
                <c:pt idx="82">
                  <c:v>1406</c:v>
                </c:pt>
                <c:pt idx="83">
                  <c:v>1406</c:v>
                </c:pt>
                <c:pt idx="84">
                  <c:v>1406</c:v>
                </c:pt>
                <c:pt idx="85">
                  <c:v>760</c:v>
                </c:pt>
                <c:pt idx="86">
                  <c:v>558</c:v>
                </c:pt>
                <c:pt idx="87">
                  <c:v>1406</c:v>
                </c:pt>
                <c:pt idx="88">
                  <c:v>1406</c:v>
                </c:pt>
                <c:pt idx="89">
                  <c:v>1256</c:v>
                </c:pt>
                <c:pt idx="90">
                  <c:v>1256</c:v>
                </c:pt>
                <c:pt idx="91">
                  <c:v>1256</c:v>
                </c:pt>
                <c:pt idx="92">
                  <c:v>613</c:v>
                </c:pt>
                <c:pt idx="93">
                  <c:v>479</c:v>
                </c:pt>
                <c:pt idx="94">
                  <c:v>1256</c:v>
                </c:pt>
                <c:pt idx="95">
                  <c:v>1256</c:v>
                </c:pt>
                <c:pt idx="96">
                  <c:v>1256</c:v>
                </c:pt>
                <c:pt idx="97">
                  <c:v>1256</c:v>
                </c:pt>
                <c:pt idx="98">
                  <c:v>1256</c:v>
                </c:pt>
                <c:pt idx="99">
                  <c:v>685</c:v>
                </c:pt>
                <c:pt idx="100">
                  <c:v>613</c:v>
                </c:pt>
                <c:pt idx="101">
                  <c:v>1256</c:v>
                </c:pt>
                <c:pt idx="102">
                  <c:v>1256</c:v>
                </c:pt>
                <c:pt idx="103">
                  <c:v>1256</c:v>
                </c:pt>
                <c:pt idx="104">
                  <c:v>1256</c:v>
                </c:pt>
                <c:pt idx="105">
                  <c:v>1256</c:v>
                </c:pt>
                <c:pt idx="106">
                  <c:v>613</c:v>
                </c:pt>
                <c:pt idx="107">
                  <c:v>613</c:v>
                </c:pt>
                <c:pt idx="108">
                  <c:v>1256</c:v>
                </c:pt>
                <c:pt idx="109">
                  <c:v>1256</c:v>
                </c:pt>
                <c:pt idx="110">
                  <c:v>1256</c:v>
                </c:pt>
                <c:pt idx="111">
                  <c:v>1188</c:v>
                </c:pt>
                <c:pt idx="112">
                  <c:v>1188</c:v>
                </c:pt>
                <c:pt idx="113">
                  <c:v>618</c:v>
                </c:pt>
                <c:pt idx="114">
                  <c:v>542</c:v>
                </c:pt>
                <c:pt idx="115">
                  <c:v>996</c:v>
                </c:pt>
                <c:pt idx="116">
                  <c:v>996</c:v>
                </c:pt>
                <c:pt idx="117">
                  <c:v>996</c:v>
                </c:pt>
                <c:pt idx="118">
                  <c:v>996</c:v>
                </c:pt>
                <c:pt idx="119">
                  <c:v>996</c:v>
                </c:pt>
                <c:pt idx="120">
                  <c:v>618</c:v>
                </c:pt>
                <c:pt idx="121">
                  <c:v>546</c:v>
                </c:pt>
                <c:pt idx="122">
                  <c:v>549</c:v>
                </c:pt>
                <c:pt idx="123">
                  <c:v>996</c:v>
                </c:pt>
                <c:pt idx="124">
                  <c:v>996</c:v>
                </c:pt>
                <c:pt idx="125">
                  <c:v>996</c:v>
                </c:pt>
                <c:pt idx="126">
                  <c:v>996</c:v>
                </c:pt>
                <c:pt idx="127">
                  <c:v>618</c:v>
                </c:pt>
                <c:pt idx="128">
                  <c:v>544</c:v>
                </c:pt>
                <c:pt idx="129">
                  <c:v>996</c:v>
                </c:pt>
                <c:pt idx="130">
                  <c:v>996</c:v>
                </c:pt>
                <c:pt idx="131">
                  <c:v>996</c:v>
                </c:pt>
                <c:pt idx="132">
                  <c:v>996</c:v>
                </c:pt>
                <c:pt idx="133">
                  <c:v>996</c:v>
                </c:pt>
                <c:pt idx="134">
                  <c:v>552</c:v>
                </c:pt>
                <c:pt idx="135">
                  <c:v>479</c:v>
                </c:pt>
                <c:pt idx="136">
                  <c:v>996</c:v>
                </c:pt>
                <c:pt idx="137">
                  <c:v>996</c:v>
                </c:pt>
                <c:pt idx="138">
                  <c:v>996</c:v>
                </c:pt>
                <c:pt idx="139">
                  <c:v>996</c:v>
                </c:pt>
                <c:pt idx="140">
                  <c:v>996</c:v>
                </c:pt>
                <c:pt idx="141">
                  <c:v>582</c:v>
                </c:pt>
                <c:pt idx="142">
                  <c:v>479</c:v>
                </c:pt>
                <c:pt idx="143">
                  <c:v>1086</c:v>
                </c:pt>
                <c:pt idx="144">
                  <c:v>1086</c:v>
                </c:pt>
                <c:pt idx="145">
                  <c:v>1086</c:v>
                </c:pt>
                <c:pt idx="146">
                  <c:v>1086</c:v>
                </c:pt>
                <c:pt idx="147">
                  <c:v>1086</c:v>
                </c:pt>
                <c:pt idx="148">
                  <c:v>582</c:v>
                </c:pt>
                <c:pt idx="149">
                  <c:v>479</c:v>
                </c:pt>
                <c:pt idx="150">
                  <c:v>1086</c:v>
                </c:pt>
                <c:pt idx="151">
                  <c:v>1086</c:v>
                </c:pt>
                <c:pt idx="152">
                  <c:v>1086</c:v>
                </c:pt>
                <c:pt idx="153">
                  <c:v>1086</c:v>
                </c:pt>
                <c:pt idx="154">
                  <c:v>1086</c:v>
                </c:pt>
                <c:pt idx="155">
                  <c:v>582</c:v>
                </c:pt>
                <c:pt idx="156">
                  <c:v>479</c:v>
                </c:pt>
                <c:pt idx="157">
                  <c:v>1086</c:v>
                </c:pt>
                <c:pt idx="158">
                  <c:v>1086</c:v>
                </c:pt>
                <c:pt idx="159">
                  <c:v>1086</c:v>
                </c:pt>
                <c:pt idx="160">
                  <c:v>1086</c:v>
                </c:pt>
                <c:pt idx="161">
                  <c:v>1086</c:v>
                </c:pt>
                <c:pt idx="162">
                  <c:v>404</c:v>
                </c:pt>
                <c:pt idx="163">
                  <c:v>483</c:v>
                </c:pt>
                <c:pt idx="164">
                  <c:v>1086</c:v>
                </c:pt>
                <c:pt idx="165">
                  <c:v>1086</c:v>
                </c:pt>
                <c:pt idx="166">
                  <c:v>549</c:v>
                </c:pt>
                <c:pt idx="167">
                  <c:v>1086</c:v>
                </c:pt>
                <c:pt idx="168">
                  <c:v>1086</c:v>
                </c:pt>
                <c:pt idx="169">
                  <c:v>479</c:v>
                </c:pt>
                <c:pt idx="170">
                  <c:v>344</c:v>
                </c:pt>
                <c:pt idx="171">
                  <c:v>1086</c:v>
                </c:pt>
                <c:pt idx="172">
                  <c:v>1086</c:v>
                </c:pt>
                <c:pt idx="173">
                  <c:v>1086</c:v>
                </c:pt>
                <c:pt idx="174">
                  <c:v>1086</c:v>
                </c:pt>
                <c:pt idx="175">
                  <c:v>1086</c:v>
                </c:pt>
                <c:pt idx="176">
                  <c:v>483</c:v>
                </c:pt>
                <c:pt idx="177">
                  <c:v>407</c:v>
                </c:pt>
                <c:pt idx="178">
                  <c:v>1086</c:v>
                </c:pt>
                <c:pt idx="179">
                  <c:v>1231</c:v>
                </c:pt>
                <c:pt idx="180">
                  <c:v>1158</c:v>
                </c:pt>
                <c:pt idx="181">
                  <c:v>1158</c:v>
                </c:pt>
                <c:pt idx="182">
                  <c:v>1256</c:v>
                </c:pt>
                <c:pt idx="183">
                  <c:v>586</c:v>
                </c:pt>
                <c:pt idx="184">
                  <c:v>671</c:v>
                </c:pt>
                <c:pt idx="185">
                  <c:v>1256</c:v>
                </c:pt>
                <c:pt idx="186">
                  <c:v>1256</c:v>
                </c:pt>
                <c:pt idx="187">
                  <c:v>1256</c:v>
                </c:pt>
                <c:pt idx="188">
                  <c:v>1256</c:v>
                </c:pt>
                <c:pt idx="189">
                  <c:v>1256</c:v>
                </c:pt>
                <c:pt idx="190">
                  <c:v>632</c:v>
                </c:pt>
                <c:pt idx="191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C-4EAB-9445-4286BDEF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2"/>
          <c:order val="5"/>
          <c:tx>
            <c:strRef>
              <c:f>Comportamiento!$E$107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Comportamiento!$F$104:$GT$104</c:f>
              <c:numCache>
                <c:formatCode>d\-mmm</c:formatCode>
                <c:ptCount val="192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  <c:pt idx="103">
                  <c:v>45350</c:v>
                </c:pt>
                <c:pt idx="104">
                  <c:v>45351</c:v>
                </c:pt>
                <c:pt idx="105">
                  <c:v>45352</c:v>
                </c:pt>
                <c:pt idx="106">
                  <c:v>45353</c:v>
                </c:pt>
                <c:pt idx="107">
                  <c:v>45354</c:v>
                </c:pt>
                <c:pt idx="108">
                  <c:v>45355</c:v>
                </c:pt>
                <c:pt idx="109">
                  <c:v>45356</c:v>
                </c:pt>
                <c:pt idx="110">
                  <c:v>45357</c:v>
                </c:pt>
                <c:pt idx="111">
                  <c:v>45358</c:v>
                </c:pt>
                <c:pt idx="112">
                  <c:v>45359</c:v>
                </c:pt>
                <c:pt idx="113">
                  <c:v>45360</c:v>
                </c:pt>
                <c:pt idx="114">
                  <c:v>45361</c:v>
                </c:pt>
                <c:pt idx="115">
                  <c:v>45362</c:v>
                </c:pt>
                <c:pt idx="116">
                  <c:v>45363</c:v>
                </c:pt>
                <c:pt idx="117">
                  <c:v>45364</c:v>
                </c:pt>
                <c:pt idx="118">
                  <c:v>45365</c:v>
                </c:pt>
                <c:pt idx="119">
                  <c:v>45366</c:v>
                </c:pt>
                <c:pt idx="120">
                  <c:v>45367</c:v>
                </c:pt>
                <c:pt idx="121">
                  <c:v>45368</c:v>
                </c:pt>
                <c:pt idx="122">
                  <c:v>45369</c:v>
                </c:pt>
                <c:pt idx="123">
                  <c:v>45370</c:v>
                </c:pt>
                <c:pt idx="124">
                  <c:v>45371</c:v>
                </c:pt>
                <c:pt idx="125">
                  <c:v>45372</c:v>
                </c:pt>
                <c:pt idx="126">
                  <c:v>45373</c:v>
                </c:pt>
                <c:pt idx="127">
                  <c:v>45374</c:v>
                </c:pt>
                <c:pt idx="128">
                  <c:v>45375</c:v>
                </c:pt>
                <c:pt idx="129">
                  <c:v>45376</c:v>
                </c:pt>
                <c:pt idx="130">
                  <c:v>45377</c:v>
                </c:pt>
                <c:pt idx="131">
                  <c:v>45378</c:v>
                </c:pt>
                <c:pt idx="132">
                  <c:v>45379</c:v>
                </c:pt>
                <c:pt idx="133">
                  <c:v>45380</c:v>
                </c:pt>
                <c:pt idx="134">
                  <c:v>45381</c:v>
                </c:pt>
                <c:pt idx="135">
                  <c:v>45382</c:v>
                </c:pt>
                <c:pt idx="136">
                  <c:v>45383</c:v>
                </c:pt>
                <c:pt idx="137">
                  <c:v>45384</c:v>
                </c:pt>
                <c:pt idx="138">
                  <c:v>45385</c:v>
                </c:pt>
                <c:pt idx="139">
                  <c:v>45386</c:v>
                </c:pt>
                <c:pt idx="140">
                  <c:v>45387</c:v>
                </c:pt>
                <c:pt idx="141">
                  <c:v>45388</c:v>
                </c:pt>
                <c:pt idx="142">
                  <c:v>45389</c:v>
                </c:pt>
                <c:pt idx="143">
                  <c:v>45390</c:v>
                </c:pt>
                <c:pt idx="144">
                  <c:v>45391</c:v>
                </c:pt>
                <c:pt idx="145">
                  <c:v>45392</c:v>
                </c:pt>
                <c:pt idx="146">
                  <c:v>45393</c:v>
                </c:pt>
                <c:pt idx="147">
                  <c:v>45394</c:v>
                </c:pt>
                <c:pt idx="148">
                  <c:v>45395</c:v>
                </c:pt>
                <c:pt idx="149">
                  <c:v>45396</c:v>
                </c:pt>
                <c:pt idx="150">
                  <c:v>45397</c:v>
                </c:pt>
                <c:pt idx="151">
                  <c:v>45398</c:v>
                </c:pt>
                <c:pt idx="152">
                  <c:v>45399</c:v>
                </c:pt>
                <c:pt idx="153">
                  <c:v>45400</c:v>
                </c:pt>
                <c:pt idx="154">
                  <c:v>45401</c:v>
                </c:pt>
                <c:pt idx="155">
                  <c:v>45402</c:v>
                </c:pt>
                <c:pt idx="156">
                  <c:v>45403</c:v>
                </c:pt>
                <c:pt idx="157">
                  <c:v>45404</c:v>
                </c:pt>
                <c:pt idx="158">
                  <c:v>45405</c:v>
                </c:pt>
                <c:pt idx="159">
                  <c:v>45406</c:v>
                </c:pt>
                <c:pt idx="160">
                  <c:v>45407</c:v>
                </c:pt>
                <c:pt idx="161">
                  <c:v>45408</c:v>
                </c:pt>
                <c:pt idx="162">
                  <c:v>45409</c:v>
                </c:pt>
                <c:pt idx="163">
                  <c:v>45410</c:v>
                </c:pt>
                <c:pt idx="164">
                  <c:v>45411</c:v>
                </c:pt>
                <c:pt idx="165">
                  <c:v>45412</c:v>
                </c:pt>
                <c:pt idx="166">
                  <c:v>45413</c:v>
                </c:pt>
                <c:pt idx="167">
                  <c:v>45414</c:v>
                </c:pt>
                <c:pt idx="168">
                  <c:v>45415</c:v>
                </c:pt>
                <c:pt idx="169">
                  <c:v>45416</c:v>
                </c:pt>
                <c:pt idx="170">
                  <c:v>45417</c:v>
                </c:pt>
                <c:pt idx="171">
                  <c:v>45418</c:v>
                </c:pt>
                <c:pt idx="172">
                  <c:v>45419</c:v>
                </c:pt>
                <c:pt idx="173">
                  <c:v>45420</c:v>
                </c:pt>
                <c:pt idx="174">
                  <c:v>45421</c:v>
                </c:pt>
                <c:pt idx="175">
                  <c:v>45422</c:v>
                </c:pt>
                <c:pt idx="176">
                  <c:v>45423</c:v>
                </c:pt>
                <c:pt idx="177">
                  <c:v>45424</c:v>
                </c:pt>
                <c:pt idx="178">
                  <c:v>45425</c:v>
                </c:pt>
                <c:pt idx="179">
                  <c:v>45426</c:v>
                </c:pt>
                <c:pt idx="180">
                  <c:v>45427</c:v>
                </c:pt>
                <c:pt idx="181">
                  <c:v>45428</c:v>
                </c:pt>
                <c:pt idx="182">
                  <c:v>45429</c:v>
                </c:pt>
                <c:pt idx="183">
                  <c:v>45430</c:v>
                </c:pt>
                <c:pt idx="184">
                  <c:v>45431</c:v>
                </c:pt>
                <c:pt idx="185">
                  <c:v>45432</c:v>
                </c:pt>
                <c:pt idx="186">
                  <c:v>45433</c:v>
                </c:pt>
                <c:pt idx="187">
                  <c:v>45434</c:v>
                </c:pt>
                <c:pt idx="188">
                  <c:v>45435</c:v>
                </c:pt>
                <c:pt idx="189">
                  <c:v>45436</c:v>
                </c:pt>
                <c:pt idx="190">
                  <c:v>45437</c:v>
                </c:pt>
                <c:pt idx="191">
                  <c:v>45438</c:v>
                </c:pt>
              </c:numCache>
            </c:numRef>
          </c:cat>
          <c:val>
            <c:numRef>
              <c:f>Comportamiento!$F$107:$GT$107</c:f>
              <c:numCache>
                <c:formatCode>#,##0</c:formatCode>
                <c:ptCount val="192"/>
                <c:pt idx="0">
                  <c:v>320</c:v>
                </c:pt>
                <c:pt idx="1">
                  <c:v>588</c:v>
                </c:pt>
                <c:pt idx="2">
                  <c:v>603</c:v>
                </c:pt>
                <c:pt idx="3">
                  <c:v>918</c:v>
                </c:pt>
                <c:pt idx="4">
                  <c:v>1169</c:v>
                </c:pt>
                <c:pt idx="5">
                  <c:v>1191</c:v>
                </c:pt>
                <c:pt idx="6">
                  <c:v>1298</c:v>
                </c:pt>
                <c:pt idx="7">
                  <c:v>1369</c:v>
                </c:pt>
                <c:pt idx="8">
                  <c:v>1000</c:v>
                </c:pt>
                <c:pt idx="9">
                  <c:v>463</c:v>
                </c:pt>
                <c:pt idx="10">
                  <c:v>1214</c:v>
                </c:pt>
                <c:pt idx="11">
                  <c:v>1097</c:v>
                </c:pt>
                <c:pt idx="12">
                  <c:v>1187</c:v>
                </c:pt>
                <c:pt idx="13">
                  <c:v>1164</c:v>
                </c:pt>
                <c:pt idx="14">
                  <c:v>957</c:v>
                </c:pt>
                <c:pt idx="15">
                  <c:v>473</c:v>
                </c:pt>
                <c:pt idx="16">
                  <c:v>692</c:v>
                </c:pt>
                <c:pt idx="17">
                  <c:v>1210</c:v>
                </c:pt>
                <c:pt idx="18">
                  <c:v>1143</c:v>
                </c:pt>
                <c:pt idx="19">
                  <c:v>1137</c:v>
                </c:pt>
                <c:pt idx="20">
                  <c:v>1598</c:v>
                </c:pt>
                <c:pt idx="21">
                  <c:v>1759</c:v>
                </c:pt>
                <c:pt idx="22">
                  <c:v>766</c:v>
                </c:pt>
                <c:pt idx="23">
                  <c:v>1121</c:v>
                </c:pt>
                <c:pt idx="24">
                  <c:v>1808</c:v>
                </c:pt>
                <c:pt idx="25">
                  <c:v>1759</c:v>
                </c:pt>
                <c:pt idx="26">
                  <c:v>1943</c:v>
                </c:pt>
                <c:pt idx="27">
                  <c:v>1790</c:v>
                </c:pt>
                <c:pt idx="28">
                  <c:v>1658</c:v>
                </c:pt>
                <c:pt idx="29">
                  <c:v>906</c:v>
                </c:pt>
                <c:pt idx="30">
                  <c:v>647</c:v>
                </c:pt>
                <c:pt idx="31">
                  <c:v>1642</c:v>
                </c:pt>
                <c:pt idx="32">
                  <c:v>1627</c:v>
                </c:pt>
                <c:pt idx="33">
                  <c:v>1415</c:v>
                </c:pt>
                <c:pt idx="34">
                  <c:v>1626</c:v>
                </c:pt>
                <c:pt idx="35">
                  <c:v>1636</c:v>
                </c:pt>
                <c:pt idx="36">
                  <c:v>813</c:v>
                </c:pt>
                <c:pt idx="37">
                  <c:v>834</c:v>
                </c:pt>
                <c:pt idx="38">
                  <c:v>1102</c:v>
                </c:pt>
                <c:pt idx="39">
                  <c:v>1657</c:v>
                </c:pt>
                <c:pt idx="40">
                  <c:v>1870</c:v>
                </c:pt>
                <c:pt idx="41">
                  <c:v>1858</c:v>
                </c:pt>
                <c:pt idx="42">
                  <c:v>1961</c:v>
                </c:pt>
                <c:pt idx="43">
                  <c:v>1008</c:v>
                </c:pt>
                <c:pt idx="44">
                  <c:v>999</c:v>
                </c:pt>
                <c:pt idx="45">
                  <c:v>861</c:v>
                </c:pt>
                <c:pt idx="46">
                  <c:v>1643</c:v>
                </c:pt>
                <c:pt idx="47">
                  <c:v>1661</c:v>
                </c:pt>
                <c:pt idx="48">
                  <c:v>1578</c:v>
                </c:pt>
                <c:pt idx="49">
                  <c:v>1666</c:v>
                </c:pt>
                <c:pt idx="50">
                  <c:v>841</c:v>
                </c:pt>
                <c:pt idx="51">
                  <c:v>664</c:v>
                </c:pt>
                <c:pt idx="52">
                  <c:v>1636</c:v>
                </c:pt>
                <c:pt idx="53">
                  <c:v>1607</c:v>
                </c:pt>
                <c:pt idx="54">
                  <c:v>1583</c:v>
                </c:pt>
                <c:pt idx="55">
                  <c:v>1661</c:v>
                </c:pt>
                <c:pt idx="56">
                  <c:v>1454</c:v>
                </c:pt>
                <c:pt idx="57">
                  <c:v>776</c:v>
                </c:pt>
                <c:pt idx="58">
                  <c:v>591</c:v>
                </c:pt>
                <c:pt idx="59">
                  <c:v>1431</c:v>
                </c:pt>
                <c:pt idx="60">
                  <c:v>1476</c:v>
                </c:pt>
                <c:pt idx="61">
                  <c:v>1467</c:v>
                </c:pt>
                <c:pt idx="62">
                  <c:v>1627</c:v>
                </c:pt>
                <c:pt idx="63">
                  <c:v>1620</c:v>
                </c:pt>
                <c:pt idx="64">
                  <c:v>995</c:v>
                </c:pt>
                <c:pt idx="65">
                  <c:v>624</c:v>
                </c:pt>
                <c:pt idx="66">
                  <c:v>1707</c:v>
                </c:pt>
                <c:pt idx="67">
                  <c:v>1707</c:v>
                </c:pt>
                <c:pt idx="68">
                  <c:v>1509</c:v>
                </c:pt>
                <c:pt idx="69">
                  <c:v>1180</c:v>
                </c:pt>
                <c:pt idx="70">
                  <c:v>1505</c:v>
                </c:pt>
                <c:pt idx="71">
                  <c:v>514</c:v>
                </c:pt>
                <c:pt idx="72">
                  <c:v>599</c:v>
                </c:pt>
                <c:pt idx="73">
                  <c:v>1243</c:v>
                </c:pt>
                <c:pt idx="74">
                  <c:v>1349</c:v>
                </c:pt>
                <c:pt idx="75">
                  <c:v>1577</c:v>
                </c:pt>
                <c:pt idx="76">
                  <c:v>1275</c:v>
                </c:pt>
                <c:pt idx="77">
                  <c:v>1085</c:v>
                </c:pt>
                <c:pt idx="78">
                  <c:v>645</c:v>
                </c:pt>
                <c:pt idx="79">
                  <c:v>431</c:v>
                </c:pt>
                <c:pt idx="80">
                  <c:v>593</c:v>
                </c:pt>
                <c:pt idx="81">
                  <c:v>1645</c:v>
                </c:pt>
                <c:pt idx="82">
                  <c:v>1260</c:v>
                </c:pt>
                <c:pt idx="83">
                  <c:v>1358</c:v>
                </c:pt>
                <c:pt idx="84">
                  <c:v>1142</c:v>
                </c:pt>
                <c:pt idx="85">
                  <c:v>664</c:v>
                </c:pt>
                <c:pt idx="86">
                  <c:v>540</c:v>
                </c:pt>
                <c:pt idx="87">
                  <c:v>1269</c:v>
                </c:pt>
                <c:pt idx="88">
                  <c:v>1329</c:v>
                </c:pt>
                <c:pt idx="89">
                  <c:v>1311</c:v>
                </c:pt>
                <c:pt idx="90">
                  <c:v>1129</c:v>
                </c:pt>
                <c:pt idx="91">
                  <c:v>1138</c:v>
                </c:pt>
                <c:pt idx="92">
                  <c:v>580</c:v>
                </c:pt>
                <c:pt idx="93">
                  <c:v>611</c:v>
                </c:pt>
                <c:pt idx="94">
                  <c:v>1282</c:v>
                </c:pt>
                <c:pt idx="95">
                  <c:v>1304</c:v>
                </c:pt>
                <c:pt idx="96">
                  <c:v>1438</c:v>
                </c:pt>
                <c:pt idx="97">
                  <c:v>988</c:v>
                </c:pt>
                <c:pt idx="98">
                  <c:v>1030</c:v>
                </c:pt>
                <c:pt idx="99">
                  <c:v>852</c:v>
                </c:pt>
                <c:pt idx="100">
                  <c:v>299</c:v>
                </c:pt>
                <c:pt idx="101">
                  <c:v>1158</c:v>
                </c:pt>
                <c:pt idx="102">
                  <c:v>927</c:v>
                </c:pt>
                <c:pt idx="103">
                  <c:v>816</c:v>
                </c:pt>
                <c:pt idx="104">
                  <c:v>781</c:v>
                </c:pt>
                <c:pt idx="105">
                  <c:v>823</c:v>
                </c:pt>
                <c:pt idx="106">
                  <c:v>662</c:v>
                </c:pt>
                <c:pt idx="107">
                  <c:v>343</c:v>
                </c:pt>
                <c:pt idx="108">
                  <c:v>791</c:v>
                </c:pt>
                <c:pt idx="109">
                  <c:v>784</c:v>
                </c:pt>
                <c:pt idx="110">
                  <c:v>915</c:v>
                </c:pt>
                <c:pt idx="111">
                  <c:v>702</c:v>
                </c:pt>
                <c:pt idx="112">
                  <c:v>634</c:v>
                </c:pt>
                <c:pt idx="113">
                  <c:v>326</c:v>
                </c:pt>
                <c:pt idx="114">
                  <c:v>220</c:v>
                </c:pt>
                <c:pt idx="115">
                  <c:v>754</c:v>
                </c:pt>
                <c:pt idx="116">
                  <c:v>718</c:v>
                </c:pt>
                <c:pt idx="117">
                  <c:v>875</c:v>
                </c:pt>
                <c:pt idx="118">
                  <c:v>673</c:v>
                </c:pt>
                <c:pt idx="119">
                  <c:v>578</c:v>
                </c:pt>
                <c:pt idx="120">
                  <c:v>455</c:v>
                </c:pt>
                <c:pt idx="121">
                  <c:v>331</c:v>
                </c:pt>
                <c:pt idx="122">
                  <c:v>372</c:v>
                </c:pt>
                <c:pt idx="123">
                  <c:v>845</c:v>
                </c:pt>
                <c:pt idx="124">
                  <c:v>640</c:v>
                </c:pt>
                <c:pt idx="125">
                  <c:v>745</c:v>
                </c:pt>
                <c:pt idx="126">
                  <c:v>629</c:v>
                </c:pt>
                <c:pt idx="127">
                  <c:v>437</c:v>
                </c:pt>
                <c:pt idx="128">
                  <c:v>201</c:v>
                </c:pt>
                <c:pt idx="129">
                  <c:v>803</c:v>
                </c:pt>
                <c:pt idx="130">
                  <c:v>686</c:v>
                </c:pt>
                <c:pt idx="131">
                  <c:v>691</c:v>
                </c:pt>
                <c:pt idx="132">
                  <c:v>450</c:v>
                </c:pt>
                <c:pt idx="133">
                  <c:v>395</c:v>
                </c:pt>
                <c:pt idx="134">
                  <c:v>194</c:v>
                </c:pt>
                <c:pt idx="135">
                  <c:v>177</c:v>
                </c:pt>
                <c:pt idx="136">
                  <c:v>694</c:v>
                </c:pt>
                <c:pt idx="137">
                  <c:v>520</c:v>
                </c:pt>
                <c:pt idx="138">
                  <c:v>555</c:v>
                </c:pt>
                <c:pt idx="139">
                  <c:v>535</c:v>
                </c:pt>
                <c:pt idx="140">
                  <c:v>465</c:v>
                </c:pt>
                <c:pt idx="141">
                  <c:v>269</c:v>
                </c:pt>
                <c:pt idx="142">
                  <c:v>232</c:v>
                </c:pt>
                <c:pt idx="143">
                  <c:v>640</c:v>
                </c:pt>
                <c:pt idx="144">
                  <c:v>605</c:v>
                </c:pt>
                <c:pt idx="145">
                  <c:v>546</c:v>
                </c:pt>
                <c:pt idx="146">
                  <c:v>440</c:v>
                </c:pt>
                <c:pt idx="147">
                  <c:v>471</c:v>
                </c:pt>
                <c:pt idx="148">
                  <c:v>297</c:v>
                </c:pt>
                <c:pt idx="149">
                  <c:v>253</c:v>
                </c:pt>
                <c:pt idx="150">
                  <c:v>516</c:v>
                </c:pt>
                <c:pt idx="151">
                  <c:v>515</c:v>
                </c:pt>
                <c:pt idx="152">
                  <c:v>593</c:v>
                </c:pt>
                <c:pt idx="153">
                  <c:v>578</c:v>
                </c:pt>
                <c:pt idx="154">
                  <c:v>741</c:v>
                </c:pt>
                <c:pt idx="155">
                  <c:v>392</c:v>
                </c:pt>
                <c:pt idx="156">
                  <c:v>410</c:v>
                </c:pt>
                <c:pt idx="157">
                  <c:v>981</c:v>
                </c:pt>
                <c:pt idx="158">
                  <c:v>750</c:v>
                </c:pt>
                <c:pt idx="159">
                  <c:v>755</c:v>
                </c:pt>
                <c:pt idx="160">
                  <c:v>758</c:v>
                </c:pt>
                <c:pt idx="161">
                  <c:v>648</c:v>
                </c:pt>
                <c:pt idx="162">
                  <c:v>667</c:v>
                </c:pt>
                <c:pt idx="163">
                  <c:v>445</c:v>
                </c:pt>
                <c:pt idx="164">
                  <c:v>1085</c:v>
                </c:pt>
                <c:pt idx="165">
                  <c:v>1057</c:v>
                </c:pt>
                <c:pt idx="166">
                  <c:v>683</c:v>
                </c:pt>
                <c:pt idx="167">
                  <c:v>1192</c:v>
                </c:pt>
                <c:pt idx="168">
                  <c:v>1069</c:v>
                </c:pt>
                <c:pt idx="169">
                  <c:v>853</c:v>
                </c:pt>
                <c:pt idx="170">
                  <c:v>594</c:v>
                </c:pt>
                <c:pt idx="171">
                  <c:v>1466</c:v>
                </c:pt>
                <c:pt idx="172">
                  <c:v>1167</c:v>
                </c:pt>
                <c:pt idx="173">
                  <c:v>1169</c:v>
                </c:pt>
                <c:pt idx="174">
                  <c:v>1356</c:v>
                </c:pt>
                <c:pt idx="175">
                  <c:v>1262</c:v>
                </c:pt>
                <c:pt idx="176">
                  <c:v>486</c:v>
                </c:pt>
                <c:pt idx="177">
                  <c:v>546</c:v>
                </c:pt>
                <c:pt idx="178">
                  <c:v>979</c:v>
                </c:pt>
                <c:pt idx="179">
                  <c:v>1069</c:v>
                </c:pt>
                <c:pt idx="180">
                  <c:v>1065</c:v>
                </c:pt>
                <c:pt idx="181">
                  <c:v>895</c:v>
                </c:pt>
                <c:pt idx="182">
                  <c:v>1069</c:v>
                </c:pt>
                <c:pt idx="183">
                  <c:v>1065</c:v>
                </c:pt>
                <c:pt idx="184">
                  <c:v>895</c:v>
                </c:pt>
                <c:pt idx="185">
                  <c:v>995</c:v>
                </c:pt>
                <c:pt idx="186">
                  <c:v>985</c:v>
                </c:pt>
                <c:pt idx="187">
                  <c:v>1181</c:v>
                </c:pt>
                <c:pt idx="188">
                  <c:v>1313</c:v>
                </c:pt>
                <c:pt idx="189">
                  <c:v>1211</c:v>
                </c:pt>
                <c:pt idx="190">
                  <c:v>847</c:v>
                </c:pt>
                <c:pt idx="191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C-4EAB-9445-4286BDEF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TAF-AXO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Comportamiento!$E$11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Comportamiento!$F$10:$GT$10</c15:sqref>
                  </c15:fullRef>
                </c:ext>
              </c:extLst>
              <c:f>Comportamiento!$CA$10:$GT$10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Comportamiento!$F$11:$GT$11</c15:sqref>
                  </c15:fullRef>
                </c:ext>
              </c:extLst>
              <c:f>Comportamiento!$CA$11:$GT$11</c:f>
              <c:numCache>
                <c:formatCode>#,##0</c:formatCode>
                <c:ptCount val="119"/>
                <c:pt idx="0">
                  <c:v>1244</c:v>
                </c:pt>
                <c:pt idx="1">
                  <c:v>1193</c:v>
                </c:pt>
                <c:pt idx="2">
                  <c:v>1206</c:v>
                </c:pt>
                <c:pt idx="3">
                  <c:v>1038</c:v>
                </c:pt>
                <c:pt idx="4">
                  <c:v>868</c:v>
                </c:pt>
                <c:pt idx="5">
                  <c:v>576</c:v>
                </c:pt>
                <c:pt idx="6">
                  <c:v>399</c:v>
                </c:pt>
                <c:pt idx="7">
                  <c:v>613</c:v>
                </c:pt>
                <c:pt idx="8">
                  <c:v>1090</c:v>
                </c:pt>
                <c:pt idx="9">
                  <c:v>981</c:v>
                </c:pt>
                <c:pt idx="10">
                  <c:v>968</c:v>
                </c:pt>
                <c:pt idx="11">
                  <c:v>788</c:v>
                </c:pt>
                <c:pt idx="12">
                  <c:v>529</c:v>
                </c:pt>
                <c:pt idx="13">
                  <c:v>336</c:v>
                </c:pt>
                <c:pt idx="14">
                  <c:v>998</c:v>
                </c:pt>
                <c:pt idx="15">
                  <c:v>1020</c:v>
                </c:pt>
                <c:pt idx="16">
                  <c:v>748</c:v>
                </c:pt>
                <c:pt idx="17">
                  <c:v>947</c:v>
                </c:pt>
                <c:pt idx="18">
                  <c:v>817</c:v>
                </c:pt>
                <c:pt idx="19">
                  <c:v>486</c:v>
                </c:pt>
                <c:pt idx="20">
                  <c:v>361</c:v>
                </c:pt>
                <c:pt idx="21">
                  <c:v>1019</c:v>
                </c:pt>
                <c:pt idx="22">
                  <c:v>1125</c:v>
                </c:pt>
                <c:pt idx="23">
                  <c:v>1007</c:v>
                </c:pt>
                <c:pt idx="24">
                  <c:v>835</c:v>
                </c:pt>
                <c:pt idx="25">
                  <c:v>774</c:v>
                </c:pt>
                <c:pt idx="26">
                  <c:v>425</c:v>
                </c:pt>
                <c:pt idx="27">
                  <c:v>335</c:v>
                </c:pt>
                <c:pt idx="28">
                  <c:v>912</c:v>
                </c:pt>
                <c:pt idx="29">
                  <c:v>883</c:v>
                </c:pt>
                <c:pt idx="30">
                  <c:v>742</c:v>
                </c:pt>
                <c:pt idx="31">
                  <c:v>711</c:v>
                </c:pt>
                <c:pt idx="32">
                  <c:v>797</c:v>
                </c:pt>
                <c:pt idx="33">
                  <c:v>550</c:v>
                </c:pt>
                <c:pt idx="34">
                  <c:v>380</c:v>
                </c:pt>
                <c:pt idx="35">
                  <c:v>895</c:v>
                </c:pt>
                <c:pt idx="36">
                  <c:v>833</c:v>
                </c:pt>
                <c:pt idx="37">
                  <c:v>823</c:v>
                </c:pt>
                <c:pt idx="38">
                  <c:v>678</c:v>
                </c:pt>
                <c:pt idx="39">
                  <c:v>531</c:v>
                </c:pt>
                <c:pt idx="40">
                  <c:v>389</c:v>
                </c:pt>
                <c:pt idx="41">
                  <c:v>250</c:v>
                </c:pt>
                <c:pt idx="42">
                  <c:v>870</c:v>
                </c:pt>
                <c:pt idx="43">
                  <c:v>763</c:v>
                </c:pt>
                <c:pt idx="44">
                  <c:v>758</c:v>
                </c:pt>
                <c:pt idx="45">
                  <c:v>638</c:v>
                </c:pt>
                <c:pt idx="46">
                  <c:v>654</c:v>
                </c:pt>
                <c:pt idx="47">
                  <c:v>467</c:v>
                </c:pt>
                <c:pt idx="48">
                  <c:v>333</c:v>
                </c:pt>
                <c:pt idx="49">
                  <c:v>357</c:v>
                </c:pt>
                <c:pt idx="50">
                  <c:v>877</c:v>
                </c:pt>
                <c:pt idx="51">
                  <c:v>806</c:v>
                </c:pt>
                <c:pt idx="52">
                  <c:v>794</c:v>
                </c:pt>
                <c:pt idx="53">
                  <c:v>710</c:v>
                </c:pt>
                <c:pt idx="54">
                  <c:v>415</c:v>
                </c:pt>
                <c:pt idx="55">
                  <c:v>318</c:v>
                </c:pt>
                <c:pt idx="56">
                  <c:v>814</c:v>
                </c:pt>
                <c:pt idx="57">
                  <c:v>661</c:v>
                </c:pt>
                <c:pt idx="58">
                  <c:v>696</c:v>
                </c:pt>
                <c:pt idx="59">
                  <c:v>375</c:v>
                </c:pt>
                <c:pt idx="60">
                  <c:v>357</c:v>
                </c:pt>
                <c:pt idx="61">
                  <c:v>256</c:v>
                </c:pt>
                <c:pt idx="62">
                  <c:v>229</c:v>
                </c:pt>
                <c:pt idx="63">
                  <c:v>837</c:v>
                </c:pt>
                <c:pt idx="64">
                  <c:v>605</c:v>
                </c:pt>
                <c:pt idx="65">
                  <c:v>650</c:v>
                </c:pt>
                <c:pt idx="66">
                  <c:v>592</c:v>
                </c:pt>
                <c:pt idx="67">
                  <c:v>545</c:v>
                </c:pt>
                <c:pt idx="68">
                  <c:v>363</c:v>
                </c:pt>
                <c:pt idx="69">
                  <c:v>276</c:v>
                </c:pt>
                <c:pt idx="70">
                  <c:v>690</c:v>
                </c:pt>
                <c:pt idx="71">
                  <c:v>625</c:v>
                </c:pt>
                <c:pt idx="72">
                  <c:v>608</c:v>
                </c:pt>
                <c:pt idx="73">
                  <c:v>526</c:v>
                </c:pt>
                <c:pt idx="74">
                  <c:v>535</c:v>
                </c:pt>
                <c:pt idx="75">
                  <c:v>336</c:v>
                </c:pt>
                <c:pt idx="76">
                  <c:v>296</c:v>
                </c:pt>
                <c:pt idx="77">
                  <c:v>624</c:v>
                </c:pt>
                <c:pt idx="78">
                  <c:v>623</c:v>
                </c:pt>
                <c:pt idx="79">
                  <c:v>660</c:v>
                </c:pt>
                <c:pt idx="80">
                  <c:v>677</c:v>
                </c:pt>
                <c:pt idx="81">
                  <c:v>783</c:v>
                </c:pt>
                <c:pt idx="82">
                  <c:v>506</c:v>
                </c:pt>
                <c:pt idx="83">
                  <c:v>460</c:v>
                </c:pt>
                <c:pt idx="84">
                  <c:v>1134</c:v>
                </c:pt>
                <c:pt idx="85">
                  <c:v>839</c:v>
                </c:pt>
                <c:pt idx="86">
                  <c:v>781</c:v>
                </c:pt>
                <c:pt idx="87">
                  <c:v>765</c:v>
                </c:pt>
                <c:pt idx="88">
                  <c:v>860</c:v>
                </c:pt>
                <c:pt idx="89">
                  <c:v>654</c:v>
                </c:pt>
                <c:pt idx="90">
                  <c:v>548</c:v>
                </c:pt>
                <c:pt idx="91">
                  <c:v>1895</c:v>
                </c:pt>
                <c:pt idx="92">
                  <c:v>1724</c:v>
                </c:pt>
                <c:pt idx="93">
                  <c:v>1048</c:v>
                </c:pt>
                <c:pt idx="94">
                  <c:v>2409</c:v>
                </c:pt>
                <c:pt idx="95">
                  <c:v>1932</c:v>
                </c:pt>
                <c:pt idx="96">
                  <c:v>1030</c:v>
                </c:pt>
                <c:pt idx="97">
                  <c:v>684</c:v>
                </c:pt>
                <c:pt idx="98">
                  <c:v>2556</c:v>
                </c:pt>
                <c:pt idx="99">
                  <c:v>2355</c:v>
                </c:pt>
                <c:pt idx="100">
                  <c:v>2084</c:v>
                </c:pt>
                <c:pt idx="101">
                  <c:v>2315</c:v>
                </c:pt>
                <c:pt idx="102">
                  <c:v>2039</c:v>
                </c:pt>
                <c:pt idx="103">
                  <c:v>1320</c:v>
                </c:pt>
                <c:pt idx="104">
                  <c:v>572</c:v>
                </c:pt>
                <c:pt idx="105">
                  <c:v>2911</c:v>
                </c:pt>
                <c:pt idx="106">
                  <c:v>2893</c:v>
                </c:pt>
                <c:pt idx="107">
                  <c:v>3305</c:v>
                </c:pt>
                <c:pt idx="108">
                  <c:v>2939</c:v>
                </c:pt>
                <c:pt idx="109">
                  <c:v>2776</c:v>
                </c:pt>
                <c:pt idx="110">
                  <c:v>1619</c:v>
                </c:pt>
                <c:pt idx="111">
                  <c:v>1013</c:v>
                </c:pt>
                <c:pt idx="112">
                  <c:v>3185</c:v>
                </c:pt>
                <c:pt idx="113">
                  <c:v>3733</c:v>
                </c:pt>
                <c:pt idx="114">
                  <c:v>3648</c:v>
                </c:pt>
                <c:pt idx="115">
                  <c:v>3423</c:v>
                </c:pt>
                <c:pt idx="116">
                  <c:v>2902</c:v>
                </c:pt>
                <c:pt idx="117">
                  <c:v>1396</c:v>
                </c:pt>
                <c:pt idx="118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1-4CD8-8464-82B5424E80EF}"/>
            </c:ext>
          </c:extLst>
        </c:ser>
        <c:ser>
          <c:idx val="4"/>
          <c:order val="2"/>
          <c:tx>
            <c:strRef>
              <c:f>Comportamiento!$E$16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Comportamiento!$F$10:$GT$10</c15:sqref>
                  </c15:fullRef>
                </c:ext>
              </c:extLst>
              <c:f>Comportamiento!$CA$10:$GT$10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Comportamiento!$F$16:$GT$16</c15:sqref>
                  </c15:fullRef>
                </c:ext>
              </c:extLst>
              <c:f>Comportamiento!$CA$16:$GT$16</c:f>
              <c:numCache>
                <c:formatCode>#,##0</c:formatCode>
                <c:ptCount val="119"/>
                <c:pt idx="0">
                  <c:v>226</c:v>
                </c:pt>
                <c:pt idx="1">
                  <c:v>205</c:v>
                </c:pt>
                <c:pt idx="2">
                  <c:v>223</c:v>
                </c:pt>
                <c:pt idx="3">
                  <c:v>203</c:v>
                </c:pt>
                <c:pt idx="4">
                  <c:v>76</c:v>
                </c:pt>
                <c:pt idx="5">
                  <c:v>107</c:v>
                </c:pt>
                <c:pt idx="6">
                  <c:v>48</c:v>
                </c:pt>
                <c:pt idx="7">
                  <c:v>85</c:v>
                </c:pt>
                <c:pt idx="8">
                  <c:v>107</c:v>
                </c:pt>
                <c:pt idx="9">
                  <c:v>227</c:v>
                </c:pt>
                <c:pt idx="10">
                  <c:v>41</c:v>
                </c:pt>
                <c:pt idx="11">
                  <c:v>125</c:v>
                </c:pt>
                <c:pt idx="12">
                  <c:v>26</c:v>
                </c:pt>
                <c:pt idx="13">
                  <c:v>64</c:v>
                </c:pt>
                <c:pt idx="14">
                  <c:v>17</c:v>
                </c:pt>
                <c:pt idx="15">
                  <c:v>91</c:v>
                </c:pt>
                <c:pt idx="16">
                  <c:v>125</c:v>
                </c:pt>
                <c:pt idx="17">
                  <c:v>46</c:v>
                </c:pt>
                <c:pt idx="18">
                  <c:v>98</c:v>
                </c:pt>
                <c:pt idx="19">
                  <c:v>92</c:v>
                </c:pt>
                <c:pt idx="20">
                  <c:v>50</c:v>
                </c:pt>
                <c:pt idx="21">
                  <c:v>59</c:v>
                </c:pt>
                <c:pt idx="22">
                  <c:v>115</c:v>
                </c:pt>
                <c:pt idx="23">
                  <c:v>294</c:v>
                </c:pt>
                <c:pt idx="24">
                  <c:v>283</c:v>
                </c:pt>
                <c:pt idx="25">
                  <c:v>192</c:v>
                </c:pt>
                <c:pt idx="26">
                  <c:v>68</c:v>
                </c:pt>
                <c:pt idx="27">
                  <c:v>67</c:v>
                </c:pt>
                <c:pt idx="28">
                  <c:v>14</c:v>
                </c:pt>
                <c:pt idx="29">
                  <c:v>48</c:v>
                </c:pt>
                <c:pt idx="30">
                  <c:v>91</c:v>
                </c:pt>
                <c:pt idx="31">
                  <c:v>22</c:v>
                </c:pt>
                <c:pt idx="32">
                  <c:v>29</c:v>
                </c:pt>
                <c:pt idx="33">
                  <c:v>80</c:v>
                </c:pt>
                <c:pt idx="34">
                  <c:v>52</c:v>
                </c:pt>
                <c:pt idx="35">
                  <c:v>12</c:v>
                </c:pt>
                <c:pt idx="36">
                  <c:v>39</c:v>
                </c:pt>
                <c:pt idx="37">
                  <c:v>37</c:v>
                </c:pt>
                <c:pt idx="38">
                  <c:v>19</c:v>
                </c:pt>
                <c:pt idx="39">
                  <c:v>10</c:v>
                </c:pt>
                <c:pt idx="40">
                  <c:v>44</c:v>
                </c:pt>
                <c:pt idx="41">
                  <c:v>61</c:v>
                </c:pt>
                <c:pt idx="42">
                  <c:v>19</c:v>
                </c:pt>
                <c:pt idx="43">
                  <c:v>60</c:v>
                </c:pt>
                <c:pt idx="44">
                  <c:v>23</c:v>
                </c:pt>
                <c:pt idx="45">
                  <c:v>88</c:v>
                </c:pt>
                <c:pt idx="46">
                  <c:v>17</c:v>
                </c:pt>
                <c:pt idx="47">
                  <c:v>69</c:v>
                </c:pt>
                <c:pt idx="48">
                  <c:v>48</c:v>
                </c:pt>
                <c:pt idx="49">
                  <c:v>76</c:v>
                </c:pt>
                <c:pt idx="50">
                  <c:v>48</c:v>
                </c:pt>
                <c:pt idx="51">
                  <c:v>14</c:v>
                </c:pt>
                <c:pt idx="52">
                  <c:v>16</c:v>
                </c:pt>
                <c:pt idx="53">
                  <c:v>83</c:v>
                </c:pt>
                <c:pt idx="54">
                  <c:v>42</c:v>
                </c:pt>
                <c:pt idx="55">
                  <c:v>31</c:v>
                </c:pt>
                <c:pt idx="56">
                  <c:v>77</c:v>
                </c:pt>
                <c:pt idx="57">
                  <c:v>14</c:v>
                </c:pt>
                <c:pt idx="58">
                  <c:v>17</c:v>
                </c:pt>
                <c:pt idx="59">
                  <c:v>18</c:v>
                </c:pt>
                <c:pt idx="60">
                  <c:v>21</c:v>
                </c:pt>
                <c:pt idx="61">
                  <c:v>45</c:v>
                </c:pt>
                <c:pt idx="62">
                  <c:v>44</c:v>
                </c:pt>
                <c:pt idx="63">
                  <c:v>7</c:v>
                </c:pt>
                <c:pt idx="64">
                  <c:v>29</c:v>
                </c:pt>
                <c:pt idx="65">
                  <c:v>22</c:v>
                </c:pt>
                <c:pt idx="66">
                  <c:v>25</c:v>
                </c:pt>
                <c:pt idx="67">
                  <c:v>16</c:v>
                </c:pt>
                <c:pt idx="68">
                  <c:v>71</c:v>
                </c:pt>
                <c:pt idx="69">
                  <c:v>38</c:v>
                </c:pt>
                <c:pt idx="70">
                  <c:v>21</c:v>
                </c:pt>
                <c:pt idx="71">
                  <c:v>23</c:v>
                </c:pt>
                <c:pt idx="72">
                  <c:v>18</c:v>
                </c:pt>
                <c:pt idx="73">
                  <c:v>15</c:v>
                </c:pt>
                <c:pt idx="74">
                  <c:v>6</c:v>
                </c:pt>
                <c:pt idx="75">
                  <c:v>26</c:v>
                </c:pt>
                <c:pt idx="76">
                  <c:v>11</c:v>
                </c:pt>
                <c:pt idx="77">
                  <c:v>10</c:v>
                </c:pt>
                <c:pt idx="78">
                  <c:v>21</c:v>
                </c:pt>
                <c:pt idx="79">
                  <c:v>42</c:v>
                </c:pt>
                <c:pt idx="80">
                  <c:v>20</c:v>
                </c:pt>
                <c:pt idx="81">
                  <c:v>36</c:v>
                </c:pt>
                <c:pt idx="82">
                  <c:v>88</c:v>
                </c:pt>
                <c:pt idx="83">
                  <c:v>86</c:v>
                </c:pt>
                <c:pt idx="84">
                  <c:v>84</c:v>
                </c:pt>
                <c:pt idx="85">
                  <c:v>72</c:v>
                </c:pt>
                <c:pt idx="86">
                  <c:v>237</c:v>
                </c:pt>
                <c:pt idx="87">
                  <c:v>188</c:v>
                </c:pt>
                <c:pt idx="88">
                  <c:v>163</c:v>
                </c:pt>
                <c:pt idx="89">
                  <c:v>301</c:v>
                </c:pt>
                <c:pt idx="90">
                  <c:v>161</c:v>
                </c:pt>
                <c:pt idx="91">
                  <c:v>875</c:v>
                </c:pt>
                <c:pt idx="92">
                  <c:v>908</c:v>
                </c:pt>
                <c:pt idx="93">
                  <c:v>1359</c:v>
                </c:pt>
                <c:pt idx="94">
                  <c:v>1989</c:v>
                </c:pt>
                <c:pt idx="95">
                  <c:v>2078</c:v>
                </c:pt>
                <c:pt idx="96">
                  <c:v>2189</c:v>
                </c:pt>
                <c:pt idx="97">
                  <c:v>2090</c:v>
                </c:pt>
                <c:pt idx="98">
                  <c:v>1982</c:v>
                </c:pt>
                <c:pt idx="99">
                  <c:v>2237</c:v>
                </c:pt>
                <c:pt idx="100">
                  <c:v>2549</c:v>
                </c:pt>
                <c:pt idx="101">
                  <c:v>2302</c:v>
                </c:pt>
                <c:pt idx="102">
                  <c:v>1819</c:v>
                </c:pt>
                <c:pt idx="103">
                  <c:v>1950</c:v>
                </c:pt>
                <c:pt idx="104">
                  <c:v>1989</c:v>
                </c:pt>
                <c:pt idx="105">
                  <c:v>1761</c:v>
                </c:pt>
                <c:pt idx="106">
                  <c:v>1951</c:v>
                </c:pt>
                <c:pt idx="107">
                  <c:v>2104</c:v>
                </c:pt>
                <c:pt idx="108">
                  <c:v>2375</c:v>
                </c:pt>
                <c:pt idx="109">
                  <c:v>2374</c:v>
                </c:pt>
                <c:pt idx="110">
                  <c:v>2402</c:v>
                </c:pt>
                <c:pt idx="111">
                  <c:v>2447</c:v>
                </c:pt>
                <c:pt idx="112">
                  <c:v>2252</c:v>
                </c:pt>
                <c:pt idx="113">
                  <c:v>2381</c:v>
                </c:pt>
                <c:pt idx="114">
                  <c:v>2391</c:v>
                </c:pt>
                <c:pt idx="115">
                  <c:v>2304</c:v>
                </c:pt>
                <c:pt idx="116">
                  <c:v>2565</c:v>
                </c:pt>
                <c:pt idx="117">
                  <c:v>2495</c:v>
                </c:pt>
                <c:pt idx="118">
                  <c:v>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D1-4CD8-8464-82B5424E80EF}"/>
            </c:ext>
          </c:extLst>
        </c:ser>
        <c:ser>
          <c:idx val="5"/>
          <c:order val="3"/>
          <c:tx>
            <c:strRef>
              <c:f>Comportamiento!$E$19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Comportamiento!$F$10:$GT$10</c15:sqref>
                  </c15:fullRef>
                </c:ext>
              </c:extLst>
              <c:f>Comportamiento!$CA$10:$GT$10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Comportamiento!$F$19:$GT$19</c15:sqref>
                  </c15:fullRef>
                </c:ext>
              </c:extLst>
              <c:f>Comportamiento!$CA$19:$GT$19</c:f>
              <c:numCache>
                <c:formatCode>#,##0</c:formatCode>
                <c:ptCount val="119"/>
                <c:pt idx="0">
                  <c:v>1826</c:v>
                </c:pt>
                <c:pt idx="1">
                  <c:v>1720</c:v>
                </c:pt>
                <c:pt idx="2">
                  <c:v>1582</c:v>
                </c:pt>
                <c:pt idx="3">
                  <c:v>1457</c:v>
                </c:pt>
                <c:pt idx="4">
                  <c:v>944</c:v>
                </c:pt>
                <c:pt idx="5">
                  <c:v>683</c:v>
                </c:pt>
                <c:pt idx="6">
                  <c:v>447</c:v>
                </c:pt>
                <c:pt idx="7">
                  <c:v>698</c:v>
                </c:pt>
                <c:pt idx="8">
                  <c:v>1197</c:v>
                </c:pt>
                <c:pt idx="9">
                  <c:v>1208</c:v>
                </c:pt>
                <c:pt idx="10">
                  <c:v>1009</c:v>
                </c:pt>
                <c:pt idx="11">
                  <c:v>913</c:v>
                </c:pt>
                <c:pt idx="12">
                  <c:v>555</c:v>
                </c:pt>
                <c:pt idx="13">
                  <c:v>400</c:v>
                </c:pt>
                <c:pt idx="14">
                  <c:v>1015</c:v>
                </c:pt>
                <c:pt idx="15">
                  <c:v>1111</c:v>
                </c:pt>
                <c:pt idx="16">
                  <c:v>873</c:v>
                </c:pt>
                <c:pt idx="17">
                  <c:v>993</c:v>
                </c:pt>
                <c:pt idx="18">
                  <c:v>915</c:v>
                </c:pt>
                <c:pt idx="19">
                  <c:v>578</c:v>
                </c:pt>
                <c:pt idx="20">
                  <c:v>411</c:v>
                </c:pt>
                <c:pt idx="21">
                  <c:v>1078</c:v>
                </c:pt>
                <c:pt idx="22">
                  <c:v>1240</c:v>
                </c:pt>
                <c:pt idx="23">
                  <c:v>1301</c:v>
                </c:pt>
                <c:pt idx="24">
                  <c:v>1118</c:v>
                </c:pt>
                <c:pt idx="25">
                  <c:v>966</c:v>
                </c:pt>
                <c:pt idx="26">
                  <c:v>493</c:v>
                </c:pt>
                <c:pt idx="27">
                  <c:v>402</c:v>
                </c:pt>
                <c:pt idx="28">
                  <c:v>926</c:v>
                </c:pt>
                <c:pt idx="29">
                  <c:v>931</c:v>
                </c:pt>
                <c:pt idx="30">
                  <c:v>833</c:v>
                </c:pt>
                <c:pt idx="31">
                  <c:v>733</c:v>
                </c:pt>
                <c:pt idx="32">
                  <c:v>826</c:v>
                </c:pt>
                <c:pt idx="33">
                  <c:v>630</c:v>
                </c:pt>
                <c:pt idx="34">
                  <c:v>432</c:v>
                </c:pt>
                <c:pt idx="35">
                  <c:v>907</c:v>
                </c:pt>
                <c:pt idx="36">
                  <c:v>872</c:v>
                </c:pt>
                <c:pt idx="37">
                  <c:v>860</c:v>
                </c:pt>
                <c:pt idx="38">
                  <c:v>697</c:v>
                </c:pt>
                <c:pt idx="39">
                  <c:v>541</c:v>
                </c:pt>
                <c:pt idx="40">
                  <c:v>433</c:v>
                </c:pt>
                <c:pt idx="41">
                  <c:v>311</c:v>
                </c:pt>
                <c:pt idx="42">
                  <c:v>889</c:v>
                </c:pt>
                <c:pt idx="43">
                  <c:v>823</c:v>
                </c:pt>
                <c:pt idx="44">
                  <c:v>781</c:v>
                </c:pt>
                <c:pt idx="45">
                  <c:v>726</c:v>
                </c:pt>
                <c:pt idx="46">
                  <c:v>671</c:v>
                </c:pt>
                <c:pt idx="47">
                  <c:v>536</c:v>
                </c:pt>
                <c:pt idx="48">
                  <c:v>381</c:v>
                </c:pt>
                <c:pt idx="49">
                  <c:v>433</c:v>
                </c:pt>
                <c:pt idx="50">
                  <c:v>925</c:v>
                </c:pt>
                <c:pt idx="51">
                  <c:v>820</c:v>
                </c:pt>
                <c:pt idx="52">
                  <c:v>810</c:v>
                </c:pt>
                <c:pt idx="53">
                  <c:v>793</c:v>
                </c:pt>
                <c:pt idx="54">
                  <c:v>457</c:v>
                </c:pt>
                <c:pt idx="55">
                  <c:v>349</c:v>
                </c:pt>
                <c:pt idx="56">
                  <c:v>891</c:v>
                </c:pt>
                <c:pt idx="57">
                  <c:v>675</c:v>
                </c:pt>
                <c:pt idx="58">
                  <c:v>713</c:v>
                </c:pt>
                <c:pt idx="59">
                  <c:v>393</c:v>
                </c:pt>
                <c:pt idx="60">
                  <c:v>378</c:v>
                </c:pt>
                <c:pt idx="61">
                  <c:v>301</c:v>
                </c:pt>
                <c:pt idx="62">
                  <c:v>273</c:v>
                </c:pt>
                <c:pt idx="63">
                  <c:v>844</c:v>
                </c:pt>
                <c:pt idx="64">
                  <c:v>634</c:v>
                </c:pt>
                <c:pt idx="65">
                  <c:v>672</c:v>
                </c:pt>
                <c:pt idx="66">
                  <c:v>617</c:v>
                </c:pt>
                <c:pt idx="67">
                  <c:v>561</c:v>
                </c:pt>
                <c:pt idx="68">
                  <c:v>434</c:v>
                </c:pt>
                <c:pt idx="69">
                  <c:v>314</c:v>
                </c:pt>
                <c:pt idx="70">
                  <c:v>711</c:v>
                </c:pt>
                <c:pt idx="71">
                  <c:v>648</c:v>
                </c:pt>
                <c:pt idx="72">
                  <c:v>626</c:v>
                </c:pt>
                <c:pt idx="73">
                  <c:v>541</c:v>
                </c:pt>
                <c:pt idx="74">
                  <c:v>541</c:v>
                </c:pt>
                <c:pt idx="75">
                  <c:v>362</c:v>
                </c:pt>
                <c:pt idx="76">
                  <c:v>307</c:v>
                </c:pt>
                <c:pt idx="77">
                  <c:v>634</c:v>
                </c:pt>
                <c:pt idx="78">
                  <c:v>644</c:v>
                </c:pt>
                <c:pt idx="79">
                  <c:v>702</c:v>
                </c:pt>
                <c:pt idx="80">
                  <c:v>697</c:v>
                </c:pt>
                <c:pt idx="81">
                  <c:v>819</c:v>
                </c:pt>
                <c:pt idx="82">
                  <c:v>594</c:v>
                </c:pt>
                <c:pt idx="83">
                  <c:v>546</c:v>
                </c:pt>
                <c:pt idx="84">
                  <c:v>1218</c:v>
                </c:pt>
                <c:pt idx="85">
                  <c:v>911</c:v>
                </c:pt>
                <c:pt idx="86">
                  <c:v>1018</c:v>
                </c:pt>
                <c:pt idx="87">
                  <c:v>953</c:v>
                </c:pt>
                <c:pt idx="88">
                  <c:v>1023</c:v>
                </c:pt>
                <c:pt idx="89">
                  <c:v>955</c:v>
                </c:pt>
                <c:pt idx="90">
                  <c:v>709</c:v>
                </c:pt>
                <c:pt idx="91">
                  <c:v>2770</c:v>
                </c:pt>
                <c:pt idx="92">
                  <c:v>2632</c:v>
                </c:pt>
                <c:pt idx="93">
                  <c:v>2407</c:v>
                </c:pt>
                <c:pt idx="94">
                  <c:v>4487</c:v>
                </c:pt>
                <c:pt idx="95">
                  <c:v>4121</c:v>
                </c:pt>
                <c:pt idx="96">
                  <c:v>3120</c:v>
                </c:pt>
                <c:pt idx="97">
                  <c:v>2666</c:v>
                </c:pt>
                <c:pt idx="98">
                  <c:v>4793</c:v>
                </c:pt>
                <c:pt idx="99">
                  <c:v>4904</c:v>
                </c:pt>
                <c:pt idx="100">
                  <c:v>4386</c:v>
                </c:pt>
                <c:pt idx="101">
                  <c:v>4134</c:v>
                </c:pt>
                <c:pt idx="102">
                  <c:v>3989</c:v>
                </c:pt>
                <c:pt idx="103">
                  <c:v>3309</c:v>
                </c:pt>
                <c:pt idx="104">
                  <c:v>2333</c:v>
                </c:pt>
                <c:pt idx="105">
                  <c:v>4862</c:v>
                </c:pt>
                <c:pt idx="106">
                  <c:v>4997</c:v>
                </c:pt>
                <c:pt idx="107">
                  <c:v>5680</c:v>
                </c:pt>
                <c:pt idx="108">
                  <c:v>5313</c:v>
                </c:pt>
                <c:pt idx="109">
                  <c:v>5178</c:v>
                </c:pt>
                <c:pt idx="110">
                  <c:v>4066</c:v>
                </c:pt>
                <c:pt idx="111">
                  <c:v>3265</c:v>
                </c:pt>
                <c:pt idx="112">
                  <c:v>5566</c:v>
                </c:pt>
                <c:pt idx="113">
                  <c:v>6114</c:v>
                </c:pt>
                <c:pt idx="114">
                  <c:v>6039</c:v>
                </c:pt>
                <c:pt idx="115">
                  <c:v>5727</c:v>
                </c:pt>
                <c:pt idx="116">
                  <c:v>5467</c:v>
                </c:pt>
                <c:pt idx="117">
                  <c:v>3891</c:v>
                </c:pt>
                <c:pt idx="118">
                  <c:v>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1-4CD8-8464-82B5424E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3"/>
          <c:order val="0"/>
          <c:tx>
            <c:strRef>
              <c:f>Comportamiento!$E$18</c:f>
              <c:strCache>
                <c:ptCount val="1"/>
                <c:pt idx="0">
                  <c:v>Pronóstico</c:v>
                </c:pt>
              </c:strCache>
            </c:strRef>
          </c:tx>
          <c:spPr>
            <a:ln w="34925" cap="rnd">
              <a:solidFill>
                <a:schemeClr val="accent3">
                  <a:tint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Comportamiento!$F$10:$GT$10</c15:sqref>
                  </c15:fullRef>
                </c:ext>
              </c:extLst>
              <c:f>Comportamiento!$CA$10:$GT$10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Comportamiento!$F$18:$GT$18</c15:sqref>
                  </c15:fullRef>
                </c:ext>
              </c:extLst>
              <c:f>Comportamiento!$CA$18:$GT$18</c:f>
              <c:numCache>
                <c:formatCode>#,##0</c:formatCode>
                <c:ptCount val="119"/>
                <c:pt idx="0">
                  <c:v>1600</c:v>
                </c:pt>
                <c:pt idx="1">
                  <c:v>1515</c:v>
                </c:pt>
                <c:pt idx="2">
                  <c:v>1359</c:v>
                </c:pt>
                <c:pt idx="3">
                  <c:v>1254</c:v>
                </c:pt>
                <c:pt idx="4">
                  <c:v>1153</c:v>
                </c:pt>
                <c:pt idx="5">
                  <c:v>670</c:v>
                </c:pt>
                <c:pt idx="6">
                  <c:v>445</c:v>
                </c:pt>
                <c:pt idx="7">
                  <c:v>558</c:v>
                </c:pt>
                <c:pt idx="8">
                  <c:v>1247</c:v>
                </c:pt>
                <c:pt idx="9">
                  <c:v>1057</c:v>
                </c:pt>
                <c:pt idx="10">
                  <c:v>983</c:v>
                </c:pt>
                <c:pt idx="11">
                  <c:v>904</c:v>
                </c:pt>
                <c:pt idx="12">
                  <c:v>575</c:v>
                </c:pt>
                <c:pt idx="13">
                  <c:v>372</c:v>
                </c:pt>
                <c:pt idx="14">
                  <c:v>1090</c:v>
                </c:pt>
                <c:pt idx="15">
                  <c:v>979</c:v>
                </c:pt>
                <c:pt idx="16">
                  <c:v>926</c:v>
                </c:pt>
                <c:pt idx="17">
                  <c:v>858</c:v>
                </c:pt>
                <c:pt idx="18">
                  <c:v>762</c:v>
                </c:pt>
                <c:pt idx="19">
                  <c:v>505</c:v>
                </c:pt>
                <c:pt idx="20">
                  <c:v>315</c:v>
                </c:pt>
                <c:pt idx="21">
                  <c:v>1003</c:v>
                </c:pt>
                <c:pt idx="22">
                  <c:v>921</c:v>
                </c:pt>
                <c:pt idx="23">
                  <c:v>964</c:v>
                </c:pt>
                <c:pt idx="24">
                  <c:v>907</c:v>
                </c:pt>
                <c:pt idx="25">
                  <c:v>791</c:v>
                </c:pt>
                <c:pt idx="26">
                  <c:v>496</c:v>
                </c:pt>
                <c:pt idx="27">
                  <c:v>330</c:v>
                </c:pt>
                <c:pt idx="28">
                  <c:v>930</c:v>
                </c:pt>
                <c:pt idx="29">
                  <c:v>928</c:v>
                </c:pt>
                <c:pt idx="30">
                  <c:v>853</c:v>
                </c:pt>
                <c:pt idx="31">
                  <c:v>886</c:v>
                </c:pt>
                <c:pt idx="32">
                  <c:v>784</c:v>
                </c:pt>
                <c:pt idx="33">
                  <c:v>436</c:v>
                </c:pt>
                <c:pt idx="34">
                  <c:v>302</c:v>
                </c:pt>
                <c:pt idx="35">
                  <c:v>879</c:v>
                </c:pt>
                <c:pt idx="36">
                  <c:v>836</c:v>
                </c:pt>
                <c:pt idx="37">
                  <c:v>760</c:v>
                </c:pt>
                <c:pt idx="38">
                  <c:v>717</c:v>
                </c:pt>
                <c:pt idx="39">
                  <c:v>658</c:v>
                </c:pt>
                <c:pt idx="40">
                  <c:v>408</c:v>
                </c:pt>
                <c:pt idx="41">
                  <c:v>298</c:v>
                </c:pt>
                <c:pt idx="42">
                  <c:v>807</c:v>
                </c:pt>
                <c:pt idx="43">
                  <c:v>760</c:v>
                </c:pt>
                <c:pt idx="44">
                  <c:v>727</c:v>
                </c:pt>
                <c:pt idx="45">
                  <c:v>669</c:v>
                </c:pt>
                <c:pt idx="46">
                  <c:v>639</c:v>
                </c:pt>
                <c:pt idx="47">
                  <c:v>379</c:v>
                </c:pt>
                <c:pt idx="48">
                  <c:v>272</c:v>
                </c:pt>
                <c:pt idx="49">
                  <c:v>317</c:v>
                </c:pt>
                <c:pt idx="50">
                  <c:v>846</c:v>
                </c:pt>
                <c:pt idx="51">
                  <c:v>797</c:v>
                </c:pt>
                <c:pt idx="52">
                  <c:v>720</c:v>
                </c:pt>
                <c:pt idx="53">
                  <c:v>652</c:v>
                </c:pt>
                <c:pt idx="54">
                  <c:v>429</c:v>
                </c:pt>
                <c:pt idx="55">
                  <c:v>304</c:v>
                </c:pt>
                <c:pt idx="56">
                  <c:v>854</c:v>
                </c:pt>
                <c:pt idx="57">
                  <c:v>814</c:v>
                </c:pt>
                <c:pt idx="58">
                  <c:v>723</c:v>
                </c:pt>
                <c:pt idx="59">
                  <c:v>421</c:v>
                </c:pt>
                <c:pt idx="60">
                  <c:v>378</c:v>
                </c:pt>
                <c:pt idx="61">
                  <c:v>273</c:v>
                </c:pt>
                <c:pt idx="62">
                  <c:v>226</c:v>
                </c:pt>
                <c:pt idx="63">
                  <c:v>853</c:v>
                </c:pt>
                <c:pt idx="64">
                  <c:v>716</c:v>
                </c:pt>
                <c:pt idx="65">
                  <c:v>684</c:v>
                </c:pt>
                <c:pt idx="66">
                  <c:v>622</c:v>
                </c:pt>
                <c:pt idx="67">
                  <c:v>569</c:v>
                </c:pt>
                <c:pt idx="68">
                  <c:v>360</c:v>
                </c:pt>
                <c:pt idx="69">
                  <c:v>277</c:v>
                </c:pt>
                <c:pt idx="70">
                  <c:v>694</c:v>
                </c:pt>
                <c:pt idx="71">
                  <c:v>636</c:v>
                </c:pt>
                <c:pt idx="72">
                  <c:v>604</c:v>
                </c:pt>
                <c:pt idx="73">
                  <c:v>579</c:v>
                </c:pt>
                <c:pt idx="74">
                  <c:v>548</c:v>
                </c:pt>
                <c:pt idx="75">
                  <c:v>358</c:v>
                </c:pt>
                <c:pt idx="76">
                  <c:v>249</c:v>
                </c:pt>
                <c:pt idx="77">
                  <c:v>664</c:v>
                </c:pt>
                <c:pt idx="78">
                  <c:v>622</c:v>
                </c:pt>
                <c:pt idx="79">
                  <c:v>588</c:v>
                </c:pt>
                <c:pt idx="80">
                  <c:v>619</c:v>
                </c:pt>
                <c:pt idx="81">
                  <c:v>577</c:v>
                </c:pt>
                <c:pt idx="82">
                  <c:v>398</c:v>
                </c:pt>
                <c:pt idx="83">
                  <c:v>271</c:v>
                </c:pt>
                <c:pt idx="84">
                  <c:v>1029</c:v>
                </c:pt>
                <c:pt idx="85">
                  <c:v>953</c:v>
                </c:pt>
                <c:pt idx="86">
                  <c:v>902</c:v>
                </c:pt>
                <c:pt idx="87">
                  <c:v>723</c:v>
                </c:pt>
                <c:pt idx="88">
                  <c:v>667</c:v>
                </c:pt>
                <c:pt idx="89">
                  <c:v>380</c:v>
                </c:pt>
                <c:pt idx="90">
                  <c:v>273</c:v>
                </c:pt>
                <c:pt idx="91">
                  <c:v>1069</c:v>
                </c:pt>
                <c:pt idx="92">
                  <c:v>985</c:v>
                </c:pt>
                <c:pt idx="93">
                  <c:v>694</c:v>
                </c:pt>
                <c:pt idx="94">
                  <c:v>1880</c:v>
                </c:pt>
                <c:pt idx="95">
                  <c:v>1590</c:v>
                </c:pt>
                <c:pt idx="96">
                  <c:v>1095</c:v>
                </c:pt>
                <c:pt idx="97">
                  <c:v>897</c:v>
                </c:pt>
                <c:pt idx="98">
                  <c:v>2097</c:v>
                </c:pt>
                <c:pt idx="99">
                  <c:v>2023</c:v>
                </c:pt>
                <c:pt idx="100">
                  <c:v>1893</c:v>
                </c:pt>
                <c:pt idx="101">
                  <c:v>2094</c:v>
                </c:pt>
                <c:pt idx="102">
                  <c:v>1892</c:v>
                </c:pt>
                <c:pt idx="103">
                  <c:v>1242</c:v>
                </c:pt>
                <c:pt idx="104">
                  <c:v>833</c:v>
                </c:pt>
                <c:pt idx="105">
                  <c:v>2632</c:v>
                </c:pt>
                <c:pt idx="106">
                  <c:v>2508</c:v>
                </c:pt>
                <c:pt idx="107">
                  <c:v>3923</c:v>
                </c:pt>
                <c:pt idx="108">
                  <c:v>4185</c:v>
                </c:pt>
                <c:pt idx="109">
                  <c:v>4313</c:v>
                </c:pt>
                <c:pt idx="110">
                  <c:v>3219</c:v>
                </c:pt>
                <c:pt idx="111">
                  <c:v>2437</c:v>
                </c:pt>
                <c:pt idx="112">
                  <c:v>3438</c:v>
                </c:pt>
                <c:pt idx="113">
                  <c:v>3384</c:v>
                </c:pt>
                <c:pt idx="114">
                  <c:v>3669</c:v>
                </c:pt>
                <c:pt idx="115">
                  <c:v>3446</c:v>
                </c:pt>
                <c:pt idx="116">
                  <c:v>2961</c:v>
                </c:pt>
                <c:pt idx="117">
                  <c:v>1719</c:v>
                </c:pt>
                <c:pt idx="118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1-4CD8-8464-82B5424E80EF}"/>
            </c:ext>
          </c:extLst>
        </c:ser>
        <c:ser>
          <c:idx val="1"/>
          <c:order val="4"/>
          <c:tx>
            <c:strRef>
              <c:f>Comportamiento!$E$12</c:f>
              <c:strCache>
                <c:ptCount val="1"/>
                <c:pt idx="0">
                  <c:v>Capacidad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Comportamiento!$F$10:$GT$10</c15:sqref>
                  </c15:fullRef>
                </c:ext>
              </c:extLst>
              <c:f>Comportamiento!$CA$10:$GT$10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Comportamiento!$F$12:$GT$12</c15:sqref>
                  </c15:fullRef>
                </c:ext>
              </c:extLst>
              <c:f>Comportamiento!$CA$12:$GT$12</c:f>
              <c:numCache>
                <c:formatCode>#,##0</c:formatCode>
                <c:ptCount val="119"/>
                <c:pt idx="0">
                  <c:v>1971</c:v>
                </c:pt>
                <c:pt idx="1">
                  <c:v>1971</c:v>
                </c:pt>
                <c:pt idx="2">
                  <c:v>1971</c:v>
                </c:pt>
                <c:pt idx="3">
                  <c:v>1971</c:v>
                </c:pt>
                <c:pt idx="4">
                  <c:v>1971</c:v>
                </c:pt>
                <c:pt idx="5">
                  <c:v>969</c:v>
                </c:pt>
                <c:pt idx="6">
                  <c:v>762</c:v>
                </c:pt>
                <c:pt idx="7">
                  <c:v>759</c:v>
                </c:pt>
                <c:pt idx="8">
                  <c:v>1860</c:v>
                </c:pt>
                <c:pt idx="9">
                  <c:v>1860</c:v>
                </c:pt>
                <c:pt idx="10">
                  <c:v>1860</c:v>
                </c:pt>
                <c:pt idx="11">
                  <c:v>1860</c:v>
                </c:pt>
                <c:pt idx="12">
                  <c:v>969</c:v>
                </c:pt>
                <c:pt idx="13">
                  <c:v>767</c:v>
                </c:pt>
                <c:pt idx="14">
                  <c:v>1860</c:v>
                </c:pt>
                <c:pt idx="15">
                  <c:v>1860</c:v>
                </c:pt>
                <c:pt idx="16">
                  <c:v>1633</c:v>
                </c:pt>
                <c:pt idx="17">
                  <c:v>1633</c:v>
                </c:pt>
                <c:pt idx="18">
                  <c:v>1633</c:v>
                </c:pt>
                <c:pt idx="19">
                  <c:v>822</c:v>
                </c:pt>
                <c:pt idx="20">
                  <c:v>688</c:v>
                </c:pt>
                <c:pt idx="21">
                  <c:v>1633</c:v>
                </c:pt>
                <c:pt idx="22">
                  <c:v>1633</c:v>
                </c:pt>
                <c:pt idx="23">
                  <c:v>1633</c:v>
                </c:pt>
                <c:pt idx="24">
                  <c:v>1633</c:v>
                </c:pt>
                <c:pt idx="25">
                  <c:v>1633</c:v>
                </c:pt>
                <c:pt idx="26">
                  <c:v>894</c:v>
                </c:pt>
                <c:pt idx="27">
                  <c:v>822</c:v>
                </c:pt>
                <c:pt idx="28">
                  <c:v>1633</c:v>
                </c:pt>
                <c:pt idx="29">
                  <c:v>1633</c:v>
                </c:pt>
                <c:pt idx="30">
                  <c:v>1633</c:v>
                </c:pt>
                <c:pt idx="31">
                  <c:v>1633</c:v>
                </c:pt>
                <c:pt idx="32">
                  <c:v>1633</c:v>
                </c:pt>
                <c:pt idx="33">
                  <c:v>822</c:v>
                </c:pt>
                <c:pt idx="34">
                  <c:v>822</c:v>
                </c:pt>
                <c:pt idx="35">
                  <c:v>1633</c:v>
                </c:pt>
                <c:pt idx="36">
                  <c:v>1633</c:v>
                </c:pt>
                <c:pt idx="37">
                  <c:v>1633</c:v>
                </c:pt>
                <c:pt idx="38">
                  <c:v>1565</c:v>
                </c:pt>
                <c:pt idx="39">
                  <c:v>1565</c:v>
                </c:pt>
                <c:pt idx="40">
                  <c:v>827</c:v>
                </c:pt>
                <c:pt idx="41">
                  <c:v>751</c:v>
                </c:pt>
                <c:pt idx="42">
                  <c:v>1373</c:v>
                </c:pt>
                <c:pt idx="43">
                  <c:v>1373</c:v>
                </c:pt>
                <c:pt idx="44">
                  <c:v>1373</c:v>
                </c:pt>
                <c:pt idx="45">
                  <c:v>1373</c:v>
                </c:pt>
                <c:pt idx="46">
                  <c:v>1373</c:v>
                </c:pt>
                <c:pt idx="47">
                  <c:v>827</c:v>
                </c:pt>
                <c:pt idx="48">
                  <c:v>755</c:v>
                </c:pt>
                <c:pt idx="49">
                  <c:v>692</c:v>
                </c:pt>
                <c:pt idx="50">
                  <c:v>1373</c:v>
                </c:pt>
                <c:pt idx="51">
                  <c:v>1373</c:v>
                </c:pt>
                <c:pt idx="52">
                  <c:v>1373</c:v>
                </c:pt>
                <c:pt idx="53">
                  <c:v>1373</c:v>
                </c:pt>
                <c:pt idx="54">
                  <c:v>827</c:v>
                </c:pt>
                <c:pt idx="55">
                  <c:v>753</c:v>
                </c:pt>
                <c:pt idx="56">
                  <c:v>1373</c:v>
                </c:pt>
                <c:pt idx="57">
                  <c:v>1373</c:v>
                </c:pt>
                <c:pt idx="58">
                  <c:v>1373</c:v>
                </c:pt>
                <c:pt idx="59">
                  <c:v>1373</c:v>
                </c:pt>
                <c:pt idx="60">
                  <c:v>1373</c:v>
                </c:pt>
                <c:pt idx="61">
                  <c:v>761</c:v>
                </c:pt>
                <c:pt idx="62">
                  <c:v>688</c:v>
                </c:pt>
                <c:pt idx="63">
                  <c:v>1373</c:v>
                </c:pt>
                <c:pt idx="64">
                  <c:v>1373</c:v>
                </c:pt>
                <c:pt idx="65">
                  <c:v>1373</c:v>
                </c:pt>
                <c:pt idx="66">
                  <c:v>1373</c:v>
                </c:pt>
                <c:pt idx="67">
                  <c:v>1373</c:v>
                </c:pt>
                <c:pt idx="68">
                  <c:v>791</c:v>
                </c:pt>
                <c:pt idx="69">
                  <c:v>688</c:v>
                </c:pt>
                <c:pt idx="70">
                  <c:v>1463</c:v>
                </c:pt>
                <c:pt idx="71">
                  <c:v>1463</c:v>
                </c:pt>
                <c:pt idx="72">
                  <c:v>1463</c:v>
                </c:pt>
                <c:pt idx="73">
                  <c:v>1463</c:v>
                </c:pt>
                <c:pt idx="74">
                  <c:v>1463</c:v>
                </c:pt>
                <c:pt idx="75">
                  <c:v>791</c:v>
                </c:pt>
                <c:pt idx="76">
                  <c:v>688</c:v>
                </c:pt>
                <c:pt idx="77">
                  <c:v>1463</c:v>
                </c:pt>
                <c:pt idx="78">
                  <c:v>1463</c:v>
                </c:pt>
                <c:pt idx="79">
                  <c:v>1463</c:v>
                </c:pt>
                <c:pt idx="80">
                  <c:v>1463</c:v>
                </c:pt>
                <c:pt idx="81">
                  <c:v>1463</c:v>
                </c:pt>
                <c:pt idx="82">
                  <c:v>791</c:v>
                </c:pt>
                <c:pt idx="83">
                  <c:v>688</c:v>
                </c:pt>
                <c:pt idx="84">
                  <c:v>1463</c:v>
                </c:pt>
                <c:pt idx="85">
                  <c:v>1463</c:v>
                </c:pt>
                <c:pt idx="86">
                  <c:v>1463</c:v>
                </c:pt>
                <c:pt idx="87">
                  <c:v>1463</c:v>
                </c:pt>
                <c:pt idx="88">
                  <c:v>1463</c:v>
                </c:pt>
                <c:pt idx="89">
                  <c:v>613</c:v>
                </c:pt>
                <c:pt idx="90">
                  <c:v>692</c:v>
                </c:pt>
                <c:pt idx="91">
                  <c:v>1463</c:v>
                </c:pt>
                <c:pt idx="92">
                  <c:v>1463</c:v>
                </c:pt>
                <c:pt idx="93">
                  <c:v>692</c:v>
                </c:pt>
                <c:pt idx="94">
                  <c:v>1463</c:v>
                </c:pt>
                <c:pt idx="95">
                  <c:v>1463</c:v>
                </c:pt>
                <c:pt idx="96">
                  <c:v>688</c:v>
                </c:pt>
                <c:pt idx="97">
                  <c:v>553</c:v>
                </c:pt>
                <c:pt idx="98">
                  <c:v>1463</c:v>
                </c:pt>
                <c:pt idx="99">
                  <c:v>1463</c:v>
                </c:pt>
                <c:pt idx="100">
                  <c:v>1463</c:v>
                </c:pt>
                <c:pt idx="101">
                  <c:v>1463</c:v>
                </c:pt>
                <c:pt idx="102">
                  <c:v>1463</c:v>
                </c:pt>
                <c:pt idx="103">
                  <c:v>692</c:v>
                </c:pt>
                <c:pt idx="104">
                  <c:v>545</c:v>
                </c:pt>
                <c:pt idx="105">
                  <c:v>1463</c:v>
                </c:pt>
                <c:pt idx="106">
                  <c:v>1463</c:v>
                </c:pt>
                <c:pt idx="107">
                  <c:v>1463</c:v>
                </c:pt>
                <c:pt idx="108">
                  <c:v>1463</c:v>
                </c:pt>
                <c:pt idx="109">
                  <c:v>1851</c:v>
                </c:pt>
                <c:pt idx="110">
                  <c:v>862</c:v>
                </c:pt>
                <c:pt idx="111">
                  <c:v>947</c:v>
                </c:pt>
                <c:pt idx="112">
                  <c:v>1851</c:v>
                </c:pt>
                <c:pt idx="113">
                  <c:v>1851</c:v>
                </c:pt>
                <c:pt idx="114">
                  <c:v>1851</c:v>
                </c:pt>
                <c:pt idx="115">
                  <c:v>1851</c:v>
                </c:pt>
                <c:pt idx="116">
                  <c:v>1851</c:v>
                </c:pt>
                <c:pt idx="117">
                  <c:v>910</c:v>
                </c:pt>
                <c:pt idx="118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1-4CD8-8464-82B5424E80EF}"/>
            </c:ext>
          </c:extLst>
        </c:ser>
        <c:ser>
          <c:idx val="2"/>
          <c:order val="5"/>
          <c:tx>
            <c:strRef>
              <c:f>Comportamiento!$E$13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Comportamiento!$F$10:$GT$10</c15:sqref>
                  </c15:fullRef>
                </c:ext>
              </c:extLst>
              <c:f>Comportamiento!$CA$10:$GT$10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Comportamiento!$F$13:$GT$13</c15:sqref>
                  </c15:fullRef>
                </c:ext>
              </c:extLst>
              <c:f>Comportamiento!$CA$13:$GT$13</c:f>
              <c:numCache>
                <c:formatCode>#,##0</c:formatCode>
                <c:ptCount val="119"/>
                <c:pt idx="0">
                  <c:v>1523</c:v>
                </c:pt>
                <c:pt idx="1">
                  <c:v>1665</c:v>
                </c:pt>
                <c:pt idx="2">
                  <c:v>1881</c:v>
                </c:pt>
                <c:pt idx="3">
                  <c:v>1608</c:v>
                </c:pt>
                <c:pt idx="4">
                  <c:v>1339</c:v>
                </c:pt>
                <c:pt idx="5">
                  <c:v>872</c:v>
                </c:pt>
                <c:pt idx="6">
                  <c:v>554</c:v>
                </c:pt>
                <c:pt idx="7">
                  <c:v>755</c:v>
                </c:pt>
                <c:pt idx="8">
                  <c:v>2035</c:v>
                </c:pt>
                <c:pt idx="9">
                  <c:v>1583</c:v>
                </c:pt>
                <c:pt idx="10">
                  <c:v>1642</c:v>
                </c:pt>
                <c:pt idx="11">
                  <c:v>1422</c:v>
                </c:pt>
                <c:pt idx="12">
                  <c:v>840</c:v>
                </c:pt>
                <c:pt idx="13">
                  <c:v>690</c:v>
                </c:pt>
                <c:pt idx="14">
                  <c:v>1595</c:v>
                </c:pt>
                <c:pt idx="15">
                  <c:v>1607</c:v>
                </c:pt>
                <c:pt idx="16">
                  <c:v>1589</c:v>
                </c:pt>
                <c:pt idx="17">
                  <c:v>1395</c:v>
                </c:pt>
                <c:pt idx="18">
                  <c:v>1359</c:v>
                </c:pt>
                <c:pt idx="19">
                  <c:v>778</c:v>
                </c:pt>
                <c:pt idx="20">
                  <c:v>812</c:v>
                </c:pt>
                <c:pt idx="21">
                  <c:v>1516</c:v>
                </c:pt>
                <c:pt idx="22">
                  <c:v>1681</c:v>
                </c:pt>
                <c:pt idx="23">
                  <c:v>1712</c:v>
                </c:pt>
                <c:pt idx="24">
                  <c:v>1301</c:v>
                </c:pt>
                <c:pt idx="25">
                  <c:v>1349</c:v>
                </c:pt>
                <c:pt idx="26">
                  <c:v>1095</c:v>
                </c:pt>
                <c:pt idx="27">
                  <c:v>391</c:v>
                </c:pt>
                <c:pt idx="28">
                  <c:v>1502</c:v>
                </c:pt>
                <c:pt idx="29">
                  <c:v>1201</c:v>
                </c:pt>
                <c:pt idx="30">
                  <c:v>1110</c:v>
                </c:pt>
                <c:pt idx="31">
                  <c:v>1040</c:v>
                </c:pt>
                <c:pt idx="32">
                  <c:v>1039</c:v>
                </c:pt>
                <c:pt idx="33">
                  <c:v>864</c:v>
                </c:pt>
                <c:pt idx="34">
                  <c:v>499</c:v>
                </c:pt>
                <c:pt idx="35">
                  <c:v>1094</c:v>
                </c:pt>
                <c:pt idx="36">
                  <c:v>1021</c:v>
                </c:pt>
                <c:pt idx="37">
                  <c:v>1249</c:v>
                </c:pt>
                <c:pt idx="38">
                  <c:v>974</c:v>
                </c:pt>
                <c:pt idx="39">
                  <c:v>838</c:v>
                </c:pt>
                <c:pt idx="40">
                  <c:v>482</c:v>
                </c:pt>
                <c:pt idx="41">
                  <c:v>291</c:v>
                </c:pt>
                <c:pt idx="42">
                  <c:v>1027</c:v>
                </c:pt>
                <c:pt idx="43">
                  <c:v>981</c:v>
                </c:pt>
                <c:pt idx="44">
                  <c:v>1190</c:v>
                </c:pt>
                <c:pt idx="45">
                  <c:v>941</c:v>
                </c:pt>
                <c:pt idx="46">
                  <c:v>862</c:v>
                </c:pt>
                <c:pt idx="47">
                  <c:v>660</c:v>
                </c:pt>
                <c:pt idx="48">
                  <c:v>427</c:v>
                </c:pt>
                <c:pt idx="49">
                  <c:v>505</c:v>
                </c:pt>
                <c:pt idx="50">
                  <c:v>1178</c:v>
                </c:pt>
                <c:pt idx="51">
                  <c:v>943</c:v>
                </c:pt>
                <c:pt idx="52">
                  <c:v>986</c:v>
                </c:pt>
                <c:pt idx="53">
                  <c:v>911</c:v>
                </c:pt>
                <c:pt idx="54">
                  <c:v>604</c:v>
                </c:pt>
                <c:pt idx="55">
                  <c:v>283</c:v>
                </c:pt>
                <c:pt idx="56">
                  <c:v>1052</c:v>
                </c:pt>
                <c:pt idx="57">
                  <c:v>949</c:v>
                </c:pt>
                <c:pt idx="58">
                  <c:v>940</c:v>
                </c:pt>
                <c:pt idx="59">
                  <c:v>671</c:v>
                </c:pt>
                <c:pt idx="60">
                  <c:v>567</c:v>
                </c:pt>
                <c:pt idx="61">
                  <c:v>332</c:v>
                </c:pt>
                <c:pt idx="62">
                  <c:v>269</c:v>
                </c:pt>
                <c:pt idx="63">
                  <c:v>1042</c:v>
                </c:pt>
                <c:pt idx="64">
                  <c:v>873</c:v>
                </c:pt>
                <c:pt idx="65">
                  <c:v>864</c:v>
                </c:pt>
                <c:pt idx="66">
                  <c:v>891</c:v>
                </c:pt>
                <c:pt idx="67">
                  <c:v>781</c:v>
                </c:pt>
                <c:pt idx="68">
                  <c:v>467</c:v>
                </c:pt>
                <c:pt idx="69">
                  <c:v>452</c:v>
                </c:pt>
                <c:pt idx="70">
                  <c:v>1032</c:v>
                </c:pt>
                <c:pt idx="71">
                  <c:v>958</c:v>
                </c:pt>
                <c:pt idx="72">
                  <c:v>973</c:v>
                </c:pt>
                <c:pt idx="73">
                  <c:v>886</c:v>
                </c:pt>
                <c:pt idx="74">
                  <c:v>826</c:v>
                </c:pt>
                <c:pt idx="75">
                  <c:v>540</c:v>
                </c:pt>
                <c:pt idx="76">
                  <c:v>432</c:v>
                </c:pt>
                <c:pt idx="77">
                  <c:v>922</c:v>
                </c:pt>
                <c:pt idx="78">
                  <c:v>894</c:v>
                </c:pt>
                <c:pt idx="79">
                  <c:v>1032</c:v>
                </c:pt>
                <c:pt idx="80">
                  <c:v>1087</c:v>
                </c:pt>
                <c:pt idx="81">
                  <c:v>1057</c:v>
                </c:pt>
                <c:pt idx="82">
                  <c:v>581</c:v>
                </c:pt>
                <c:pt idx="83">
                  <c:v>558</c:v>
                </c:pt>
                <c:pt idx="84">
                  <c:v>1319</c:v>
                </c:pt>
                <c:pt idx="85">
                  <c:v>1119</c:v>
                </c:pt>
                <c:pt idx="86">
                  <c:v>1030</c:v>
                </c:pt>
                <c:pt idx="87">
                  <c:v>1103</c:v>
                </c:pt>
                <c:pt idx="88">
                  <c:v>883</c:v>
                </c:pt>
                <c:pt idx="89">
                  <c:v>829</c:v>
                </c:pt>
                <c:pt idx="90">
                  <c:v>550</c:v>
                </c:pt>
                <c:pt idx="91">
                  <c:v>1256</c:v>
                </c:pt>
                <c:pt idx="92">
                  <c:v>1347</c:v>
                </c:pt>
                <c:pt idx="93">
                  <c:v>928</c:v>
                </c:pt>
                <c:pt idx="94">
                  <c:v>1420</c:v>
                </c:pt>
                <c:pt idx="95">
                  <c:v>1374</c:v>
                </c:pt>
                <c:pt idx="96">
                  <c:v>1033</c:v>
                </c:pt>
                <c:pt idx="97">
                  <c:v>774</c:v>
                </c:pt>
                <c:pt idx="98">
                  <c:v>1667</c:v>
                </c:pt>
                <c:pt idx="99">
                  <c:v>1437</c:v>
                </c:pt>
                <c:pt idx="100">
                  <c:v>1411</c:v>
                </c:pt>
                <c:pt idx="101">
                  <c:v>1638</c:v>
                </c:pt>
                <c:pt idx="102">
                  <c:v>1502</c:v>
                </c:pt>
                <c:pt idx="103">
                  <c:v>673</c:v>
                </c:pt>
                <c:pt idx="104">
                  <c:v>692</c:v>
                </c:pt>
                <c:pt idx="105">
                  <c:v>1210</c:v>
                </c:pt>
                <c:pt idx="106">
                  <c:v>1354</c:v>
                </c:pt>
                <c:pt idx="107">
                  <c:v>1546</c:v>
                </c:pt>
                <c:pt idx="108">
                  <c:v>1430</c:v>
                </c:pt>
                <c:pt idx="109">
                  <c:v>1354</c:v>
                </c:pt>
                <c:pt idx="110">
                  <c:v>1546</c:v>
                </c:pt>
                <c:pt idx="111">
                  <c:v>1430</c:v>
                </c:pt>
                <c:pt idx="112">
                  <c:v>1390</c:v>
                </c:pt>
                <c:pt idx="113">
                  <c:v>1590</c:v>
                </c:pt>
                <c:pt idx="114">
                  <c:v>1928</c:v>
                </c:pt>
                <c:pt idx="115">
                  <c:v>1991</c:v>
                </c:pt>
                <c:pt idx="116">
                  <c:v>1897</c:v>
                </c:pt>
                <c:pt idx="117">
                  <c:v>1356</c:v>
                </c:pt>
                <c:pt idx="118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D1-4CD8-8464-82B5424E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TAF-Athletics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Comportamiento!$E$54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Comportamiento!$F$53:$GT$53</c15:sqref>
                  </c15:fullRef>
                </c:ext>
              </c:extLst>
              <c:f>Comportamiento!$CA$53:$GT$53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Comportamiento!$F$54:$GT$54</c15:sqref>
                  </c15:fullRef>
                </c:ext>
              </c:extLst>
              <c:f>Comportamiento!$CA$54:$GT$54</c:f>
              <c:numCache>
                <c:formatCode>#,##0</c:formatCode>
                <c:ptCount val="119"/>
                <c:pt idx="0">
                  <c:v>259</c:v>
                </c:pt>
                <c:pt idx="1">
                  <c:v>245</c:v>
                </c:pt>
                <c:pt idx="2">
                  <c:v>232</c:v>
                </c:pt>
                <c:pt idx="3">
                  <c:v>208</c:v>
                </c:pt>
                <c:pt idx="4">
                  <c:v>193</c:v>
                </c:pt>
                <c:pt idx="5">
                  <c:v>180</c:v>
                </c:pt>
                <c:pt idx="6">
                  <c:v>89</c:v>
                </c:pt>
                <c:pt idx="7">
                  <c:v>168</c:v>
                </c:pt>
                <c:pt idx="8">
                  <c:v>264</c:v>
                </c:pt>
                <c:pt idx="9">
                  <c:v>224</c:v>
                </c:pt>
                <c:pt idx="10">
                  <c:v>197</c:v>
                </c:pt>
                <c:pt idx="11">
                  <c:v>155</c:v>
                </c:pt>
                <c:pt idx="12">
                  <c:v>130</c:v>
                </c:pt>
                <c:pt idx="13">
                  <c:v>82</c:v>
                </c:pt>
                <c:pt idx="14">
                  <c:v>252</c:v>
                </c:pt>
                <c:pt idx="15">
                  <c:v>232</c:v>
                </c:pt>
                <c:pt idx="16">
                  <c:v>157</c:v>
                </c:pt>
                <c:pt idx="17">
                  <c:v>243</c:v>
                </c:pt>
                <c:pt idx="18">
                  <c:v>188</c:v>
                </c:pt>
                <c:pt idx="19">
                  <c:v>137</c:v>
                </c:pt>
                <c:pt idx="20">
                  <c:v>100</c:v>
                </c:pt>
                <c:pt idx="21">
                  <c:v>259</c:v>
                </c:pt>
                <c:pt idx="22">
                  <c:v>329</c:v>
                </c:pt>
                <c:pt idx="23">
                  <c:v>315</c:v>
                </c:pt>
                <c:pt idx="24">
                  <c:v>218</c:v>
                </c:pt>
                <c:pt idx="25">
                  <c:v>165</c:v>
                </c:pt>
                <c:pt idx="26">
                  <c:v>107</c:v>
                </c:pt>
                <c:pt idx="27">
                  <c:v>95</c:v>
                </c:pt>
                <c:pt idx="28">
                  <c:v>207</c:v>
                </c:pt>
                <c:pt idx="29">
                  <c:v>248</c:v>
                </c:pt>
                <c:pt idx="30">
                  <c:v>194</c:v>
                </c:pt>
                <c:pt idx="31">
                  <c:v>187</c:v>
                </c:pt>
                <c:pt idx="32">
                  <c:v>176</c:v>
                </c:pt>
                <c:pt idx="33">
                  <c:v>130</c:v>
                </c:pt>
                <c:pt idx="34">
                  <c:v>96</c:v>
                </c:pt>
                <c:pt idx="35">
                  <c:v>342</c:v>
                </c:pt>
                <c:pt idx="36">
                  <c:v>204</c:v>
                </c:pt>
                <c:pt idx="37">
                  <c:v>217</c:v>
                </c:pt>
                <c:pt idx="38">
                  <c:v>223</c:v>
                </c:pt>
                <c:pt idx="39">
                  <c:v>143</c:v>
                </c:pt>
                <c:pt idx="40">
                  <c:v>129</c:v>
                </c:pt>
                <c:pt idx="41">
                  <c:v>68</c:v>
                </c:pt>
                <c:pt idx="42">
                  <c:v>247</c:v>
                </c:pt>
                <c:pt idx="43">
                  <c:v>202</c:v>
                </c:pt>
                <c:pt idx="44">
                  <c:v>235</c:v>
                </c:pt>
                <c:pt idx="45">
                  <c:v>201</c:v>
                </c:pt>
                <c:pt idx="46">
                  <c:v>199</c:v>
                </c:pt>
                <c:pt idx="47">
                  <c:v>147</c:v>
                </c:pt>
                <c:pt idx="48">
                  <c:v>96</c:v>
                </c:pt>
                <c:pt idx="49">
                  <c:v>107</c:v>
                </c:pt>
                <c:pt idx="50">
                  <c:v>264</c:v>
                </c:pt>
                <c:pt idx="51">
                  <c:v>260</c:v>
                </c:pt>
                <c:pt idx="52">
                  <c:v>200</c:v>
                </c:pt>
                <c:pt idx="53">
                  <c:v>211</c:v>
                </c:pt>
                <c:pt idx="54">
                  <c:v>120</c:v>
                </c:pt>
                <c:pt idx="55">
                  <c:v>99</c:v>
                </c:pt>
                <c:pt idx="56">
                  <c:v>219</c:v>
                </c:pt>
                <c:pt idx="57">
                  <c:v>196</c:v>
                </c:pt>
                <c:pt idx="58">
                  <c:v>201</c:v>
                </c:pt>
                <c:pt idx="59">
                  <c:v>130</c:v>
                </c:pt>
                <c:pt idx="60">
                  <c:v>118</c:v>
                </c:pt>
                <c:pt idx="61">
                  <c:v>90</c:v>
                </c:pt>
                <c:pt idx="62">
                  <c:v>80</c:v>
                </c:pt>
                <c:pt idx="63">
                  <c:v>256</c:v>
                </c:pt>
                <c:pt idx="64">
                  <c:v>234</c:v>
                </c:pt>
                <c:pt idx="65">
                  <c:v>219</c:v>
                </c:pt>
                <c:pt idx="66">
                  <c:v>239</c:v>
                </c:pt>
                <c:pt idx="67">
                  <c:v>231</c:v>
                </c:pt>
                <c:pt idx="68">
                  <c:v>150</c:v>
                </c:pt>
                <c:pt idx="69">
                  <c:v>102</c:v>
                </c:pt>
                <c:pt idx="70">
                  <c:v>267</c:v>
                </c:pt>
                <c:pt idx="71">
                  <c:v>236</c:v>
                </c:pt>
                <c:pt idx="72">
                  <c:v>264</c:v>
                </c:pt>
                <c:pt idx="73">
                  <c:v>246</c:v>
                </c:pt>
                <c:pt idx="74">
                  <c:v>230</c:v>
                </c:pt>
                <c:pt idx="75">
                  <c:v>154</c:v>
                </c:pt>
                <c:pt idx="76">
                  <c:v>131</c:v>
                </c:pt>
                <c:pt idx="77">
                  <c:v>254</c:v>
                </c:pt>
                <c:pt idx="78">
                  <c:v>248</c:v>
                </c:pt>
                <c:pt idx="79">
                  <c:v>283</c:v>
                </c:pt>
                <c:pt idx="80">
                  <c:v>266</c:v>
                </c:pt>
                <c:pt idx="81">
                  <c:v>228</c:v>
                </c:pt>
                <c:pt idx="82">
                  <c:v>153</c:v>
                </c:pt>
                <c:pt idx="83">
                  <c:v>124</c:v>
                </c:pt>
                <c:pt idx="84">
                  <c:v>282</c:v>
                </c:pt>
                <c:pt idx="85">
                  <c:v>241</c:v>
                </c:pt>
                <c:pt idx="86">
                  <c:v>244</c:v>
                </c:pt>
                <c:pt idx="87">
                  <c:v>250</c:v>
                </c:pt>
                <c:pt idx="88">
                  <c:v>197</c:v>
                </c:pt>
                <c:pt idx="89">
                  <c:v>129</c:v>
                </c:pt>
                <c:pt idx="90">
                  <c:v>96</c:v>
                </c:pt>
                <c:pt idx="91">
                  <c:v>295</c:v>
                </c:pt>
                <c:pt idx="92">
                  <c:v>245</c:v>
                </c:pt>
                <c:pt idx="93">
                  <c:v>141</c:v>
                </c:pt>
                <c:pt idx="94">
                  <c:v>322</c:v>
                </c:pt>
                <c:pt idx="95">
                  <c:v>257</c:v>
                </c:pt>
                <c:pt idx="96">
                  <c:v>161</c:v>
                </c:pt>
                <c:pt idx="97">
                  <c:v>119</c:v>
                </c:pt>
                <c:pt idx="98">
                  <c:v>272</c:v>
                </c:pt>
                <c:pt idx="99">
                  <c:v>251</c:v>
                </c:pt>
                <c:pt idx="100">
                  <c:v>270</c:v>
                </c:pt>
                <c:pt idx="101">
                  <c:v>245</c:v>
                </c:pt>
                <c:pt idx="102">
                  <c:v>169</c:v>
                </c:pt>
                <c:pt idx="103">
                  <c:v>147</c:v>
                </c:pt>
                <c:pt idx="104">
                  <c:v>115</c:v>
                </c:pt>
                <c:pt idx="105">
                  <c:v>321</c:v>
                </c:pt>
                <c:pt idx="106">
                  <c:v>350</c:v>
                </c:pt>
                <c:pt idx="107">
                  <c:v>501</c:v>
                </c:pt>
                <c:pt idx="108">
                  <c:v>516</c:v>
                </c:pt>
                <c:pt idx="109">
                  <c:v>545</c:v>
                </c:pt>
                <c:pt idx="110">
                  <c:v>475</c:v>
                </c:pt>
                <c:pt idx="111">
                  <c:v>294</c:v>
                </c:pt>
                <c:pt idx="112">
                  <c:v>669</c:v>
                </c:pt>
                <c:pt idx="113">
                  <c:v>718</c:v>
                </c:pt>
                <c:pt idx="114">
                  <c:v>860</c:v>
                </c:pt>
                <c:pt idx="115">
                  <c:v>1013</c:v>
                </c:pt>
                <c:pt idx="116">
                  <c:v>781</c:v>
                </c:pt>
                <c:pt idx="117">
                  <c:v>481</c:v>
                </c:pt>
                <c:pt idx="118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9-4B0D-B8FE-7B3483A10827}"/>
            </c:ext>
          </c:extLst>
        </c:ser>
        <c:ser>
          <c:idx val="4"/>
          <c:order val="2"/>
          <c:tx>
            <c:strRef>
              <c:f>Comportamiento!$E$59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Comportamiento!$F$53:$GT$53</c15:sqref>
                  </c15:fullRef>
                </c:ext>
              </c:extLst>
              <c:f>Comportamiento!$CA$53:$GT$53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Comportamiento!$F$59:$GT$59</c15:sqref>
                  </c15:fullRef>
                </c:ext>
              </c:extLst>
              <c:f>Comportamiento!$CA$59:$GT$59</c:f>
              <c:numCache>
                <c:formatCode>#,##0</c:formatCode>
                <c:ptCount val="119"/>
                <c:pt idx="0">
                  <c:v>47</c:v>
                </c:pt>
                <c:pt idx="1">
                  <c:v>36</c:v>
                </c:pt>
                <c:pt idx="2">
                  <c:v>44</c:v>
                </c:pt>
                <c:pt idx="3">
                  <c:v>40</c:v>
                </c:pt>
                <c:pt idx="4">
                  <c:v>18</c:v>
                </c:pt>
                <c:pt idx="5">
                  <c:v>40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62</c:v>
                </c:pt>
                <c:pt idx="10">
                  <c:v>8</c:v>
                </c:pt>
                <c:pt idx="11">
                  <c:v>41</c:v>
                </c:pt>
                <c:pt idx="12">
                  <c:v>7</c:v>
                </c:pt>
                <c:pt idx="13">
                  <c:v>21</c:v>
                </c:pt>
                <c:pt idx="14">
                  <c:v>1</c:v>
                </c:pt>
                <c:pt idx="15">
                  <c:v>21</c:v>
                </c:pt>
                <c:pt idx="16">
                  <c:v>32</c:v>
                </c:pt>
                <c:pt idx="17">
                  <c:v>11</c:v>
                </c:pt>
                <c:pt idx="18">
                  <c:v>27</c:v>
                </c:pt>
                <c:pt idx="19">
                  <c:v>21</c:v>
                </c:pt>
                <c:pt idx="20">
                  <c:v>11</c:v>
                </c:pt>
                <c:pt idx="21">
                  <c:v>11</c:v>
                </c:pt>
                <c:pt idx="22">
                  <c:v>35</c:v>
                </c:pt>
                <c:pt idx="23">
                  <c:v>110</c:v>
                </c:pt>
                <c:pt idx="24">
                  <c:v>89</c:v>
                </c:pt>
                <c:pt idx="25">
                  <c:v>52</c:v>
                </c:pt>
                <c:pt idx="26">
                  <c:v>14</c:v>
                </c:pt>
                <c:pt idx="27">
                  <c:v>9</c:v>
                </c:pt>
                <c:pt idx="28">
                  <c:v>4</c:v>
                </c:pt>
                <c:pt idx="29">
                  <c:v>7</c:v>
                </c:pt>
                <c:pt idx="30">
                  <c:v>29</c:v>
                </c:pt>
                <c:pt idx="31">
                  <c:v>4</c:v>
                </c:pt>
                <c:pt idx="32">
                  <c:v>5</c:v>
                </c:pt>
                <c:pt idx="33">
                  <c:v>24</c:v>
                </c:pt>
                <c:pt idx="34">
                  <c:v>22</c:v>
                </c:pt>
                <c:pt idx="35">
                  <c:v>0</c:v>
                </c:pt>
                <c:pt idx="36">
                  <c:v>11</c:v>
                </c:pt>
                <c:pt idx="37">
                  <c:v>12</c:v>
                </c:pt>
                <c:pt idx="38">
                  <c:v>5</c:v>
                </c:pt>
                <c:pt idx="39">
                  <c:v>0</c:v>
                </c:pt>
                <c:pt idx="40">
                  <c:v>28</c:v>
                </c:pt>
                <c:pt idx="41">
                  <c:v>21</c:v>
                </c:pt>
                <c:pt idx="42">
                  <c:v>7</c:v>
                </c:pt>
                <c:pt idx="43">
                  <c:v>23</c:v>
                </c:pt>
                <c:pt idx="44">
                  <c:v>2</c:v>
                </c:pt>
                <c:pt idx="45">
                  <c:v>28</c:v>
                </c:pt>
                <c:pt idx="46">
                  <c:v>0</c:v>
                </c:pt>
                <c:pt idx="47">
                  <c:v>22</c:v>
                </c:pt>
                <c:pt idx="48">
                  <c:v>13</c:v>
                </c:pt>
                <c:pt idx="49">
                  <c:v>28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37</c:v>
                </c:pt>
                <c:pt idx="54">
                  <c:v>10</c:v>
                </c:pt>
                <c:pt idx="55">
                  <c:v>8</c:v>
                </c:pt>
                <c:pt idx="56">
                  <c:v>23</c:v>
                </c:pt>
                <c:pt idx="57">
                  <c:v>3</c:v>
                </c:pt>
                <c:pt idx="58">
                  <c:v>5</c:v>
                </c:pt>
                <c:pt idx="59">
                  <c:v>6</c:v>
                </c:pt>
                <c:pt idx="60">
                  <c:v>9</c:v>
                </c:pt>
                <c:pt idx="61">
                  <c:v>11</c:v>
                </c:pt>
                <c:pt idx="62">
                  <c:v>9</c:v>
                </c:pt>
                <c:pt idx="63">
                  <c:v>3</c:v>
                </c:pt>
                <c:pt idx="64">
                  <c:v>10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35</c:v>
                </c:pt>
                <c:pt idx="69">
                  <c:v>14</c:v>
                </c:pt>
                <c:pt idx="70">
                  <c:v>5</c:v>
                </c:pt>
                <c:pt idx="71">
                  <c:v>10</c:v>
                </c:pt>
                <c:pt idx="72">
                  <c:v>11</c:v>
                </c:pt>
                <c:pt idx="73">
                  <c:v>2</c:v>
                </c:pt>
                <c:pt idx="74">
                  <c:v>2</c:v>
                </c:pt>
                <c:pt idx="75">
                  <c:v>18</c:v>
                </c:pt>
                <c:pt idx="76">
                  <c:v>1</c:v>
                </c:pt>
                <c:pt idx="77">
                  <c:v>1</c:v>
                </c:pt>
                <c:pt idx="78">
                  <c:v>10</c:v>
                </c:pt>
                <c:pt idx="79">
                  <c:v>15</c:v>
                </c:pt>
                <c:pt idx="80">
                  <c:v>7</c:v>
                </c:pt>
                <c:pt idx="81">
                  <c:v>18</c:v>
                </c:pt>
                <c:pt idx="82">
                  <c:v>37</c:v>
                </c:pt>
                <c:pt idx="83">
                  <c:v>37</c:v>
                </c:pt>
                <c:pt idx="84">
                  <c:v>26</c:v>
                </c:pt>
                <c:pt idx="85">
                  <c:v>26</c:v>
                </c:pt>
                <c:pt idx="86">
                  <c:v>44</c:v>
                </c:pt>
                <c:pt idx="87">
                  <c:v>69</c:v>
                </c:pt>
                <c:pt idx="88">
                  <c:v>66</c:v>
                </c:pt>
                <c:pt idx="89">
                  <c:v>65</c:v>
                </c:pt>
                <c:pt idx="90">
                  <c:v>42</c:v>
                </c:pt>
                <c:pt idx="91">
                  <c:v>121</c:v>
                </c:pt>
                <c:pt idx="92">
                  <c:v>121</c:v>
                </c:pt>
                <c:pt idx="93">
                  <c:v>118</c:v>
                </c:pt>
                <c:pt idx="94">
                  <c:v>102</c:v>
                </c:pt>
                <c:pt idx="95">
                  <c:v>102</c:v>
                </c:pt>
                <c:pt idx="96">
                  <c:v>73</c:v>
                </c:pt>
                <c:pt idx="97">
                  <c:v>89</c:v>
                </c:pt>
                <c:pt idx="98">
                  <c:v>52</c:v>
                </c:pt>
                <c:pt idx="99">
                  <c:v>69</c:v>
                </c:pt>
                <c:pt idx="100">
                  <c:v>66</c:v>
                </c:pt>
                <c:pt idx="101">
                  <c:v>77</c:v>
                </c:pt>
                <c:pt idx="102">
                  <c:v>23</c:v>
                </c:pt>
                <c:pt idx="103">
                  <c:v>52</c:v>
                </c:pt>
                <c:pt idx="104">
                  <c:v>19</c:v>
                </c:pt>
                <c:pt idx="105">
                  <c:v>37</c:v>
                </c:pt>
                <c:pt idx="106">
                  <c:v>99</c:v>
                </c:pt>
                <c:pt idx="107">
                  <c:v>157</c:v>
                </c:pt>
                <c:pt idx="108">
                  <c:v>183</c:v>
                </c:pt>
                <c:pt idx="109">
                  <c:v>140</c:v>
                </c:pt>
                <c:pt idx="110">
                  <c:v>175</c:v>
                </c:pt>
                <c:pt idx="111">
                  <c:v>189</c:v>
                </c:pt>
                <c:pt idx="112">
                  <c:v>273</c:v>
                </c:pt>
                <c:pt idx="113">
                  <c:v>479</c:v>
                </c:pt>
                <c:pt idx="114">
                  <c:v>343</c:v>
                </c:pt>
                <c:pt idx="115">
                  <c:v>343</c:v>
                </c:pt>
                <c:pt idx="116">
                  <c:v>479</c:v>
                </c:pt>
                <c:pt idx="117">
                  <c:v>416</c:v>
                </c:pt>
                <c:pt idx="118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9-4B0D-B8FE-7B3483A10827}"/>
            </c:ext>
          </c:extLst>
        </c:ser>
        <c:ser>
          <c:idx val="5"/>
          <c:order val="3"/>
          <c:tx>
            <c:strRef>
              <c:f>Comportamiento!$E$62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Comportamiento!$F$53:$GT$53</c15:sqref>
                  </c15:fullRef>
                </c:ext>
              </c:extLst>
              <c:f>Comportamiento!$CA$53:$GT$53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Comportamiento!$F$62:$GT$62</c15:sqref>
                  </c15:fullRef>
                </c:ext>
              </c:extLst>
              <c:f>Comportamiento!$CA$62:$GT$62</c:f>
              <c:numCache>
                <c:formatCode>#,##0</c:formatCode>
                <c:ptCount val="119"/>
                <c:pt idx="0">
                  <c:v>304</c:v>
                </c:pt>
                <c:pt idx="1">
                  <c:v>283</c:v>
                </c:pt>
                <c:pt idx="2">
                  <c:v>285</c:v>
                </c:pt>
                <c:pt idx="3">
                  <c:v>262</c:v>
                </c:pt>
                <c:pt idx="4">
                  <c:v>211</c:v>
                </c:pt>
                <c:pt idx="5">
                  <c:v>220</c:v>
                </c:pt>
                <c:pt idx="6">
                  <c:v>96</c:v>
                </c:pt>
                <c:pt idx="7">
                  <c:v>173</c:v>
                </c:pt>
                <c:pt idx="8">
                  <c:v>272</c:v>
                </c:pt>
                <c:pt idx="9">
                  <c:v>286</c:v>
                </c:pt>
                <c:pt idx="10">
                  <c:v>205</c:v>
                </c:pt>
                <c:pt idx="11">
                  <c:v>196</c:v>
                </c:pt>
                <c:pt idx="12">
                  <c:v>137</c:v>
                </c:pt>
                <c:pt idx="13">
                  <c:v>103</c:v>
                </c:pt>
                <c:pt idx="14">
                  <c:v>253</c:v>
                </c:pt>
                <c:pt idx="15">
                  <c:v>253</c:v>
                </c:pt>
                <c:pt idx="16">
                  <c:v>189</c:v>
                </c:pt>
                <c:pt idx="17">
                  <c:v>254</c:v>
                </c:pt>
                <c:pt idx="18">
                  <c:v>215</c:v>
                </c:pt>
                <c:pt idx="19">
                  <c:v>158</c:v>
                </c:pt>
                <c:pt idx="20">
                  <c:v>111</c:v>
                </c:pt>
                <c:pt idx="21">
                  <c:v>270</c:v>
                </c:pt>
                <c:pt idx="22">
                  <c:v>364</c:v>
                </c:pt>
                <c:pt idx="23">
                  <c:v>425</c:v>
                </c:pt>
                <c:pt idx="24">
                  <c:v>307</c:v>
                </c:pt>
                <c:pt idx="25">
                  <c:v>217</c:v>
                </c:pt>
                <c:pt idx="26">
                  <c:v>121</c:v>
                </c:pt>
                <c:pt idx="27">
                  <c:v>104</c:v>
                </c:pt>
                <c:pt idx="28">
                  <c:v>211</c:v>
                </c:pt>
                <c:pt idx="29">
                  <c:v>255</c:v>
                </c:pt>
                <c:pt idx="30">
                  <c:v>223</c:v>
                </c:pt>
                <c:pt idx="31">
                  <c:v>191</c:v>
                </c:pt>
                <c:pt idx="32">
                  <c:v>181</c:v>
                </c:pt>
                <c:pt idx="33">
                  <c:v>154</c:v>
                </c:pt>
                <c:pt idx="34">
                  <c:v>118</c:v>
                </c:pt>
                <c:pt idx="35">
                  <c:v>342</c:v>
                </c:pt>
                <c:pt idx="36">
                  <c:v>215</c:v>
                </c:pt>
                <c:pt idx="37">
                  <c:v>229</c:v>
                </c:pt>
                <c:pt idx="38">
                  <c:v>228</c:v>
                </c:pt>
                <c:pt idx="39">
                  <c:v>143</c:v>
                </c:pt>
                <c:pt idx="40">
                  <c:v>157</c:v>
                </c:pt>
                <c:pt idx="41">
                  <c:v>89</c:v>
                </c:pt>
                <c:pt idx="42">
                  <c:v>254</c:v>
                </c:pt>
                <c:pt idx="43">
                  <c:v>225</c:v>
                </c:pt>
                <c:pt idx="44">
                  <c:v>237</c:v>
                </c:pt>
                <c:pt idx="45">
                  <c:v>229</c:v>
                </c:pt>
                <c:pt idx="46">
                  <c:v>199</c:v>
                </c:pt>
                <c:pt idx="47">
                  <c:v>169</c:v>
                </c:pt>
                <c:pt idx="48">
                  <c:v>109</c:v>
                </c:pt>
                <c:pt idx="49">
                  <c:v>135</c:v>
                </c:pt>
                <c:pt idx="50">
                  <c:v>267</c:v>
                </c:pt>
                <c:pt idx="51">
                  <c:v>262</c:v>
                </c:pt>
                <c:pt idx="52">
                  <c:v>203</c:v>
                </c:pt>
                <c:pt idx="53">
                  <c:v>248</c:v>
                </c:pt>
                <c:pt idx="54">
                  <c:v>130</c:v>
                </c:pt>
                <c:pt idx="55">
                  <c:v>107</c:v>
                </c:pt>
                <c:pt idx="56">
                  <c:v>242</c:v>
                </c:pt>
                <c:pt idx="57">
                  <c:v>199</c:v>
                </c:pt>
                <c:pt idx="58">
                  <c:v>206</c:v>
                </c:pt>
                <c:pt idx="59">
                  <c:v>136</c:v>
                </c:pt>
                <c:pt idx="60">
                  <c:v>127</c:v>
                </c:pt>
                <c:pt idx="61">
                  <c:v>101</c:v>
                </c:pt>
                <c:pt idx="62">
                  <c:v>89</c:v>
                </c:pt>
                <c:pt idx="63">
                  <c:v>259</c:v>
                </c:pt>
                <c:pt idx="64">
                  <c:v>244</c:v>
                </c:pt>
                <c:pt idx="65">
                  <c:v>223</c:v>
                </c:pt>
                <c:pt idx="66">
                  <c:v>243</c:v>
                </c:pt>
                <c:pt idx="67">
                  <c:v>232</c:v>
                </c:pt>
                <c:pt idx="68">
                  <c:v>185</c:v>
                </c:pt>
                <c:pt idx="69">
                  <c:v>116</c:v>
                </c:pt>
                <c:pt idx="70">
                  <c:v>272</c:v>
                </c:pt>
                <c:pt idx="71">
                  <c:v>246</c:v>
                </c:pt>
                <c:pt idx="72">
                  <c:v>275</c:v>
                </c:pt>
                <c:pt idx="73">
                  <c:v>248</c:v>
                </c:pt>
                <c:pt idx="74">
                  <c:v>232</c:v>
                </c:pt>
                <c:pt idx="75">
                  <c:v>172</c:v>
                </c:pt>
                <c:pt idx="76">
                  <c:v>132</c:v>
                </c:pt>
                <c:pt idx="77">
                  <c:v>255</c:v>
                </c:pt>
                <c:pt idx="78">
                  <c:v>258</c:v>
                </c:pt>
                <c:pt idx="79">
                  <c:v>298</c:v>
                </c:pt>
                <c:pt idx="80">
                  <c:v>273</c:v>
                </c:pt>
                <c:pt idx="81">
                  <c:v>246</c:v>
                </c:pt>
                <c:pt idx="82">
                  <c:v>190</c:v>
                </c:pt>
                <c:pt idx="83">
                  <c:v>161</c:v>
                </c:pt>
                <c:pt idx="84">
                  <c:v>308</c:v>
                </c:pt>
                <c:pt idx="85">
                  <c:v>267</c:v>
                </c:pt>
                <c:pt idx="86">
                  <c:v>288</c:v>
                </c:pt>
                <c:pt idx="87">
                  <c:v>319</c:v>
                </c:pt>
                <c:pt idx="88">
                  <c:v>263</c:v>
                </c:pt>
                <c:pt idx="89">
                  <c:v>194</c:v>
                </c:pt>
                <c:pt idx="90">
                  <c:v>138</c:v>
                </c:pt>
                <c:pt idx="91">
                  <c:v>416</c:v>
                </c:pt>
                <c:pt idx="92">
                  <c:v>366</c:v>
                </c:pt>
                <c:pt idx="93">
                  <c:v>259</c:v>
                </c:pt>
                <c:pt idx="94">
                  <c:v>424</c:v>
                </c:pt>
                <c:pt idx="95">
                  <c:v>359</c:v>
                </c:pt>
                <c:pt idx="96">
                  <c:v>234</c:v>
                </c:pt>
                <c:pt idx="97">
                  <c:v>208</c:v>
                </c:pt>
                <c:pt idx="98">
                  <c:v>324</c:v>
                </c:pt>
                <c:pt idx="99">
                  <c:v>320</c:v>
                </c:pt>
                <c:pt idx="100">
                  <c:v>336</c:v>
                </c:pt>
                <c:pt idx="101">
                  <c:v>322</c:v>
                </c:pt>
                <c:pt idx="102">
                  <c:v>192</c:v>
                </c:pt>
                <c:pt idx="103">
                  <c:v>199</c:v>
                </c:pt>
                <c:pt idx="104">
                  <c:v>134</c:v>
                </c:pt>
                <c:pt idx="105">
                  <c:v>358</c:v>
                </c:pt>
                <c:pt idx="106">
                  <c:v>449</c:v>
                </c:pt>
                <c:pt idx="107">
                  <c:v>658</c:v>
                </c:pt>
                <c:pt idx="108">
                  <c:v>699</c:v>
                </c:pt>
                <c:pt idx="109">
                  <c:v>685</c:v>
                </c:pt>
                <c:pt idx="110">
                  <c:v>650</c:v>
                </c:pt>
                <c:pt idx="111">
                  <c:v>483</c:v>
                </c:pt>
                <c:pt idx="112">
                  <c:v>942</c:v>
                </c:pt>
                <c:pt idx="113">
                  <c:v>1197</c:v>
                </c:pt>
                <c:pt idx="114">
                  <c:v>1203</c:v>
                </c:pt>
                <c:pt idx="115">
                  <c:v>1356</c:v>
                </c:pt>
                <c:pt idx="116">
                  <c:v>1260</c:v>
                </c:pt>
                <c:pt idx="117">
                  <c:v>897</c:v>
                </c:pt>
                <c:pt idx="118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9-4B0D-B8FE-7B3483A1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3"/>
          <c:order val="0"/>
          <c:tx>
            <c:strRef>
              <c:f>Comportamiento!$E$61</c:f>
              <c:strCache>
                <c:ptCount val="1"/>
                <c:pt idx="0">
                  <c:v>Pronóstico</c:v>
                </c:pt>
              </c:strCache>
            </c:strRef>
          </c:tx>
          <c:spPr>
            <a:ln w="34925" cap="rnd">
              <a:solidFill>
                <a:schemeClr val="accent3">
                  <a:tint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Comportamiento!$F$53:$GT$53</c15:sqref>
                  </c15:fullRef>
                </c:ext>
              </c:extLst>
              <c:f>Comportamiento!$CA$53:$GT$53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Comportamiento!$F$61:$GT$61</c15:sqref>
                  </c15:fullRef>
                </c:ext>
              </c:extLst>
              <c:f>Comportamiento!$CA$61:$GT$61</c:f>
              <c:numCache>
                <c:formatCode>#,##0</c:formatCode>
                <c:ptCount val="119"/>
                <c:pt idx="0">
                  <c:v>257</c:v>
                </c:pt>
                <c:pt idx="1">
                  <c:v>247</c:v>
                </c:pt>
                <c:pt idx="2">
                  <c:v>241</c:v>
                </c:pt>
                <c:pt idx="3">
                  <c:v>222</c:v>
                </c:pt>
                <c:pt idx="4">
                  <c:v>210</c:v>
                </c:pt>
                <c:pt idx="5">
                  <c:v>162</c:v>
                </c:pt>
                <c:pt idx="6">
                  <c:v>99</c:v>
                </c:pt>
                <c:pt idx="7">
                  <c:v>154</c:v>
                </c:pt>
                <c:pt idx="8">
                  <c:v>299</c:v>
                </c:pt>
                <c:pt idx="9">
                  <c:v>230</c:v>
                </c:pt>
                <c:pt idx="10">
                  <c:v>206</c:v>
                </c:pt>
                <c:pt idx="11">
                  <c:v>178</c:v>
                </c:pt>
                <c:pt idx="12">
                  <c:v>155</c:v>
                </c:pt>
                <c:pt idx="13">
                  <c:v>100</c:v>
                </c:pt>
                <c:pt idx="14">
                  <c:v>256</c:v>
                </c:pt>
                <c:pt idx="15">
                  <c:v>236</c:v>
                </c:pt>
                <c:pt idx="16">
                  <c:v>220</c:v>
                </c:pt>
                <c:pt idx="17">
                  <c:v>194</c:v>
                </c:pt>
                <c:pt idx="18">
                  <c:v>178</c:v>
                </c:pt>
                <c:pt idx="19">
                  <c:v>137</c:v>
                </c:pt>
                <c:pt idx="20">
                  <c:v>85</c:v>
                </c:pt>
                <c:pt idx="21">
                  <c:v>239</c:v>
                </c:pt>
                <c:pt idx="22">
                  <c:v>218</c:v>
                </c:pt>
                <c:pt idx="23">
                  <c:v>272</c:v>
                </c:pt>
                <c:pt idx="24">
                  <c:v>251</c:v>
                </c:pt>
                <c:pt idx="25">
                  <c:v>236</c:v>
                </c:pt>
                <c:pt idx="26">
                  <c:v>150</c:v>
                </c:pt>
                <c:pt idx="27">
                  <c:v>89</c:v>
                </c:pt>
                <c:pt idx="28">
                  <c:v>225</c:v>
                </c:pt>
                <c:pt idx="29">
                  <c:v>236</c:v>
                </c:pt>
                <c:pt idx="30">
                  <c:v>218</c:v>
                </c:pt>
                <c:pt idx="31">
                  <c:v>212</c:v>
                </c:pt>
                <c:pt idx="32">
                  <c:v>202</c:v>
                </c:pt>
                <c:pt idx="33">
                  <c:v>117</c:v>
                </c:pt>
                <c:pt idx="34">
                  <c:v>90</c:v>
                </c:pt>
                <c:pt idx="35">
                  <c:v>222</c:v>
                </c:pt>
                <c:pt idx="36">
                  <c:v>209</c:v>
                </c:pt>
                <c:pt idx="37">
                  <c:v>203</c:v>
                </c:pt>
                <c:pt idx="38">
                  <c:v>206</c:v>
                </c:pt>
                <c:pt idx="39">
                  <c:v>200</c:v>
                </c:pt>
                <c:pt idx="40">
                  <c:v>109</c:v>
                </c:pt>
                <c:pt idx="41">
                  <c:v>81</c:v>
                </c:pt>
                <c:pt idx="42">
                  <c:v>208</c:v>
                </c:pt>
                <c:pt idx="43">
                  <c:v>195</c:v>
                </c:pt>
                <c:pt idx="44">
                  <c:v>201</c:v>
                </c:pt>
                <c:pt idx="45">
                  <c:v>186</c:v>
                </c:pt>
                <c:pt idx="46">
                  <c:v>174</c:v>
                </c:pt>
                <c:pt idx="47">
                  <c:v>104</c:v>
                </c:pt>
                <c:pt idx="48">
                  <c:v>79</c:v>
                </c:pt>
                <c:pt idx="49">
                  <c:v>102</c:v>
                </c:pt>
                <c:pt idx="50">
                  <c:v>235</c:v>
                </c:pt>
                <c:pt idx="51">
                  <c:v>231</c:v>
                </c:pt>
                <c:pt idx="52">
                  <c:v>221</c:v>
                </c:pt>
                <c:pt idx="53">
                  <c:v>198</c:v>
                </c:pt>
                <c:pt idx="54">
                  <c:v>127</c:v>
                </c:pt>
                <c:pt idx="55">
                  <c:v>89</c:v>
                </c:pt>
                <c:pt idx="56">
                  <c:v>252</c:v>
                </c:pt>
                <c:pt idx="57">
                  <c:v>237</c:v>
                </c:pt>
                <c:pt idx="58">
                  <c:v>217</c:v>
                </c:pt>
                <c:pt idx="59">
                  <c:v>140</c:v>
                </c:pt>
                <c:pt idx="60">
                  <c:v>127</c:v>
                </c:pt>
                <c:pt idx="61">
                  <c:v>88</c:v>
                </c:pt>
                <c:pt idx="62">
                  <c:v>63</c:v>
                </c:pt>
                <c:pt idx="63">
                  <c:v>259</c:v>
                </c:pt>
                <c:pt idx="64">
                  <c:v>251</c:v>
                </c:pt>
                <c:pt idx="65">
                  <c:v>234</c:v>
                </c:pt>
                <c:pt idx="66">
                  <c:v>226</c:v>
                </c:pt>
                <c:pt idx="67">
                  <c:v>216</c:v>
                </c:pt>
                <c:pt idx="68">
                  <c:v>135</c:v>
                </c:pt>
                <c:pt idx="69">
                  <c:v>91</c:v>
                </c:pt>
                <c:pt idx="70">
                  <c:v>244</c:v>
                </c:pt>
                <c:pt idx="71">
                  <c:v>227</c:v>
                </c:pt>
                <c:pt idx="72">
                  <c:v>214</c:v>
                </c:pt>
                <c:pt idx="73">
                  <c:v>219</c:v>
                </c:pt>
                <c:pt idx="74">
                  <c:v>204</c:v>
                </c:pt>
                <c:pt idx="75">
                  <c:v>124</c:v>
                </c:pt>
                <c:pt idx="76">
                  <c:v>88</c:v>
                </c:pt>
                <c:pt idx="77">
                  <c:v>271</c:v>
                </c:pt>
                <c:pt idx="78">
                  <c:v>251</c:v>
                </c:pt>
                <c:pt idx="79">
                  <c:v>243</c:v>
                </c:pt>
                <c:pt idx="80">
                  <c:v>266</c:v>
                </c:pt>
                <c:pt idx="81">
                  <c:v>247</c:v>
                </c:pt>
                <c:pt idx="82">
                  <c:v>150</c:v>
                </c:pt>
                <c:pt idx="83">
                  <c:v>106</c:v>
                </c:pt>
                <c:pt idx="84">
                  <c:v>276</c:v>
                </c:pt>
                <c:pt idx="85">
                  <c:v>256</c:v>
                </c:pt>
                <c:pt idx="86">
                  <c:v>241</c:v>
                </c:pt>
                <c:pt idx="87">
                  <c:v>218</c:v>
                </c:pt>
                <c:pt idx="88">
                  <c:v>201</c:v>
                </c:pt>
                <c:pt idx="89">
                  <c:v>133</c:v>
                </c:pt>
                <c:pt idx="90">
                  <c:v>87</c:v>
                </c:pt>
                <c:pt idx="91">
                  <c:v>276</c:v>
                </c:pt>
                <c:pt idx="92">
                  <c:v>250</c:v>
                </c:pt>
                <c:pt idx="93">
                  <c:v>186</c:v>
                </c:pt>
                <c:pt idx="94">
                  <c:v>270</c:v>
                </c:pt>
                <c:pt idx="95">
                  <c:v>262</c:v>
                </c:pt>
                <c:pt idx="96">
                  <c:v>157</c:v>
                </c:pt>
                <c:pt idx="97">
                  <c:v>108</c:v>
                </c:pt>
                <c:pt idx="98">
                  <c:v>275</c:v>
                </c:pt>
                <c:pt idx="99">
                  <c:v>260</c:v>
                </c:pt>
                <c:pt idx="100">
                  <c:v>251</c:v>
                </c:pt>
                <c:pt idx="101">
                  <c:v>237</c:v>
                </c:pt>
                <c:pt idx="102">
                  <c:v>221</c:v>
                </c:pt>
                <c:pt idx="103">
                  <c:v>142</c:v>
                </c:pt>
                <c:pt idx="104">
                  <c:v>108</c:v>
                </c:pt>
                <c:pt idx="105">
                  <c:v>293</c:v>
                </c:pt>
                <c:pt idx="106">
                  <c:v>269</c:v>
                </c:pt>
                <c:pt idx="107">
                  <c:v>508</c:v>
                </c:pt>
                <c:pt idx="108">
                  <c:v>506</c:v>
                </c:pt>
                <c:pt idx="109">
                  <c:v>524</c:v>
                </c:pt>
                <c:pt idx="110">
                  <c:v>463</c:v>
                </c:pt>
                <c:pt idx="111">
                  <c:v>432</c:v>
                </c:pt>
                <c:pt idx="112">
                  <c:v>667</c:v>
                </c:pt>
                <c:pt idx="113">
                  <c:v>620</c:v>
                </c:pt>
                <c:pt idx="114">
                  <c:v>787</c:v>
                </c:pt>
                <c:pt idx="115">
                  <c:v>739</c:v>
                </c:pt>
                <c:pt idx="116">
                  <c:v>835</c:v>
                </c:pt>
                <c:pt idx="117">
                  <c:v>608</c:v>
                </c:pt>
                <c:pt idx="118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9-4B0D-B8FE-7B3483A10827}"/>
            </c:ext>
          </c:extLst>
        </c:ser>
        <c:ser>
          <c:idx val="1"/>
          <c:order val="4"/>
          <c:tx>
            <c:strRef>
              <c:f>Comportamiento!$E$55</c:f>
              <c:strCache>
                <c:ptCount val="1"/>
                <c:pt idx="0">
                  <c:v>Capacidad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Comportamiento!$F$53:$GT$53</c15:sqref>
                  </c15:fullRef>
                </c:ext>
              </c:extLst>
              <c:f>Comportamiento!$CA$53:$GT$53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Comportamiento!$F$55:$GT$55</c15:sqref>
                  </c15:fullRef>
                </c:ext>
              </c:extLst>
              <c:f>Comportamiento!$CA$55:$GT$55</c:f>
              <c:numCache>
                <c:formatCode>#,##0</c:formatCode>
                <c:ptCount val="119"/>
                <c:pt idx="0">
                  <c:v>373</c:v>
                </c:pt>
                <c:pt idx="1">
                  <c:v>373</c:v>
                </c:pt>
                <c:pt idx="2">
                  <c:v>373</c:v>
                </c:pt>
                <c:pt idx="3">
                  <c:v>373</c:v>
                </c:pt>
                <c:pt idx="4">
                  <c:v>373</c:v>
                </c:pt>
                <c:pt idx="5">
                  <c:v>209</c:v>
                </c:pt>
                <c:pt idx="6">
                  <c:v>171</c:v>
                </c:pt>
                <c:pt idx="7">
                  <c:v>209</c:v>
                </c:pt>
                <c:pt idx="8">
                  <c:v>454</c:v>
                </c:pt>
                <c:pt idx="9">
                  <c:v>454</c:v>
                </c:pt>
                <c:pt idx="10">
                  <c:v>454</c:v>
                </c:pt>
                <c:pt idx="11">
                  <c:v>454</c:v>
                </c:pt>
                <c:pt idx="12">
                  <c:v>209</c:v>
                </c:pt>
                <c:pt idx="13">
                  <c:v>209</c:v>
                </c:pt>
                <c:pt idx="14">
                  <c:v>454</c:v>
                </c:pt>
                <c:pt idx="15">
                  <c:v>454</c:v>
                </c:pt>
                <c:pt idx="16">
                  <c:v>377</c:v>
                </c:pt>
                <c:pt idx="17">
                  <c:v>377</c:v>
                </c:pt>
                <c:pt idx="18">
                  <c:v>377</c:v>
                </c:pt>
                <c:pt idx="19">
                  <c:v>209</c:v>
                </c:pt>
                <c:pt idx="20">
                  <c:v>209</c:v>
                </c:pt>
                <c:pt idx="21">
                  <c:v>377</c:v>
                </c:pt>
                <c:pt idx="22">
                  <c:v>377</c:v>
                </c:pt>
                <c:pt idx="23">
                  <c:v>377</c:v>
                </c:pt>
                <c:pt idx="24">
                  <c:v>377</c:v>
                </c:pt>
                <c:pt idx="25">
                  <c:v>377</c:v>
                </c:pt>
                <c:pt idx="26">
                  <c:v>209</c:v>
                </c:pt>
                <c:pt idx="27">
                  <c:v>209</c:v>
                </c:pt>
                <c:pt idx="28">
                  <c:v>377</c:v>
                </c:pt>
                <c:pt idx="29">
                  <c:v>377</c:v>
                </c:pt>
                <c:pt idx="30">
                  <c:v>377</c:v>
                </c:pt>
                <c:pt idx="31">
                  <c:v>377</c:v>
                </c:pt>
                <c:pt idx="32">
                  <c:v>377</c:v>
                </c:pt>
                <c:pt idx="33">
                  <c:v>209</c:v>
                </c:pt>
                <c:pt idx="34">
                  <c:v>209</c:v>
                </c:pt>
                <c:pt idx="35">
                  <c:v>377</c:v>
                </c:pt>
                <c:pt idx="36">
                  <c:v>377</c:v>
                </c:pt>
                <c:pt idx="37">
                  <c:v>377</c:v>
                </c:pt>
                <c:pt idx="38">
                  <c:v>377</c:v>
                </c:pt>
                <c:pt idx="39">
                  <c:v>377</c:v>
                </c:pt>
                <c:pt idx="40">
                  <c:v>209</c:v>
                </c:pt>
                <c:pt idx="41">
                  <c:v>209</c:v>
                </c:pt>
                <c:pt idx="42">
                  <c:v>377</c:v>
                </c:pt>
                <c:pt idx="43">
                  <c:v>377</c:v>
                </c:pt>
                <c:pt idx="44">
                  <c:v>377</c:v>
                </c:pt>
                <c:pt idx="45">
                  <c:v>377</c:v>
                </c:pt>
                <c:pt idx="46">
                  <c:v>377</c:v>
                </c:pt>
                <c:pt idx="47">
                  <c:v>209</c:v>
                </c:pt>
                <c:pt idx="48">
                  <c:v>209</c:v>
                </c:pt>
                <c:pt idx="49">
                  <c:v>143</c:v>
                </c:pt>
                <c:pt idx="50">
                  <c:v>377</c:v>
                </c:pt>
                <c:pt idx="51">
                  <c:v>377</c:v>
                </c:pt>
                <c:pt idx="52">
                  <c:v>377</c:v>
                </c:pt>
                <c:pt idx="53">
                  <c:v>377</c:v>
                </c:pt>
                <c:pt idx="54">
                  <c:v>209</c:v>
                </c:pt>
                <c:pt idx="55">
                  <c:v>209</c:v>
                </c:pt>
                <c:pt idx="56">
                  <c:v>377</c:v>
                </c:pt>
                <c:pt idx="57">
                  <c:v>377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209</c:v>
                </c:pt>
                <c:pt idx="62">
                  <c:v>209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377</c:v>
                </c:pt>
                <c:pt idx="67">
                  <c:v>377</c:v>
                </c:pt>
                <c:pt idx="68">
                  <c:v>209</c:v>
                </c:pt>
                <c:pt idx="69">
                  <c:v>209</c:v>
                </c:pt>
                <c:pt idx="70">
                  <c:v>377</c:v>
                </c:pt>
                <c:pt idx="71">
                  <c:v>377</c:v>
                </c:pt>
                <c:pt idx="72">
                  <c:v>377</c:v>
                </c:pt>
                <c:pt idx="73">
                  <c:v>377</c:v>
                </c:pt>
                <c:pt idx="74">
                  <c:v>377</c:v>
                </c:pt>
                <c:pt idx="75">
                  <c:v>209</c:v>
                </c:pt>
                <c:pt idx="76">
                  <c:v>209</c:v>
                </c:pt>
                <c:pt idx="77">
                  <c:v>377</c:v>
                </c:pt>
                <c:pt idx="78">
                  <c:v>377</c:v>
                </c:pt>
                <c:pt idx="79">
                  <c:v>377</c:v>
                </c:pt>
                <c:pt idx="80">
                  <c:v>377</c:v>
                </c:pt>
                <c:pt idx="81">
                  <c:v>377</c:v>
                </c:pt>
                <c:pt idx="82">
                  <c:v>209</c:v>
                </c:pt>
                <c:pt idx="83">
                  <c:v>209</c:v>
                </c:pt>
                <c:pt idx="84">
                  <c:v>377</c:v>
                </c:pt>
                <c:pt idx="85">
                  <c:v>377</c:v>
                </c:pt>
                <c:pt idx="86">
                  <c:v>377</c:v>
                </c:pt>
                <c:pt idx="87">
                  <c:v>377</c:v>
                </c:pt>
                <c:pt idx="88">
                  <c:v>377</c:v>
                </c:pt>
                <c:pt idx="89">
                  <c:v>209</c:v>
                </c:pt>
                <c:pt idx="90">
                  <c:v>209</c:v>
                </c:pt>
                <c:pt idx="91">
                  <c:v>377</c:v>
                </c:pt>
                <c:pt idx="92">
                  <c:v>377</c:v>
                </c:pt>
                <c:pt idx="93">
                  <c:v>143</c:v>
                </c:pt>
                <c:pt idx="94">
                  <c:v>377</c:v>
                </c:pt>
                <c:pt idx="95">
                  <c:v>377</c:v>
                </c:pt>
                <c:pt idx="96">
                  <c:v>209</c:v>
                </c:pt>
                <c:pt idx="97">
                  <c:v>209</c:v>
                </c:pt>
                <c:pt idx="98">
                  <c:v>377</c:v>
                </c:pt>
                <c:pt idx="99">
                  <c:v>377</c:v>
                </c:pt>
                <c:pt idx="100">
                  <c:v>377</c:v>
                </c:pt>
                <c:pt idx="101">
                  <c:v>377</c:v>
                </c:pt>
                <c:pt idx="102">
                  <c:v>377</c:v>
                </c:pt>
                <c:pt idx="103">
                  <c:v>209</c:v>
                </c:pt>
                <c:pt idx="104">
                  <c:v>138</c:v>
                </c:pt>
                <c:pt idx="105">
                  <c:v>377</c:v>
                </c:pt>
                <c:pt idx="106">
                  <c:v>232</c:v>
                </c:pt>
                <c:pt idx="107">
                  <c:v>305</c:v>
                </c:pt>
                <c:pt idx="108">
                  <c:v>305</c:v>
                </c:pt>
                <c:pt idx="109">
                  <c:v>595</c:v>
                </c:pt>
                <c:pt idx="110">
                  <c:v>276</c:v>
                </c:pt>
                <c:pt idx="111">
                  <c:v>276</c:v>
                </c:pt>
                <c:pt idx="112">
                  <c:v>595</c:v>
                </c:pt>
                <c:pt idx="113">
                  <c:v>595</c:v>
                </c:pt>
                <c:pt idx="114">
                  <c:v>595</c:v>
                </c:pt>
                <c:pt idx="115">
                  <c:v>595</c:v>
                </c:pt>
                <c:pt idx="116">
                  <c:v>595</c:v>
                </c:pt>
                <c:pt idx="117">
                  <c:v>278</c:v>
                </c:pt>
                <c:pt idx="118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49-4B0D-B8FE-7B3483A10827}"/>
            </c:ext>
          </c:extLst>
        </c:ser>
        <c:ser>
          <c:idx val="2"/>
          <c:order val="5"/>
          <c:tx>
            <c:strRef>
              <c:f>Comportamiento!$E$56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Comportamiento!$F$53:$GT$53</c15:sqref>
                  </c15:fullRef>
                </c:ext>
              </c:extLst>
              <c:f>Comportamiento!$CA$53:$GT$53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Comportamiento!$F$56:$GT$56</c15:sqref>
                  </c15:fullRef>
                </c:ext>
              </c:extLst>
              <c:f>Comportamiento!$CA$56:$GT$56</c:f>
              <c:numCache>
                <c:formatCode>#,##0</c:formatCode>
                <c:ptCount val="119"/>
                <c:pt idx="0">
                  <c:v>280</c:v>
                </c:pt>
                <c:pt idx="1">
                  <c:v>316</c:v>
                </c:pt>
                <c:pt idx="2">
                  <c:v>304</c:v>
                </c:pt>
                <c:pt idx="3">
                  <c:v>333</c:v>
                </c:pt>
                <c:pt idx="4">
                  <c:v>254</c:v>
                </c:pt>
                <c:pt idx="5">
                  <c:v>227</c:v>
                </c:pt>
                <c:pt idx="6">
                  <c:v>123</c:v>
                </c:pt>
                <c:pt idx="7">
                  <c:v>162</c:v>
                </c:pt>
                <c:pt idx="8">
                  <c:v>390</c:v>
                </c:pt>
                <c:pt idx="9">
                  <c:v>323</c:v>
                </c:pt>
                <c:pt idx="10">
                  <c:v>284</c:v>
                </c:pt>
                <c:pt idx="11">
                  <c:v>280</c:v>
                </c:pt>
                <c:pt idx="12">
                  <c:v>176</c:v>
                </c:pt>
                <c:pt idx="13">
                  <c:v>150</c:v>
                </c:pt>
                <c:pt idx="14">
                  <c:v>326</c:v>
                </c:pt>
                <c:pt idx="15">
                  <c:v>278</c:v>
                </c:pt>
                <c:pt idx="16">
                  <c:v>278</c:v>
                </c:pt>
                <c:pt idx="17">
                  <c:v>266</c:v>
                </c:pt>
                <c:pt idx="18">
                  <c:v>221</c:v>
                </c:pt>
                <c:pt idx="19">
                  <c:v>198</c:v>
                </c:pt>
                <c:pt idx="20">
                  <c:v>201</c:v>
                </c:pt>
                <c:pt idx="21">
                  <c:v>234</c:v>
                </c:pt>
                <c:pt idx="22">
                  <c:v>377</c:v>
                </c:pt>
                <c:pt idx="23">
                  <c:v>274</c:v>
                </c:pt>
                <c:pt idx="24">
                  <c:v>313</c:v>
                </c:pt>
                <c:pt idx="25">
                  <c:v>319</c:v>
                </c:pt>
                <c:pt idx="26">
                  <c:v>243</c:v>
                </c:pt>
                <c:pt idx="27">
                  <c:v>92</c:v>
                </c:pt>
                <c:pt idx="28">
                  <c:v>344</c:v>
                </c:pt>
                <c:pt idx="29">
                  <c:v>274</c:v>
                </c:pt>
                <c:pt idx="30">
                  <c:v>294</c:v>
                </c:pt>
                <c:pt idx="31">
                  <c:v>259</c:v>
                </c:pt>
                <c:pt idx="32">
                  <c:v>216</c:v>
                </c:pt>
                <c:pt idx="33">
                  <c:v>202</c:v>
                </c:pt>
                <c:pt idx="34">
                  <c:v>156</c:v>
                </c:pt>
                <c:pt idx="35">
                  <c:v>303</c:v>
                </c:pt>
                <c:pt idx="36">
                  <c:v>237</c:v>
                </c:pt>
                <c:pt idx="37">
                  <c:v>334</c:v>
                </c:pt>
                <c:pt idx="38">
                  <c:v>272</c:v>
                </c:pt>
                <c:pt idx="39">
                  <c:v>204</c:v>
                </c:pt>
                <c:pt idx="40">
                  <c:v>156</c:v>
                </c:pt>
                <c:pt idx="41">
                  <c:v>71</c:v>
                </c:pt>
                <c:pt idx="42">
                  <c:v>273</c:v>
                </c:pt>
                <c:pt idx="43">
                  <c:v>263</c:v>
                </c:pt>
                <c:pt idx="44">
                  <c:v>315</c:v>
                </c:pt>
                <c:pt idx="45">
                  <c:v>268</c:v>
                </c:pt>
                <c:pt idx="46">
                  <c:v>284</c:v>
                </c:pt>
                <c:pt idx="47">
                  <c:v>205</c:v>
                </c:pt>
                <c:pt idx="48">
                  <c:v>96</c:v>
                </c:pt>
                <c:pt idx="49">
                  <c:v>133</c:v>
                </c:pt>
                <c:pt idx="50">
                  <c:v>333</c:v>
                </c:pt>
                <c:pt idx="51">
                  <c:v>303</c:v>
                </c:pt>
                <c:pt idx="52">
                  <c:v>241</c:v>
                </c:pt>
                <c:pt idx="53">
                  <c:v>282</c:v>
                </c:pt>
                <c:pt idx="54">
                  <c:v>167</c:v>
                </c:pt>
                <c:pt idx="55">
                  <c:v>82</c:v>
                </c:pt>
                <c:pt idx="56">
                  <c:v>249</c:v>
                </c:pt>
                <c:pt idx="57">
                  <c:v>263</c:v>
                </c:pt>
                <c:pt idx="58">
                  <c:v>249</c:v>
                </c:pt>
                <c:pt idx="59">
                  <c:v>221</c:v>
                </c:pt>
                <c:pt idx="60">
                  <c:v>172</c:v>
                </c:pt>
                <c:pt idx="61">
                  <c:v>138</c:v>
                </c:pt>
                <c:pt idx="62">
                  <c:v>92</c:v>
                </c:pt>
                <c:pt idx="63">
                  <c:v>348</c:v>
                </c:pt>
                <c:pt idx="64">
                  <c:v>353</c:v>
                </c:pt>
                <c:pt idx="65">
                  <c:v>309</c:v>
                </c:pt>
                <c:pt idx="66">
                  <c:v>356</c:v>
                </c:pt>
                <c:pt idx="67">
                  <c:v>316</c:v>
                </c:pt>
                <c:pt idx="68">
                  <c:v>198</c:v>
                </c:pt>
                <c:pt idx="69">
                  <c:v>220</c:v>
                </c:pt>
                <c:pt idx="70">
                  <c:v>392</c:v>
                </c:pt>
                <c:pt idx="71">
                  <c:v>353</c:v>
                </c:pt>
                <c:pt idx="72">
                  <c:v>427</c:v>
                </c:pt>
                <c:pt idx="73">
                  <c:v>446</c:v>
                </c:pt>
                <c:pt idx="74">
                  <c:v>355</c:v>
                </c:pt>
                <c:pt idx="75">
                  <c:v>243</c:v>
                </c:pt>
                <c:pt idx="76">
                  <c:v>179</c:v>
                </c:pt>
                <c:pt idx="77">
                  <c:v>406</c:v>
                </c:pt>
                <c:pt idx="78">
                  <c:v>379</c:v>
                </c:pt>
                <c:pt idx="79">
                  <c:v>439</c:v>
                </c:pt>
                <c:pt idx="80">
                  <c:v>509</c:v>
                </c:pt>
                <c:pt idx="81">
                  <c:v>316</c:v>
                </c:pt>
                <c:pt idx="82">
                  <c:v>189</c:v>
                </c:pt>
                <c:pt idx="83">
                  <c:v>148</c:v>
                </c:pt>
                <c:pt idx="84">
                  <c:v>338</c:v>
                </c:pt>
                <c:pt idx="85">
                  <c:v>369</c:v>
                </c:pt>
                <c:pt idx="86">
                  <c:v>275</c:v>
                </c:pt>
                <c:pt idx="87">
                  <c:v>345</c:v>
                </c:pt>
                <c:pt idx="88">
                  <c:v>235</c:v>
                </c:pt>
                <c:pt idx="89">
                  <c:v>162</c:v>
                </c:pt>
                <c:pt idx="90">
                  <c:v>105</c:v>
                </c:pt>
                <c:pt idx="91">
                  <c:v>171</c:v>
                </c:pt>
                <c:pt idx="92">
                  <c:v>290</c:v>
                </c:pt>
                <c:pt idx="93">
                  <c:v>245</c:v>
                </c:pt>
                <c:pt idx="94">
                  <c:v>228</c:v>
                </c:pt>
                <c:pt idx="95">
                  <c:v>305</c:v>
                </c:pt>
                <c:pt idx="96">
                  <c:v>180</c:v>
                </c:pt>
                <c:pt idx="97">
                  <c:v>180</c:v>
                </c:pt>
                <c:pt idx="98">
                  <c:v>201</c:v>
                </c:pt>
                <c:pt idx="99">
                  <c:v>270</c:v>
                </c:pt>
                <c:pt idx="100">
                  <c:v>242</c:v>
                </c:pt>
                <c:pt idx="101">
                  <c:v>282</c:v>
                </c:pt>
                <c:pt idx="102">
                  <c:v>240</c:v>
                </c:pt>
                <c:pt idx="103">
                  <c:v>187</c:v>
                </c:pt>
                <c:pt idx="104">
                  <c:v>146</c:v>
                </c:pt>
                <c:pt idx="105">
                  <c:v>231</c:v>
                </c:pt>
                <c:pt idx="106">
                  <c:v>285</c:v>
                </c:pt>
                <c:pt idx="107">
                  <c:v>481</c:v>
                </c:pt>
                <c:pt idx="108">
                  <c:v>535</c:v>
                </c:pt>
                <c:pt idx="109">
                  <c:v>285</c:v>
                </c:pt>
                <c:pt idx="110">
                  <c:v>481</c:v>
                </c:pt>
                <c:pt idx="111">
                  <c:v>535</c:v>
                </c:pt>
                <c:pt idx="112">
                  <c:v>395</c:v>
                </c:pt>
                <c:pt idx="113">
                  <c:v>605</c:v>
                </c:pt>
                <c:pt idx="114">
                  <c:v>747</c:v>
                </c:pt>
                <c:pt idx="115">
                  <c:v>678</c:v>
                </c:pt>
                <c:pt idx="116">
                  <c:v>686</c:v>
                </c:pt>
                <c:pt idx="117">
                  <c:v>509</c:v>
                </c:pt>
                <c:pt idx="118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49-4B0D-B8FE-7B3483A1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AXO-LifeStyle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Comportamiento!$E$105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Comportamiento!$F$104:$GT$104</c15:sqref>
                  </c15:fullRef>
                </c:ext>
              </c:extLst>
              <c:f>Comportamiento!$CA$104:$GT$104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Comportamiento!$F$105:$GT$105</c15:sqref>
                  </c15:fullRef>
                </c:ext>
              </c:extLst>
              <c:f>Comportamiento!$CA$105:$GT$105</c:f>
              <c:numCache>
                <c:formatCode>#,##0</c:formatCode>
                <c:ptCount val="119"/>
                <c:pt idx="0">
                  <c:v>985</c:v>
                </c:pt>
                <c:pt idx="1">
                  <c:v>948</c:v>
                </c:pt>
                <c:pt idx="2">
                  <c:v>974</c:v>
                </c:pt>
                <c:pt idx="3">
                  <c:v>830</c:v>
                </c:pt>
                <c:pt idx="4">
                  <c:v>675</c:v>
                </c:pt>
                <c:pt idx="5">
                  <c:v>396</c:v>
                </c:pt>
                <c:pt idx="6">
                  <c:v>310</c:v>
                </c:pt>
                <c:pt idx="7">
                  <c:v>445</c:v>
                </c:pt>
                <c:pt idx="8">
                  <c:v>826</c:v>
                </c:pt>
                <c:pt idx="9">
                  <c:v>757</c:v>
                </c:pt>
                <c:pt idx="10">
                  <c:v>771</c:v>
                </c:pt>
                <c:pt idx="11">
                  <c:v>633</c:v>
                </c:pt>
                <c:pt idx="12">
                  <c:v>399</c:v>
                </c:pt>
                <c:pt idx="13">
                  <c:v>254</c:v>
                </c:pt>
                <c:pt idx="14">
                  <c:v>746</c:v>
                </c:pt>
                <c:pt idx="15">
                  <c:v>788</c:v>
                </c:pt>
                <c:pt idx="16">
                  <c:v>591</c:v>
                </c:pt>
                <c:pt idx="17">
                  <c:v>704</c:v>
                </c:pt>
                <c:pt idx="18">
                  <c:v>629</c:v>
                </c:pt>
                <c:pt idx="19">
                  <c:v>349</c:v>
                </c:pt>
                <c:pt idx="20">
                  <c:v>261</c:v>
                </c:pt>
                <c:pt idx="21">
                  <c:v>760</c:v>
                </c:pt>
                <c:pt idx="22">
                  <c:v>796</c:v>
                </c:pt>
                <c:pt idx="23">
                  <c:v>692</c:v>
                </c:pt>
                <c:pt idx="24">
                  <c:v>617</c:v>
                </c:pt>
                <c:pt idx="25">
                  <c:v>609</c:v>
                </c:pt>
                <c:pt idx="26">
                  <c:v>318</c:v>
                </c:pt>
                <c:pt idx="27">
                  <c:v>240</c:v>
                </c:pt>
                <c:pt idx="28">
                  <c:v>705</c:v>
                </c:pt>
                <c:pt idx="29">
                  <c:v>635</c:v>
                </c:pt>
                <c:pt idx="30">
                  <c:v>548</c:v>
                </c:pt>
                <c:pt idx="31">
                  <c:v>524</c:v>
                </c:pt>
                <c:pt idx="32">
                  <c:v>621</c:v>
                </c:pt>
                <c:pt idx="33">
                  <c:v>420</c:v>
                </c:pt>
                <c:pt idx="34">
                  <c:v>284</c:v>
                </c:pt>
                <c:pt idx="35">
                  <c:v>553</c:v>
                </c:pt>
                <c:pt idx="36">
                  <c:v>629</c:v>
                </c:pt>
                <c:pt idx="37">
                  <c:v>606</c:v>
                </c:pt>
                <c:pt idx="38">
                  <c:v>455</c:v>
                </c:pt>
                <c:pt idx="39">
                  <c:v>388</c:v>
                </c:pt>
                <c:pt idx="40">
                  <c:v>260</c:v>
                </c:pt>
                <c:pt idx="41">
                  <c:v>182</c:v>
                </c:pt>
                <c:pt idx="42">
                  <c:v>623</c:v>
                </c:pt>
                <c:pt idx="43">
                  <c:v>561</c:v>
                </c:pt>
                <c:pt idx="44">
                  <c:v>523</c:v>
                </c:pt>
                <c:pt idx="45">
                  <c:v>437</c:v>
                </c:pt>
                <c:pt idx="46">
                  <c:v>455</c:v>
                </c:pt>
                <c:pt idx="47">
                  <c:v>320</c:v>
                </c:pt>
                <c:pt idx="48">
                  <c:v>237</c:v>
                </c:pt>
                <c:pt idx="49">
                  <c:v>250</c:v>
                </c:pt>
                <c:pt idx="50">
                  <c:v>613</c:v>
                </c:pt>
                <c:pt idx="51">
                  <c:v>546</c:v>
                </c:pt>
                <c:pt idx="52">
                  <c:v>594</c:v>
                </c:pt>
                <c:pt idx="53">
                  <c:v>499</c:v>
                </c:pt>
                <c:pt idx="54">
                  <c:v>295</c:v>
                </c:pt>
                <c:pt idx="55">
                  <c:v>219</c:v>
                </c:pt>
                <c:pt idx="56">
                  <c:v>595</c:v>
                </c:pt>
                <c:pt idx="57">
                  <c:v>465</c:v>
                </c:pt>
                <c:pt idx="58">
                  <c:v>495</c:v>
                </c:pt>
                <c:pt idx="59">
                  <c:v>245</c:v>
                </c:pt>
                <c:pt idx="60">
                  <c:v>239</c:v>
                </c:pt>
                <c:pt idx="61">
                  <c:v>166</c:v>
                </c:pt>
                <c:pt idx="62">
                  <c:v>149</c:v>
                </c:pt>
                <c:pt idx="63">
                  <c:v>581</c:v>
                </c:pt>
                <c:pt idx="64">
                  <c:v>371</c:v>
                </c:pt>
                <c:pt idx="65">
                  <c:v>431</c:v>
                </c:pt>
                <c:pt idx="66">
                  <c:v>353</c:v>
                </c:pt>
                <c:pt idx="67">
                  <c:v>314</c:v>
                </c:pt>
                <c:pt idx="68">
                  <c:v>213</c:v>
                </c:pt>
                <c:pt idx="69">
                  <c:v>174</c:v>
                </c:pt>
                <c:pt idx="70">
                  <c:v>423</c:v>
                </c:pt>
                <c:pt idx="71">
                  <c:v>389</c:v>
                </c:pt>
                <c:pt idx="72">
                  <c:v>344</c:v>
                </c:pt>
                <c:pt idx="73">
                  <c:v>280</c:v>
                </c:pt>
                <c:pt idx="74">
                  <c:v>305</c:v>
                </c:pt>
                <c:pt idx="75">
                  <c:v>182</c:v>
                </c:pt>
                <c:pt idx="76">
                  <c:v>165</c:v>
                </c:pt>
                <c:pt idx="77">
                  <c:v>370</c:v>
                </c:pt>
                <c:pt idx="78">
                  <c:v>375</c:v>
                </c:pt>
                <c:pt idx="79">
                  <c:v>377</c:v>
                </c:pt>
                <c:pt idx="80">
                  <c:v>411</c:v>
                </c:pt>
                <c:pt idx="81">
                  <c:v>555</c:v>
                </c:pt>
                <c:pt idx="82">
                  <c:v>353</c:v>
                </c:pt>
                <c:pt idx="83">
                  <c:v>336</c:v>
                </c:pt>
                <c:pt idx="84">
                  <c:v>852</c:v>
                </c:pt>
                <c:pt idx="85">
                  <c:v>598</c:v>
                </c:pt>
                <c:pt idx="86">
                  <c:v>537</c:v>
                </c:pt>
                <c:pt idx="87">
                  <c:v>515</c:v>
                </c:pt>
                <c:pt idx="88">
                  <c:v>663</c:v>
                </c:pt>
                <c:pt idx="89">
                  <c:v>525</c:v>
                </c:pt>
                <c:pt idx="90">
                  <c:v>452</c:v>
                </c:pt>
                <c:pt idx="91">
                  <c:v>1600</c:v>
                </c:pt>
                <c:pt idx="92">
                  <c:v>1479</c:v>
                </c:pt>
                <c:pt idx="93">
                  <c:v>907</c:v>
                </c:pt>
                <c:pt idx="94">
                  <c:v>2087</c:v>
                </c:pt>
                <c:pt idx="95">
                  <c:v>1675</c:v>
                </c:pt>
                <c:pt idx="96">
                  <c:v>869</c:v>
                </c:pt>
                <c:pt idx="97">
                  <c:v>565</c:v>
                </c:pt>
                <c:pt idx="98">
                  <c:v>2284</c:v>
                </c:pt>
                <c:pt idx="99">
                  <c:v>2104</c:v>
                </c:pt>
                <c:pt idx="100">
                  <c:v>1814</c:v>
                </c:pt>
                <c:pt idx="101">
                  <c:v>2070</c:v>
                </c:pt>
                <c:pt idx="102">
                  <c:v>1870</c:v>
                </c:pt>
                <c:pt idx="103">
                  <c:v>1173</c:v>
                </c:pt>
                <c:pt idx="104">
                  <c:v>457</c:v>
                </c:pt>
                <c:pt idx="105">
                  <c:v>2590</c:v>
                </c:pt>
                <c:pt idx="106">
                  <c:v>2543</c:v>
                </c:pt>
                <c:pt idx="107">
                  <c:v>2804</c:v>
                </c:pt>
                <c:pt idx="108">
                  <c:v>2423</c:v>
                </c:pt>
                <c:pt idx="109">
                  <c:v>2231</c:v>
                </c:pt>
                <c:pt idx="110">
                  <c:v>1144</c:v>
                </c:pt>
                <c:pt idx="111">
                  <c:v>719</c:v>
                </c:pt>
                <c:pt idx="112">
                  <c:v>2516</c:v>
                </c:pt>
                <c:pt idx="113">
                  <c:v>3015</c:v>
                </c:pt>
                <c:pt idx="114">
                  <c:v>2788</c:v>
                </c:pt>
                <c:pt idx="115">
                  <c:v>2410</c:v>
                </c:pt>
                <c:pt idx="116">
                  <c:v>2121</c:v>
                </c:pt>
                <c:pt idx="117">
                  <c:v>915</c:v>
                </c:pt>
                <c:pt idx="118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FC0-AC82-17A5A30CB32D}"/>
            </c:ext>
          </c:extLst>
        </c:ser>
        <c:ser>
          <c:idx val="4"/>
          <c:order val="2"/>
          <c:tx>
            <c:strRef>
              <c:f>Comportamiento!$E$110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Comportamiento!$F$104:$GT$104</c15:sqref>
                  </c15:fullRef>
                </c:ext>
              </c:extLst>
              <c:f>Comportamiento!$CA$104:$GT$104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Comportamiento!$F$110:$GT$110</c15:sqref>
                  </c15:fullRef>
                </c:ext>
              </c:extLst>
              <c:f>Comportamiento!$CA$110:$GT$110</c:f>
              <c:numCache>
                <c:formatCode>#,##0</c:formatCode>
                <c:ptCount val="119"/>
                <c:pt idx="0">
                  <c:v>179</c:v>
                </c:pt>
                <c:pt idx="1">
                  <c:v>169</c:v>
                </c:pt>
                <c:pt idx="2">
                  <c:v>179</c:v>
                </c:pt>
                <c:pt idx="3">
                  <c:v>163</c:v>
                </c:pt>
                <c:pt idx="4">
                  <c:v>58</c:v>
                </c:pt>
                <c:pt idx="5">
                  <c:v>67</c:v>
                </c:pt>
                <c:pt idx="6">
                  <c:v>41</c:v>
                </c:pt>
                <c:pt idx="7">
                  <c:v>80</c:v>
                </c:pt>
                <c:pt idx="8">
                  <c:v>99</c:v>
                </c:pt>
                <c:pt idx="9">
                  <c:v>165</c:v>
                </c:pt>
                <c:pt idx="10">
                  <c:v>33</c:v>
                </c:pt>
                <c:pt idx="11">
                  <c:v>84</c:v>
                </c:pt>
                <c:pt idx="12">
                  <c:v>19</c:v>
                </c:pt>
                <c:pt idx="13">
                  <c:v>43</c:v>
                </c:pt>
                <c:pt idx="14">
                  <c:v>16</c:v>
                </c:pt>
                <c:pt idx="15">
                  <c:v>70</c:v>
                </c:pt>
                <c:pt idx="16">
                  <c:v>93</c:v>
                </c:pt>
                <c:pt idx="17">
                  <c:v>35</c:v>
                </c:pt>
                <c:pt idx="18">
                  <c:v>71</c:v>
                </c:pt>
                <c:pt idx="19">
                  <c:v>71</c:v>
                </c:pt>
                <c:pt idx="20">
                  <c:v>39</c:v>
                </c:pt>
                <c:pt idx="21">
                  <c:v>48</c:v>
                </c:pt>
                <c:pt idx="22">
                  <c:v>80</c:v>
                </c:pt>
                <c:pt idx="23">
                  <c:v>184</c:v>
                </c:pt>
                <c:pt idx="24">
                  <c:v>194</c:v>
                </c:pt>
                <c:pt idx="25">
                  <c:v>140</c:v>
                </c:pt>
                <c:pt idx="26">
                  <c:v>54</c:v>
                </c:pt>
                <c:pt idx="27">
                  <c:v>58</c:v>
                </c:pt>
                <c:pt idx="28">
                  <c:v>10</c:v>
                </c:pt>
                <c:pt idx="29">
                  <c:v>41</c:v>
                </c:pt>
                <c:pt idx="30">
                  <c:v>62</c:v>
                </c:pt>
                <c:pt idx="31">
                  <c:v>18</c:v>
                </c:pt>
                <c:pt idx="32">
                  <c:v>24</c:v>
                </c:pt>
                <c:pt idx="33">
                  <c:v>56</c:v>
                </c:pt>
                <c:pt idx="34">
                  <c:v>30</c:v>
                </c:pt>
                <c:pt idx="35">
                  <c:v>12</c:v>
                </c:pt>
                <c:pt idx="36">
                  <c:v>28</c:v>
                </c:pt>
                <c:pt idx="37">
                  <c:v>25</c:v>
                </c:pt>
                <c:pt idx="38">
                  <c:v>14</c:v>
                </c:pt>
                <c:pt idx="39">
                  <c:v>10</c:v>
                </c:pt>
                <c:pt idx="40">
                  <c:v>16</c:v>
                </c:pt>
                <c:pt idx="41">
                  <c:v>40</c:v>
                </c:pt>
                <c:pt idx="42">
                  <c:v>12</c:v>
                </c:pt>
                <c:pt idx="43">
                  <c:v>37</c:v>
                </c:pt>
                <c:pt idx="44">
                  <c:v>21</c:v>
                </c:pt>
                <c:pt idx="45">
                  <c:v>60</c:v>
                </c:pt>
                <c:pt idx="46">
                  <c:v>17</c:v>
                </c:pt>
                <c:pt idx="47">
                  <c:v>47</c:v>
                </c:pt>
                <c:pt idx="48">
                  <c:v>35</c:v>
                </c:pt>
                <c:pt idx="49">
                  <c:v>48</c:v>
                </c:pt>
                <c:pt idx="50">
                  <c:v>45</c:v>
                </c:pt>
                <c:pt idx="51">
                  <c:v>12</c:v>
                </c:pt>
                <c:pt idx="52">
                  <c:v>13</c:v>
                </c:pt>
                <c:pt idx="53">
                  <c:v>46</c:v>
                </c:pt>
                <c:pt idx="54">
                  <c:v>32</c:v>
                </c:pt>
                <c:pt idx="55">
                  <c:v>23</c:v>
                </c:pt>
                <c:pt idx="56">
                  <c:v>54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34</c:v>
                </c:pt>
                <c:pt idx="62">
                  <c:v>35</c:v>
                </c:pt>
                <c:pt idx="63">
                  <c:v>4</c:v>
                </c:pt>
                <c:pt idx="64">
                  <c:v>19</c:v>
                </c:pt>
                <c:pt idx="65">
                  <c:v>18</c:v>
                </c:pt>
                <c:pt idx="66">
                  <c:v>21</c:v>
                </c:pt>
                <c:pt idx="67">
                  <c:v>15</c:v>
                </c:pt>
                <c:pt idx="68">
                  <c:v>36</c:v>
                </c:pt>
                <c:pt idx="69">
                  <c:v>24</c:v>
                </c:pt>
                <c:pt idx="70">
                  <c:v>16</c:v>
                </c:pt>
                <c:pt idx="71">
                  <c:v>13</c:v>
                </c:pt>
                <c:pt idx="72">
                  <c:v>7</c:v>
                </c:pt>
                <c:pt idx="73">
                  <c:v>13</c:v>
                </c:pt>
                <c:pt idx="74">
                  <c:v>4</c:v>
                </c:pt>
                <c:pt idx="75">
                  <c:v>8</c:v>
                </c:pt>
                <c:pt idx="76">
                  <c:v>10</c:v>
                </c:pt>
                <c:pt idx="77">
                  <c:v>9</c:v>
                </c:pt>
                <c:pt idx="78">
                  <c:v>11</c:v>
                </c:pt>
                <c:pt idx="79">
                  <c:v>27</c:v>
                </c:pt>
                <c:pt idx="80">
                  <c:v>13</c:v>
                </c:pt>
                <c:pt idx="81">
                  <c:v>18</c:v>
                </c:pt>
                <c:pt idx="82">
                  <c:v>51</c:v>
                </c:pt>
                <c:pt idx="83">
                  <c:v>49</c:v>
                </c:pt>
                <c:pt idx="84">
                  <c:v>58</c:v>
                </c:pt>
                <c:pt idx="85">
                  <c:v>46</c:v>
                </c:pt>
                <c:pt idx="86">
                  <c:v>193</c:v>
                </c:pt>
                <c:pt idx="87">
                  <c:v>119</c:v>
                </c:pt>
                <c:pt idx="88">
                  <c:v>97</c:v>
                </c:pt>
                <c:pt idx="89">
                  <c:v>96</c:v>
                </c:pt>
                <c:pt idx="90">
                  <c:v>833</c:v>
                </c:pt>
                <c:pt idx="91">
                  <c:v>787</c:v>
                </c:pt>
                <c:pt idx="92">
                  <c:v>787</c:v>
                </c:pt>
                <c:pt idx="93">
                  <c:v>1241</c:v>
                </c:pt>
                <c:pt idx="94">
                  <c:v>1887</c:v>
                </c:pt>
                <c:pt idx="95">
                  <c:v>1976</c:v>
                </c:pt>
                <c:pt idx="96">
                  <c:v>2116</c:v>
                </c:pt>
                <c:pt idx="97">
                  <c:v>2001</c:v>
                </c:pt>
                <c:pt idx="98">
                  <c:v>1930</c:v>
                </c:pt>
                <c:pt idx="99">
                  <c:v>2168</c:v>
                </c:pt>
                <c:pt idx="100">
                  <c:v>2483</c:v>
                </c:pt>
                <c:pt idx="101">
                  <c:v>2225</c:v>
                </c:pt>
                <c:pt idx="102">
                  <c:v>1796</c:v>
                </c:pt>
                <c:pt idx="103">
                  <c:v>1898</c:v>
                </c:pt>
                <c:pt idx="104">
                  <c:v>1970</c:v>
                </c:pt>
                <c:pt idx="105">
                  <c:v>1724</c:v>
                </c:pt>
                <c:pt idx="106">
                  <c:v>1852</c:v>
                </c:pt>
                <c:pt idx="107">
                  <c:v>1947</c:v>
                </c:pt>
                <c:pt idx="108">
                  <c:v>2192</c:v>
                </c:pt>
                <c:pt idx="109">
                  <c:v>2234</c:v>
                </c:pt>
                <c:pt idx="110">
                  <c:v>2227</c:v>
                </c:pt>
                <c:pt idx="111">
                  <c:v>2258</c:v>
                </c:pt>
                <c:pt idx="112">
                  <c:v>1979</c:v>
                </c:pt>
                <c:pt idx="113">
                  <c:v>1902</c:v>
                </c:pt>
                <c:pt idx="114">
                  <c:v>2048</c:v>
                </c:pt>
                <c:pt idx="115">
                  <c:v>1961</c:v>
                </c:pt>
                <c:pt idx="116">
                  <c:v>2086</c:v>
                </c:pt>
                <c:pt idx="117">
                  <c:v>2079</c:v>
                </c:pt>
                <c:pt idx="118">
                  <c:v>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D-4FC0-AC82-17A5A30CB32D}"/>
            </c:ext>
          </c:extLst>
        </c:ser>
        <c:ser>
          <c:idx val="5"/>
          <c:order val="3"/>
          <c:tx>
            <c:strRef>
              <c:f>Comportamiento!$E$113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Comportamiento!$F$104:$GT$104</c15:sqref>
                  </c15:fullRef>
                </c:ext>
              </c:extLst>
              <c:f>Comportamiento!$CA$104:$GT$104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Comportamiento!$F$113:$GT$113</c15:sqref>
                  </c15:fullRef>
                </c:ext>
              </c:extLst>
              <c:f>Comportamiento!$CA$113:$GT$113</c:f>
              <c:numCache>
                <c:formatCode>#,##0</c:formatCode>
                <c:ptCount val="119"/>
                <c:pt idx="0">
                  <c:v>1522</c:v>
                </c:pt>
                <c:pt idx="1">
                  <c:v>1437</c:v>
                </c:pt>
                <c:pt idx="2">
                  <c:v>1297</c:v>
                </c:pt>
                <c:pt idx="3">
                  <c:v>1195</c:v>
                </c:pt>
                <c:pt idx="4">
                  <c:v>733</c:v>
                </c:pt>
                <c:pt idx="5">
                  <c:v>463</c:v>
                </c:pt>
                <c:pt idx="6">
                  <c:v>351</c:v>
                </c:pt>
                <c:pt idx="7">
                  <c:v>525</c:v>
                </c:pt>
                <c:pt idx="8">
                  <c:v>925</c:v>
                </c:pt>
                <c:pt idx="9">
                  <c:v>922</c:v>
                </c:pt>
                <c:pt idx="10">
                  <c:v>804</c:v>
                </c:pt>
                <c:pt idx="11">
                  <c:v>717</c:v>
                </c:pt>
                <c:pt idx="12">
                  <c:v>418</c:v>
                </c:pt>
                <c:pt idx="13">
                  <c:v>297</c:v>
                </c:pt>
                <c:pt idx="14">
                  <c:v>762</c:v>
                </c:pt>
                <c:pt idx="15">
                  <c:v>858</c:v>
                </c:pt>
                <c:pt idx="16">
                  <c:v>684</c:v>
                </c:pt>
                <c:pt idx="17">
                  <c:v>739</c:v>
                </c:pt>
                <c:pt idx="18">
                  <c:v>700</c:v>
                </c:pt>
                <c:pt idx="19">
                  <c:v>420</c:v>
                </c:pt>
                <c:pt idx="20">
                  <c:v>300</c:v>
                </c:pt>
                <c:pt idx="21">
                  <c:v>808</c:v>
                </c:pt>
                <c:pt idx="22">
                  <c:v>876</c:v>
                </c:pt>
                <c:pt idx="23">
                  <c:v>876</c:v>
                </c:pt>
                <c:pt idx="24">
                  <c:v>811</c:v>
                </c:pt>
                <c:pt idx="25">
                  <c:v>749</c:v>
                </c:pt>
                <c:pt idx="26">
                  <c:v>372</c:v>
                </c:pt>
                <c:pt idx="27">
                  <c:v>298</c:v>
                </c:pt>
                <c:pt idx="28">
                  <c:v>715</c:v>
                </c:pt>
                <c:pt idx="29">
                  <c:v>676</c:v>
                </c:pt>
                <c:pt idx="30">
                  <c:v>610</c:v>
                </c:pt>
                <c:pt idx="31">
                  <c:v>542</c:v>
                </c:pt>
                <c:pt idx="32">
                  <c:v>645</c:v>
                </c:pt>
                <c:pt idx="33">
                  <c:v>476</c:v>
                </c:pt>
                <c:pt idx="34">
                  <c:v>314</c:v>
                </c:pt>
                <c:pt idx="35">
                  <c:v>565</c:v>
                </c:pt>
                <c:pt idx="36">
                  <c:v>657</c:v>
                </c:pt>
                <c:pt idx="37">
                  <c:v>631</c:v>
                </c:pt>
                <c:pt idx="38">
                  <c:v>469</c:v>
                </c:pt>
                <c:pt idx="39">
                  <c:v>398</c:v>
                </c:pt>
                <c:pt idx="40">
                  <c:v>276</c:v>
                </c:pt>
                <c:pt idx="41">
                  <c:v>222</c:v>
                </c:pt>
                <c:pt idx="42">
                  <c:v>635</c:v>
                </c:pt>
                <c:pt idx="43">
                  <c:v>598</c:v>
                </c:pt>
                <c:pt idx="44">
                  <c:v>544</c:v>
                </c:pt>
                <c:pt idx="45">
                  <c:v>497</c:v>
                </c:pt>
                <c:pt idx="46">
                  <c:v>472</c:v>
                </c:pt>
                <c:pt idx="47">
                  <c:v>367</c:v>
                </c:pt>
                <c:pt idx="48">
                  <c:v>272</c:v>
                </c:pt>
                <c:pt idx="49">
                  <c:v>298</c:v>
                </c:pt>
                <c:pt idx="50">
                  <c:v>658</c:v>
                </c:pt>
                <c:pt idx="51">
                  <c:v>558</c:v>
                </c:pt>
                <c:pt idx="52">
                  <c:v>607</c:v>
                </c:pt>
                <c:pt idx="53">
                  <c:v>545</c:v>
                </c:pt>
                <c:pt idx="54">
                  <c:v>327</c:v>
                </c:pt>
                <c:pt idx="55">
                  <c:v>242</c:v>
                </c:pt>
                <c:pt idx="56">
                  <c:v>649</c:v>
                </c:pt>
                <c:pt idx="57">
                  <c:v>476</c:v>
                </c:pt>
                <c:pt idx="58">
                  <c:v>507</c:v>
                </c:pt>
                <c:pt idx="59">
                  <c:v>257</c:v>
                </c:pt>
                <c:pt idx="60">
                  <c:v>251</c:v>
                </c:pt>
                <c:pt idx="61">
                  <c:v>200</c:v>
                </c:pt>
                <c:pt idx="62">
                  <c:v>184</c:v>
                </c:pt>
                <c:pt idx="63">
                  <c:v>585</c:v>
                </c:pt>
                <c:pt idx="64">
                  <c:v>390</c:v>
                </c:pt>
                <c:pt idx="65">
                  <c:v>449</c:v>
                </c:pt>
                <c:pt idx="66">
                  <c:v>374</c:v>
                </c:pt>
                <c:pt idx="67">
                  <c:v>329</c:v>
                </c:pt>
                <c:pt idx="68">
                  <c:v>249</c:v>
                </c:pt>
                <c:pt idx="69">
                  <c:v>198</c:v>
                </c:pt>
                <c:pt idx="70">
                  <c:v>439</c:v>
                </c:pt>
                <c:pt idx="71">
                  <c:v>402</c:v>
                </c:pt>
                <c:pt idx="72">
                  <c:v>351</c:v>
                </c:pt>
                <c:pt idx="73">
                  <c:v>293</c:v>
                </c:pt>
                <c:pt idx="74">
                  <c:v>309</c:v>
                </c:pt>
                <c:pt idx="75">
                  <c:v>190</c:v>
                </c:pt>
                <c:pt idx="76">
                  <c:v>175</c:v>
                </c:pt>
                <c:pt idx="77">
                  <c:v>379</c:v>
                </c:pt>
                <c:pt idx="78">
                  <c:v>386</c:v>
                </c:pt>
                <c:pt idx="79">
                  <c:v>404</c:v>
                </c:pt>
                <c:pt idx="80">
                  <c:v>424</c:v>
                </c:pt>
                <c:pt idx="81">
                  <c:v>573</c:v>
                </c:pt>
                <c:pt idx="82">
                  <c:v>404</c:v>
                </c:pt>
                <c:pt idx="83">
                  <c:v>385</c:v>
                </c:pt>
                <c:pt idx="84">
                  <c:v>910</c:v>
                </c:pt>
                <c:pt idx="85">
                  <c:v>644</c:v>
                </c:pt>
                <c:pt idx="86">
                  <c:v>730</c:v>
                </c:pt>
                <c:pt idx="87">
                  <c:v>634</c:v>
                </c:pt>
                <c:pt idx="88">
                  <c:v>760</c:v>
                </c:pt>
                <c:pt idx="89">
                  <c:v>761</c:v>
                </c:pt>
                <c:pt idx="90">
                  <c:v>571</c:v>
                </c:pt>
                <c:pt idx="91">
                  <c:v>2354</c:v>
                </c:pt>
                <c:pt idx="92">
                  <c:v>2266</c:v>
                </c:pt>
                <c:pt idx="93">
                  <c:v>2148</c:v>
                </c:pt>
                <c:pt idx="94">
                  <c:v>4063</c:v>
                </c:pt>
                <c:pt idx="95">
                  <c:v>3762</c:v>
                </c:pt>
                <c:pt idx="96">
                  <c:v>2886</c:v>
                </c:pt>
                <c:pt idx="97">
                  <c:v>2458</c:v>
                </c:pt>
                <c:pt idx="98">
                  <c:v>4469</c:v>
                </c:pt>
                <c:pt idx="99">
                  <c:v>4272</c:v>
                </c:pt>
                <c:pt idx="100">
                  <c:v>4297</c:v>
                </c:pt>
                <c:pt idx="101">
                  <c:v>4295</c:v>
                </c:pt>
                <c:pt idx="102">
                  <c:v>3666</c:v>
                </c:pt>
                <c:pt idx="103">
                  <c:v>3071</c:v>
                </c:pt>
                <c:pt idx="104">
                  <c:v>2427</c:v>
                </c:pt>
                <c:pt idx="105">
                  <c:v>4314</c:v>
                </c:pt>
                <c:pt idx="106">
                  <c:v>4395</c:v>
                </c:pt>
                <c:pt idx="107">
                  <c:v>4751</c:v>
                </c:pt>
                <c:pt idx="108">
                  <c:v>4615</c:v>
                </c:pt>
                <c:pt idx="109">
                  <c:v>4465</c:v>
                </c:pt>
                <c:pt idx="110">
                  <c:v>3371</c:v>
                </c:pt>
                <c:pt idx="111">
                  <c:v>2977</c:v>
                </c:pt>
                <c:pt idx="112">
                  <c:v>4495</c:v>
                </c:pt>
                <c:pt idx="113">
                  <c:v>4917</c:v>
                </c:pt>
                <c:pt idx="114">
                  <c:v>4836</c:v>
                </c:pt>
                <c:pt idx="115">
                  <c:v>4371</c:v>
                </c:pt>
                <c:pt idx="116">
                  <c:v>4207</c:v>
                </c:pt>
                <c:pt idx="117">
                  <c:v>2994</c:v>
                </c:pt>
                <c:pt idx="118">
                  <c:v>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D-4FC0-AC82-17A5A30C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3"/>
          <c:order val="0"/>
          <c:tx>
            <c:strRef>
              <c:f>Comportamiento!$E$112</c:f>
              <c:strCache>
                <c:ptCount val="1"/>
                <c:pt idx="0">
                  <c:v>Pronóstico</c:v>
                </c:pt>
              </c:strCache>
            </c:strRef>
          </c:tx>
          <c:spPr>
            <a:ln w="34925" cap="rnd">
              <a:solidFill>
                <a:schemeClr val="accent3">
                  <a:tint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Comportamiento!$F$104:$GT$104</c15:sqref>
                  </c15:fullRef>
                </c:ext>
              </c:extLst>
              <c:f>Comportamiento!$CA$104:$GT$104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Comportamiento!$F$112:$GT$112</c15:sqref>
                  </c15:fullRef>
                </c:ext>
              </c:extLst>
              <c:f>Comportamiento!$CA$112:$GT$112</c:f>
              <c:numCache>
                <c:formatCode>#,##0</c:formatCode>
                <c:ptCount val="119"/>
                <c:pt idx="0">
                  <c:v>1343</c:v>
                </c:pt>
                <c:pt idx="1">
                  <c:v>1268</c:v>
                </c:pt>
                <c:pt idx="2">
                  <c:v>1118</c:v>
                </c:pt>
                <c:pt idx="3">
                  <c:v>1032</c:v>
                </c:pt>
                <c:pt idx="4">
                  <c:v>943</c:v>
                </c:pt>
                <c:pt idx="5">
                  <c:v>508</c:v>
                </c:pt>
                <c:pt idx="6">
                  <c:v>346</c:v>
                </c:pt>
                <c:pt idx="7">
                  <c:v>404</c:v>
                </c:pt>
                <c:pt idx="8">
                  <c:v>948</c:v>
                </c:pt>
                <c:pt idx="9">
                  <c:v>827</c:v>
                </c:pt>
                <c:pt idx="10">
                  <c:v>777</c:v>
                </c:pt>
                <c:pt idx="11">
                  <c:v>726</c:v>
                </c:pt>
                <c:pt idx="12">
                  <c:v>420</c:v>
                </c:pt>
                <c:pt idx="13">
                  <c:v>272</c:v>
                </c:pt>
                <c:pt idx="14">
                  <c:v>834</c:v>
                </c:pt>
                <c:pt idx="15">
                  <c:v>743</c:v>
                </c:pt>
                <c:pt idx="16">
                  <c:v>706</c:v>
                </c:pt>
                <c:pt idx="17">
                  <c:v>664</c:v>
                </c:pt>
                <c:pt idx="18">
                  <c:v>584</c:v>
                </c:pt>
                <c:pt idx="19">
                  <c:v>368</c:v>
                </c:pt>
                <c:pt idx="20">
                  <c:v>230</c:v>
                </c:pt>
                <c:pt idx="21">
                  <c:v>764</c:v>
                </c:pt>
                <c:pt idx="22">
                  <c:v>703</c:v>
                </c:pt>
                <c:pt idx="23">
                  <c:v>692</c:v>
                </c:pt>
                <c:pt idx="24">
                  <c:v>656</c:v>
                </c:pt>
                <c:pt idx="25">
                  <c:v>555</c:v>
                </c:pt>
                <c:pt idx="26">
                  <c:v>346</c:v>
                </c:pt>
                <c:pt idx="27">
                  <c:v>241</c:v>
                </c:pt>
                <c:pt idx="28">
                  <c:v>705</c:v>
                </c:pt>
                <c:pt idx="29">
                  <c:v>692</c:v>
                </c:pt>
                <c:pt idx="30">
                  <c:v>635</c:v>
                </c:pt>
                <c:pt idx="31">
                  <c:v>674</c:v>
                </c:pt>
                <c:pt idx="32">
                  <c:v>582</c:v>
                </c:pt>
                <c:pt idx="33">
                  <c:v>319</c:v>
                </c:pt>
                <c:pt idx="34">
                  <c:v>212</c:v>
                </c:pt>
                <c:pt idx="35">
                  <c:v>657</c:v>
                </c:pt>
                <c:pt idx="36">
                  <c:v>627</c:v>
                </c:pt>
                <c:pt idx="37">
                  <c:v>557</c:v>
                </c:pt>
                <c:pt idx="38">
                  <c:v>511</c:v>
                </c:pt>
                <c:pt idx="39">
                  <c:v>458</c:v>
                </c:pt>
                <c:pt idx="40">
                  <c:v>299</c:v>
                </c:pt>
                <c:pt idx="41">
                  <c:v>217</c:v>
                </c:pt>
                <c:pt idx="42">
                  <c:v>599</c:v>
                </c:pt>
                <c:pt idx="43">
                  <c:v>565</c:v>
                </c:pt>
                <c:pt idx="44">
                  <c:v>526</c:v>
                </c:pt>
                <c:pt idx="45">
                  <c:v>483</c:v>
                </c:pt>
                <c:pt idx="46">
                  <c:v>465</c:v>
                </c:pt>
                <c:pt idx="47">
                  <c:v>275</c:v>
                </c:pt>
                <c:pt idx="48">
                  <c:v>193</c:v>
                </c:pt>
                <c:pt idx="49">
                  <c:v>215</c:v>
                </c:pt>
                <c:pt idx="50">
                  <c:v>611</c:v>
                </c:pt>
                <c:pt idx="51">
                  <c:v>566</c:v>
                </c:pt>
                <c:pt idx="52">
                  <c:v>499</c:v>
                </c:pt>
                <c:pt idx="53">
                  <c:v>454</c:v>
                </c:pt>
                <c:pt idx="54">
                  <c:v>302</c:v>
                </c:pt>
                <c:pt idx="55">
                  <c:v>215</c:v>
                </c:pt>
                <c:pt idx="56">
                  <c:v>602</c:v>
                </c:pt>
                <c:pt idx="57">
                  <c:v>577</c:v>
                </c:pt>
                <c:pt idx="58">
                  <c:v>506</c:v>
                </c:pt>
                <c:pt idx="59">
                  <c:v>281</c:v>
                </c:pt>
                <c:pt idx="60">
                  <c:v>251</c:v>
                </c:pt>
                <c:pt idx="61">
                  <c:v>185</c:v>
                </c:pt>
                <c:pt idx="62">
                  <c:v>163</c:v>
                </c:pt>
                <c:pt idx="63">
                  <c:v>594</c:v>
                </c:pt>
                <c:pt idx="64">
                  <c:v>465</c:v>
                </c:pt>
                <c:pt idx="65">
                  <c:v>450</c:v>
                </c:pt>
                <c:pt idx="66">
                  <c:v>396</c:v>
                </c:pt>
                <c:pt idx="67">
                  <c:v>353</c:v>
                </c:pt>
                <c:pt idx="68">
                  <c:v>225</c:v>
                </c:pt>
                <c:pt idx="69">
                  <c:v>186</c:v>
                </c:pt>
                <c:pt idx="70">
                  <c:v>450</c:v>
                </c:pt>
                <c:pt idx="71">
                  <c:v>409</c:v>
                </c:pt>
                <c:pt idx="72">
                  <c:v>390</c:v>
                </c:pt>
                <c:pt idx="73">
                  <c:v>360</c:v>
                </c:pt>
                <c:pt idx="74">
                  <c:v>344</c:v>
                </c:pt>
                <c:pt idx="75">
                  <c:v>234</c:v>
                </c:pt>
                <c:pt idx="76">
                  <c:v>161</c:v>
                </c:pt>
                <c:pt idx="77">
                  <c:v>393</c:v>
                </c:pt>
                <c:pt idx="78">
                  <c:v>371</c:v>
                </c:pt>
                <c:pt idx="79">
                  <c:v>345</c:v>
                </c:pt>
                <c:pt idx="80">
                  <c:v>353</c:v>
                </c:pt>
                <c:pt idx="81">
                  <c:v>330</c:v>
                </c:pt>
                <c:pt idx="82">
                  <c:v>248</c:v>
                </c:pt>
                <c:pt idx="83">
                  <c:v>165</c:v>
                </c:pt>
                <c:pt idx="84">
                  <c:v>753</c:v>
                </c:pt>
                <c:pt idx="85">
                  <c:v>697</c:v>
                </c:pt>
                <c:pt idx="86">
                  <c:v>661</c:v>
                </c:pt>
                <c:pt idx="87">
                  <c:v>505</c:v>
                </c:pt>
                <c:pt idx="88">
                  <c:v>466</c:v>
                </c:pt>
                <c:pt idx="89">
                  <c:v>247</c:v>
                </c:pt>
                <c:pt idx="90">
                  <c:v>186</c:v>
                </c:pt>
                <c:pt idx="91">
                  <c:v>793</c:v>
                </c:pt>
                <c:pt idx="92">
                  <c:v>735</c:v>
                </c:pt>
                <c:pt idx="93">
                  <c:v>508</c:v>
                </c:pt>
                <c:pt idx="94">
                  <c:v>1610</c:v>
                </c:pt>
                <c:pt idx="95">
                  <c:v>1328</c:v>
                </c:pt>
                <c:pt idx="96">
                  <c:v>938</c:v>
                </c:pt>
                <c:pt idx="97">
                  <c:v>789</c:v>
                </c:pt>
                <c:pt idx="98">
                  <c:v>1822</c:v>
                </c:pt>
                <c:pt idx="99">
                  <c:v>1763</c:v>
                </c:pt>
                <c:pt idx="100">
                  <c:v>1642</c:v>
                </c:pt>
                <c:pt idx="101">
                  <c:v>1857</c:v>
                </c:pt>
                <c:pt idx="102">
                  <c:v>1671</c:v>
                </c:pt>
                <c:pt idx="103">
                  <c:v>1100</c:v>
                </c:pt>
                <c:pt idx="104">
                  <c:v>725</c:v>
                </c:pt>
                <c:pt idx="105">
                  <c:v>2339</c:v>
                </c:pt>
                <c:pt idx="106">
                  <c:v>2239</c:v>
                </c:pt>
                <c:pt idx="107">
                  <c:v>3415</c:v>
                </c:pt>
                <c:pt idx="108">
                  <c:v>3679</c:v>
                </c:pt>
                <c:pt idx="109">
                  <c:v>3789</c:v>
                </c:pt>
                <c:pt idx="110">
                  <c:v>2756</c:v>
                </c:pt>
                <c:pt idx="111">
                  <c:v>2005</c:v>
                </c:pt>
                <c:pt idx="112">
                  <c:v>2771</c:v>
                </c:pt>
                <c:pt idx="113">
                  <c:v>2764</c:v>
                </c:pt>
                <c:pt idx="114">
                  <c:v>2882</c:v>
                </c:pt>
                <c:pt idx="115">
                  <c:v>2707</c:v>
                </c:pt>
                <c:pt idx="116">
                  <c:v>2126</c:v>
                </c:pt>
                <c:pt idx="117">
                  <c:v>1111</c:v>
                </c:pt>
                <c:pt idx="118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D-4FC0-AC82-17A5A30CB32D}"/>
            </c:ext>
          </c:extLst>
        </c:ser>
        <c:ser>
          <c:idx val="1"/>
          <c:order val="4"/>
          <c:tx>
            <c:strRef>
              <c:f>Comportamiento!$E$106</c:f>
              <c:strCache>
                <c:ptCount val="1"/>
                <c:pt idx="0">
                  <c:v>Capacidad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Comportamiento!$F$104:$GT$104</c15:sqref>
                  </c15:fullRef>
                </c:ext>
              </c:extLst>
              <c:f>Comportamiento!$CA$104:$GT$104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Comportamiento!$F$106:$GT$106</c15:sqref>
                  </c15:fullRef>
                </c:ext>
              </c:extLst>
              <c:f>Comportamiento!$CA$106:$GT$106</c:f>
              <c:numCache>
                <c:formatCode>#,##0</c:formatCode>
                <c:ptCount val="119"/>
                <c:pt idx="0">
                  <c:v>1598</c:v>
                </c:pt>
                <c:pt idx="1">
                  <c:v>1598</c:v>
                </c:pt>
                <c:pt idx="2">
                  <c:v>1598</c:v>
                </c:pt>
                <c:pt idx="3">
                  <c:v>1598</c:v>
                </c:pt>
                <c:pt idx="4">
                  <c:v>1598</c:v>
                </c:pt>
                <c:pt idx="5">
                  <c:v>760</c:v>
                </c:pt>
                <c:pt idx="6">
                  <c:v>591</c:v>
                </c:pt>
                <c:pt idx="7">
                  <c:v>550</c:v>
                </c:pt>
                <c:pt idx="8">
                  <c:v>1406</c:v>
                </c:pt>
                <c:pt idx="9">
                  <c:v>1406</c:v>
                </c:pt>
                <c:pt idx="10">
                  <c:v>1406</c:v>
                </c:pt>
                <c:pt idx="11">
                  <c:v>1406</c:v>
                </c:pt>
                <c:pt idx="12">
                  <c:v>760</c:v>
                </c:pt>
                <c:pt idx="13">
                  <c:v>558</c:v>
                </c:pt>
                <c:pt idx="14">
                  <c:v>1406</c:v>
                </c:pt>
                <c:pt idx="15">
                  <c:v>1406</c:v>
                </c:pt>
                <c:pt idx="16">
                  <c:v>1256</c:v>
                </c:pt>
                <c:pt idx="17">
                  <c:v>1256</c:v>
                </c:pt>
                <c:pt idx="18">
                  <c:v>1256</c:v>
                </c:pt>
                <c:pt idx="19">
                  <c:v>613</c:v>
                </c:pt>
                <c:pt idx="20">
                  <c:v>479</c:v>
                </c:pt>
                <c:pt idx="21">
                  <c:v>1256</c:v>
                </c:pt>
                <c:pt idx="22">
                  <c:v>1256</c:v>
                </c:pt>
                <c:pt idx="23">
                  <c:v>1256</c:v>
                </c:pt>
                <c:pt idx="24">
                  <c:v>1256</c:v>
                </c:pt>
                <c:pt idx="25">
                  <c:v>1256</c:v>
                </c:pt>
                <c:pt idx="26">
                  <c:v>685</c:v>
                </c:pt>
                <c:pt idx="27">
                  <c:v>613</c:v>
                </c:pt>
                <c:pt idx="28">
                  <c:v>1256</c:v>
                </c:pt>
                <c:pt idx="29">
                  <c:v>1256</c:v>
                </c:pt>
                <c:pt idx="30">
                  <c:v>1256</c:v>
                </c:pt>
                <c:pt idx="31">
                  <c:v>1256</c:v>
                </c:pt>
                <c:pt idx="32">
                  <c:v>1256</c:v>
                </c:pt>
                <c:pt idx="33">
                  <c:v>613</c:v>
                </c:pt>
                <c:pt idx="34">
                  <c:v>613</c:v>
                </c:pt>
                <c:pt idx="35">
                  <c:v>1256</c:v>
                </c:pt>
                <c:pt idx="36">
                  <c:v>1256</c:v>
                </c:pt>
                <c:pt idx="37">
                  <c:v>1256</c:v>
                </c:pt>
                <c:pt idx="38">
                  <c:v>1188</c:v>
                </c:pt>
                <c:pt idx="39">
                  <c:v>1188</c:v>
                </c:pt>
                <c:pt idx="40">
                  <c:v>618</c:v>
                </c:pt>
                <c:pt idx="41">
                  <c:v>542</c:v>
                </c:pt>
                <c:pt idx="42">
                  <c:v>996</c:v>
                </c:pt>
                <c:pt idx="43">
                  <c:v>996</c:v>
                </c:pt>
                <c:pt idx="44">
                  <c:v>996</c:v>
                </c:pt>
                <c:pt idx="45">
                  <c:v>996</c:v>
                </c:pt>
                <c:pt idx="46">
                  <c:v>996</c:v>
                </c:pt>
                <c:pt idx="47">
                  <c:v>618</c:v>
                </c:pt>
                <c:pt idx="48">
                  <c:v>546</c:v>
                </c:pt>
                <c:pt idx="49">
                  <c:v>549</c:v>
                </c:pt>
                <c:pt idx="50">
                  <c:v>996</c:v>
                </c:pt>
                <c:pt idx="51">
                  <c:v>996</c:v>
                </c:pt>
                <c:pt idx="52">
                  <c:v>996</c:v>
                </c:pt>
                <c:pt idx="53">
                  <c:v>996</c:v>
                </c:pt>
                <c:pt idx="54">
                  <c:v>618</c:v>
                </c:pt>
                <c:pt idx="55">
                  <c:v>544</c:v>
                </c:pt>
                <c:pt idx="56">
                  <c:v>996</c:v>
                </c:pt>
                <c:pt idx="57">
                  <c:v>996</c:v>
                </c:pt>
                <c:pt idx="58">
                  <c:v>996</c:v>
                </c:pt>
                <c:pt idx="59">
                  <c:v>996</c:v>
                </c:pt>
                <c:pt idx="60">
                  <c:v>996</c:v>
                </c:pt>
                <c:pt idx="61">
                  <c:v>552</c:v>
                </c:pt>
                <c:pt idx="62">
                  <c:v>479</c:v>
                </c:pt>
                <c:pt idx="63">
                  <c:v>996</c:v>
                </c:pt>
                <c:pt idx="64">
                  <c:v>996</c:v>
                </c:pt>
                <c:pt idx="65">
                  <c:v>996</c:v>
                </c:pt>
                <c:pt idx="66">
                  <c:v>996</c:v>
                </c:pt>
                <c:pt idx="67">
                  <c:v>996</c:v>
                </c:pt>
                <c:pt idx="68">
                  <c:v>582</c:v>
                </c:pt>
                <c:pt idx="69">
                  <c:v>479</c:v>
                </c:pt>
                <c:pt idx="70">
                  <c:v>1086</c:v>
                </c:pt>
                <c:pt idx="71">
                  <c:v>1086</c:v>
                </c:pt>
                <c:pt idx="72">
                  <c:v>1086</c:v>
                </c:pt>
                <c:pt idx="73">
                  <c:v>1086</c:v>
                </c:pt>
                <c:pt idx="74">
                  <c:v>1086</c:v>
                </c:pt>
                <c:pt idx="75">
                  <c:v>582</c:v>
                </c:pt>
                <c:pt idx="76">
                  <c:v>479</c:v>
                </c:pt>
                <c:pt idx="77">
                  <c:v>1086</c:v>
                </c:pt>
                <c:pt idx="78">
                  <c:v>1086</c:v>
                </c:pt>
                <c:pt idx="79">
                  <c:v>1086</c:v>
                </c:pt>
                <c:pt idx="80">
                  <c:v>1086</c:v>
                </c:pt>
                <c:pt idx="81">
                  <c:v>1086</c:v>
                </c:pt>
                <c:pt idx="82">
                  <c:v>582</c:v>
                </c:pt>
                <c:pt idx="83">
                  <c:v>479</c:v>
                </c:pt>
                <c:pt idx="84">
                  <c:v>1086</c:v>
                </c:pt>
                <c:pt idx="85">
                  <c:v>1086</c:v>
                </c:pt>
                <c:pt idx="86">
                  <c:v>1086</c:v>
                </c:pt>
                <c:pt idx="87">
                  <c:v>1086</c:v>
                </c:pt>
                <c:pt idx="88">
                  <c:v>1086</c:v>
                </c:pt>
                <c:pt idx="89">
                  <c:v>404</c:v>
                </c:pt>
                <c:pt idx="90">
                  <c:v>483</c:v>
                </c:pt>
                <c:pt idx="91">
                  <c:v>1086</c:v>
                </c:pt>
                <c:pt idx="92">
                  <c:v>1086</c:v>
                </c:pt>
                <c:pt idx="93">
                  <c:v>549</c:v>
                </c:pt>
                <c:pt idx="94">
                  <c:v>1086</c:v>
                </c:pt>
                <c:pt idx="95">
                  <c:v>1086</c:v>
                </c:pt>
                <c:pt idx="96">
                  <c:v>479</c:v>
                </c:pt>
                <c:pt idx="97">
                  <c:v>344</c:v>
                </c:pt>
                <c:pt idx="98">
                  <c:v>1086</c:v>
                </c:pt>
                <c:pt idx="99">
                  <c:v>1086</c:v>
                </c:pt>
                <c:pt idx="100">
                  <c:v>1086</c:v>
                </c:pt>
                <c:pt idx="101">
                  <c:v>1086</c:v>
                </c:pt>
                <c:pt idx="102">
                  <c:v>1086</c:v>
                </c:pt>
                <c:pt idx="103">
                  <c:v>483</c:v>
                </c:pt>
                <c:pt idx="104">
                  <c:v>407</c:v>
                </c:pt>
                <c:pt idx="105">
                  <c:v>1086</c:v>
                </c:pt>
                <c:pt idx="106">
                  <c:v>1231</c:v>
                </c:pt>
                <c:pt idx="107">
                  <c:v>1158</c:v>
                </c:pt>
                <c:pt idx="108">
                  <c:v>1158</c:v>
                </c:pt>
                <c:pt idx="109">
                  <c:v>1256</c:v>
                </c:pt>
                <c:pt idx="110">
                  <c:v>586</c:v>
                </c:pt>
                <c:pt idx="111">
                  <c:v>671</c:v>
                </c:pt>
                <c:pt idx="112">
                  <c:v>1256</c:v>
                </c:pt>
                <c:pt idx="113">
                  <c:v>1256</c:v>
                </c:pt>
                <c:pt idx="114">
                  <c:v>1256</c:v>
                </c:pt>
                <c:pt idx="115">
                  <c:v>1256</c:v>
                </c:pt>
                <c:pt idx="116">
                  <c:v>1256</c:v>
                </c:pt>
                <c:pt idx="117">
                  <c:v>632</c:v>
                </c:pt>
                <c:pt idx="118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D-4FC0-AC82-17A5A30CB32D}"/>
            </c:ext>
          </c:extLst>
        </c:ser>
        <c:ser>
          <c:idx val="2"/>
          <c:order val="5"/>
          <c:tx>
            <c:strRef>
              <c:f>Comportamiento!$E$107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Comportamiento!$F$104:$GT$104</c15:sqref>
                  </c15:fullRef>
                </c:ext>
              </c:extLst>
              <c:f>Comportamiento!$CA$104:$GT$104</c:f>
              <c:numCache>
                <c:formatCode>d\-mmm</c:formatCode>
                <c:ptCount val="119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45325</c:v>
                </c:pt>
                <c:pt idx="6">
                  <c:v>45326</c:v>
                </c:pt>
                <c:pt idx="7">
                  <c:v>45327</c:v>
                </c:pt>
                <c:pt idx="8">
                  <c:v>45328</c:v>
                </c:pt>
                <c:pt idx="9">
                  <c:v>45329</c:v>
                </c:pt>
                <c:pt idx="10">
                  <c:v>45330</c:v>
                </c:pt>
                <c:pt idx="11">
                  <c:v>45331</c:v>
                </c:pt>
                <c:pt idx="12">
                  <c:v>45332</c:v>
                </c:pt>
                <c:pt idx="13">
                  <c:v>45333</c:v>
                </c:pt>
                <c:pt idx="14">
                  <c:v>45334</c:v>
                </c:pt>
                <c:pt idx="15">
                  <c:v>45335</c:v>
                </c:pt>
                <c:pt idx="16">
                  <c:v>45336</c:v>
                </c:pt>
                <c:pt idx="17">
                  <c:v>45337</c:v>
                </c:pt>
                <c:pt idx="18">
                  <c:v>45338</c:v>
                </c:pt>
                <c:pt idx="19">
                  <c:v>45339</c:v>
                </c:pt>
                <c:pt idx="20">
                  <c:v>45340</c:v>
                </c:pt>
                <c:pt idx="21">
                  <c:v>45341</c:v>
                </c:pt>
                <c:pt idx="22">
                  <c:v>45342</c:v>
                </c:pt>
                <c:pt idx="23">
                  <c:v>45343</c:v>
                </c:pt>
                <c:pt idx="24">
                  <c:v>45344</c:v>
                </c:pt>
                <c:pt idx="25">
                  <c:v>45345</c:v>
                </c:pt>
                <c:pt idx="26">
                  <c:v>45346</c:v>
                </c:pt>
                <c:pt idx="27">
                  <c:v>45347</c:v>
                </c:pt>
                <c:pt idx="28">
                  <c:v>45348</c:v>
                </c:pt>
                <c:pt idx="29">
                  <c:v>45349</c:v>
                </c:pt>
                <c:pt idx="30">
                  <c:v>45350</c:v>
                </c:pt>
                <c:pt idx="31">
                  <c:v>45351</c:v>
                </c:pt>
                <c:pt idx="32">
                  <c:v>45352</c:v>
                </c:pt>
                <c:pt idx="33">
                  <c:v>45353</c:v>
                </c:pt>
                <c:pt idx="34">
                  <c:v>45354</c:v>
                </c:pt>
                <c:pt idx="35">
                  <c:v>45355</c:v>
                </c:pt>
                <c:pt idx="36">
                  <c:v>45356</c:v>
                </c:pt>
                <c:pt idx="37">
                  <c:v>45357</c:v>
                </c:pt>
                <c:pt idx="38">
                  <c:v>45358</c:v>
                </c:pt>
                <c:pt idx="39">
                  <c:v>45359</c:v>
                </c:pt>
                <c:pt idx="40">
                  <c:v>45360</c:v>
                </c:pt>
                <c:pt idx="41">
                  <c:v>45361</c:v>
                </c:pt>
                <c:pt idx="42">
                  <c:v>45362</c:v>
                </c:pt>
                <c:pt idx="43">
                  <c:v>45363</c:v>
                </c:pt>
                <c:pt idx="44">
                  <c:v>45364</c:v>
                </c:pt>
                <c:pt idx="45">
                  <c:v>45365</c:v>
                </c:pt>
                <c:pt idx="46">
                  <c:v>45366</c:v>
                </c:pt>
                <c:pt idx="47">
                  <c:v>45367</c:v>
                </c:pt>
                <c:pt idx="48">
                  <c:v>45368</c:v>
                </c:pt>
                <c:pt idx="49">
                  <c:v>45369</c:v>
                </c:pt>
                <c:pt idx="50">
                  <c:v>45370</c:v>
                </c:pt>
                <c:pt idx="51">
                  <c:v>45371</c:v>
                </c:pt>
                <c:pt idx="52">
                  <c:v>45372</c:v>
                </c:pt>
                <c:pt idx="53">
                  <c:v>45373</c:v>
                </c:pt>
                <c:pt idx="54">
                  <c:v>45374</c:v>
                </c:pt>
                <c:pt idx="55">
                  <c:v>45375</c:v>
                </c:pt>
                <c:pt idx="56">
                  <c:v>45376</c:v>
                </c:pt>
                <c:pt idx="57">
                  <c:v>45377</c:v>
                </c:pt>
                <c:pt idx="58">
                  <c:v>45378</c:v>
                </c:pt>
                <c:pt idx="59">
                  <c:v>45379</c:v>
                </c:pt>
                <c:pt idx="60">
                  <c:v>45380</c:v>
                </c:pt>
                <c:pt idx="61">
                  <c:v>45381</c:v>
                </c:pt>
                <c:pt idx="62">
                  <c:v>45382</c:v>
                </c:pt>
                <c:pt idx="63">
                  <c:v>45383</c:v>
                </c:pt>
                <c:pt idx="64">
                  <c:v>45384</c:v>
                </c:pt>
                <c:pt idx="65">
                  <c:v>45385</c:v>
                </c:pt>
                <c:pt idx="66">
                  <c:v>45386</c:v>
                </c:pt>
                <c:pt idx="67">
                  <c:v>45387</c:v>
                </c:pt>
                <c:pt idx="68">
                  <c:v>45388</c:v>
                </c:pt>
                <c:pt idx="69">
                  <c:v>45389</c:v>
                </c:pt>
                <c:pt idx="70">
                  <c:v>45390</c:v>
                </c:pt>
                <c:pt idx="71">
                  <c:v>45391</c:v>
                </c:pt>
                <c:pt idx="72">
                  <c:v>45392</c:v>
                </c:pt>
                <c:pt idx="73">
                  <c:v>45393</c:v>
                </c:pt>
                <c:pt idx="74">
                  <c:v>45394</c:v>
                </c:pt>
                <c:pt idx="75">
                  <c:v>45395</c:v>
                </c:pt>
                <c:pt idx="76">
                  <c:v>45396</c:v>
                </c:pt>
                <c:pt idx="77">
                  <c:v>45397</c:v>
                </c:pt>
                <c:pt idx="78">
                  <c:v>45398</c:v>
                </c:pt>
                <c:pt idx="79">
                  <c:v>45399</c:v>
                </c:pt>
                <c:pt idx="80">
                  <c:v>45400</c:v>
                </c:pt>
                <c:pt idx="81">
                  <c:v>45401</c:v>
                </c:pt>
                <c:pt idx="82">
                  <c:v>45402</c:v>
                </c:pt>
                <c:pt idx="83">
                  <c:v>45403</c:v>
                </c:pt>
                <c:pt idx="84">
                  <c:v>45404</c:v>
                </c:pt>
                <c:pt idx="85">
                  <c:v>45405</c:v>
                </c:pt>
                <c:pt idx="86">
                  <c:v>45406</c:v>
                </c:pt>
                <c:pt idx="87">
                  <c:v>45407</c:v>
                </c:pt>
                <c:pt idx="88">
                  <c:v>45408</c:v>
                </c:pt>
                <c:pt idx="89">
                  <c:v>45409</c:v>
                </c:pt>
                <c:pt idx="90">
                  <c:v>45410</c:v>
                </c:pt>
                <c:pt idx="91">
                  <c:v>45411</c:v>
                </c:pt>
                <c:pt idx="92">
                  <c:v>45412</c:v>
                </c:pt>
                <c:pt idx="93">
                  <c:v>45413</c:v>
                </c:pt>
                <c:pt idx="94">
                  <c:v>45414</c:v>
                </c:pt>
                <c:pt idx="95">
                  <c:v>45415</c:v>
                </c:pt>
                <c:pt idx="96">
                  <c:v>45416</c:v>
                </c:pt>
                <c:pt idx="97">
                  <c:v>45417</c:v>
                </c:pt>
                <c:pt idx="98">
                  <c:v>45418</c:v>
                </c:pt>
                <c:pt idx="99">
                  <c:v>45419</c:v>
                </c:pt>
                <c:pt idx="100">
                  <c:v>45420</c:v>
                </c:pt>
                <c:pt idx="101">
                  <c:v>45421</c:v>
                </c:pt>
                <c:pt idx="102">
                  <c:v>45422</c:v>
                </c:pt>
                <c:pt idx="103">
                  <c:v>45423</c:v>
                </c:pt>
                <c:pt idx="104">
                  <c:v>45424</c:v>
                </c:pt>
                <c:pt idx="105">
                  <c:v>45425</c:v>
                </c:pt>
                <c:pt idx="106">
                  <c:v>45426</c:v>
                </c:pt>
                <c:pt idx="107">
                  <c:v>45427</c:v>
                </c:pt>
                <c:pt idx="108">
                  <c:v>45428</c:v>
                </c:pt>
                <c:pt idx="109">
                  <c:v>45429</c:v>
                </c:pt>
                <c:pt idx="110">
                  <c:v>45430</c:v>
                </c:pt>
                <c:pt idx="111">
                  <c:v>45431</c:v>
                </c:pt>
                <c:pt idx="112">
                  <c:v>45432</c:v>
                </c:pt>
                <c:pt idx="113">
                  <c:v>45433</c:v>
                </c:pt>
                <c:pt idx="114">
                  <c:v>45434</c:v>
                </c:pt>
                <c:pt idx="115">
                  <c:v>45435</c:v>
                </c:pt>
                <c:pt idx="116">
                  <c:v>45436</c:v>
                </c:pt>
                <c:pt idx="117">
                  <c:v>45437</c:v>
                </c:pt>
                <c:pt idx="118">
                  <c:v>45438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Comportamiento!$F$107:$GT$107</c15:sqref>
                  </c15:fullRef>
                </c:ext>
              </c:extLst>
              <c:f>Comportamiento!$CA$107:$GT$107</c:f>
              <c:numCache>
                <c:formatCode>#,##0</c:formatCode>
                <c:ptCount val="119"/>
                <c:pt idx="0">
                  <c:v>1243</c:v>
                </c:pt>
                <c:pt idx="1">
                  <c:v>1349</c:v>
                </c:pt>
                <c:pt idx="2">
                  <c:v>1577</c:v>
                </c:pt>
                <c:pt idx="3">
                  <c:v>1275</c:v>
                </c:pt>
                <c:pt idx="4">
                  <c:v>1085</c:v>
                </c:pt>
                <c:pt idx="5">
                  <c:v>645</c:v>
                </c:pt>
                <c:pt idx="6">
                  <c:v>431</c:v>
                </c:pt>
                <c:pt idx="7">
                  <c:v>593</c:v>
                </c:pt>
                <c:pt idx="8">
                  <c:v>1645</c:v>
                </c:pt>
                <c:pt idx="9">
                  <c:v>1260</c:v>
                </c:pt>
                <c:pt idx="10">
                  <c:v>1358</c:v>
                </c:pt>
                <c:pt idx="11">
                  <c:v>1142</c:v>
                </c:pt>
                <c:pt idx="12">
                  <c:v>664</c:v>
                </c:pt>
                <c:pt idx="13">
                  <c:v>540</c:v>
                </c:pt>
                <c:pt idx="14">
                  <c:v>1269</c:v>
                </c:pt>
                <c:pt idx="15">
                  <c:v>1329</c:v>
                </c:pt>
                <c:pt idx="16">
                  <c:v>1311</c:v>
                </c:pt>
                <c:pt idx="17">
                  <c:v>1129</c:v>
                </c:pt>
                <c:pt idx="18">
                  <c:v>1138</c:v>
                </c:pt>
                <c:pt idx="19">
                  <c:v>580</c:v>
                </c:pt>
                <c:pt idx="20">
                  <c:v>611</c:v>
                </c:pt>
                <c:pt idx="21">
                  <c:v>1282</c:v>
                </c:pt>
                <c:pt idx="22">
                  <c:v>1304</c:v>
                </c:pt>
                <c:pt idx="23">
                  <c:v>1438</c:v>
                </c:pt>
                <c:pt idx="24">
                  <c:v>988</c:v>
                </c:pt>
                <c:pt idx="25">
                  <c:v>1030</c:v>
                </c:pt>
                <c:pt idx="26">
                  <c:v>852</c:v>
                </c:pt>
                <c:pt idx="27">
                  <c:v>299</c:v>
                </c:pt>
                <c:pt idx="28">
                  <c:v>1158</c:v>
                </c:pt>
                <c:pt idx="29">
                  <c:v>927</c:v>
                </c:pt>
                <c:pt idx="30">
                  <c:v>816</c:v>
                </c:pt>
                <c:pt idx="31">
                  <c:v>781</c:v>
                </c:pt>
                <c:pt idx="32">
                  <c:v>823</c:v>
                </c:pt>
                <c:pt idx="33">
                  <c:v>662</c:v>
                </c:pt>
                <c:pt idx="34">
                  <c:v>343</c:v>
                </c:pt>
                <c:pt idx="35">
                  <c:v>791</c:v>
                </c:pt>
                <c:pt idx="36">
                  <c:v>784</c:v>
                </c:pt>
                <c:pt idx="37">
                  <c:v>915</c:v>
                </c:pt>
                <c:pt idx="38">
                  <c:v>702</c:v>
                </c:pt>
                <c:pt idx="39">
                  <c:v>634</c:v>
                </c:pt>
                <c:pt idx="40">
                  <c:v>326</c:v>
                </c:pt>
                <c:pt idx="41">
                  <c:v>220</c:v>
                </c:pt>
                <c:pt idx="42">
                  <c:v>754</c:v>
                </c:pt>
                <c:pt idx="43">
                  <c:v>718</c:v>
                </c:pt>
                <c:pt idx="44">
                  <c:v>875</c:v>
                </c:pt>
                <c:pt idx="45">
                  <c:v>673</c:v>
                </c:pt>
                <c:pt idx="46">
                  <c:v>578</c:v>
                </c:pt>
                <c:pt idx="47">
                  <c:v>455</c:v>
                </c:pt>
                <c:pt idx="48">
                  <c:v>331</c:v>
                </c:pt>
                <c:pt idx="49">
                  <c:v>372</c:v>
                </c:pt>
                <c:pt idx="50">
                  <c:v>845</c:v>
                </c:pt>
                <c:pt idx="51">
                  <c:v>640</c:v>
                </c:pt>
                <c:pt idx="52">
                  <c:v>745</c:v>
                </c:pt>
                <c:pt idx="53">
                  <c:v>629</c:v>
                </c:pt>
                <c:pt idx="54">
                  <c:v>437</c:v>
                </c:pt>
                <c:pt idx="55">
                  <c:v>201</c:v>
                </c:pt>
                <c:pt idx="56">
                  <c:v>803</c:v>
                </c:pt>
                <c:pt idx="57">
                  <c:v>686</c:v>
                </c:pt>
                <c:pt idx="58">
                  <c:v>691</c:v>
                </c:pt>
                <c:pt idx="59">
                  <c:v>450</c:v>
                </c:pt>
                <c:pt idx="60">
                  <c:v>395</c:v>
                </c:pt>
                <c:pt idx="61">
                  <c:v>194</c:v>
                </c:pt>
                <c:pt idx="62">
                  <c:v>177</c:v>
                </c:pt>
                <c:pt idx="63">
                  <c:v>694</c:v>
                </c:pt>
                <c:pt idx="64">
                  <c:v>520</c:v>
                </c:pt>
                <c:pt idx="65">
                  <c:v>555</c:v>
                </c:pt>
                <c:pt idx="66">
                  <c:v>535</c:v>
                </c:pt>
                <c:pt idx="67">
                  <c:v>465</c:v>
                </c:pt>
                <c:pt idx="68">
                  <c:v>269</c:v>
                </c:pt>
                <c:pt idx="69">
                  <c:v>232</c:v>
                </c:pt>
                <c:pt idx="70">
                  <c:v>640</c:v>
                </c:pt>
                <c:pt idx="71">
                  <c:v>605</c:v>
                </c:pt>
                <c:pt idx="72">
                  <c:v>546</c:v>
                </c:pt>
                <c:pt idx="73">
                  <c:v>440</c:v>
                </c:pt>
                <c:pt idx="74">
                  <c:v>471</c:v>
                </c:pt>
                <c:pt idx="75">
                  <c:v>297</c:v>
                </c:pt>
                <c:pt idx="76">
                  <c:v>253</c:v>
                </c:pt>
                <c:pt idx="77">
                  <c:v>516</c:v>
                </c:pt>
                <c:pt idx="78">
                  <c:v>515</c:v>
                </c:pt>
                <c:pt idx="79">
                  <c:v>593</c:v>
                </c:pt>
                <c:pt idx="80">
                  <c:v>578</c:v>
                </c:pt>
                <c:pt idx="81">
                  <c:v>741</c:v>
                </c:pt>
                <c:pt idx="82">
                  <c:v>392</c:v>
                </c:pt>
                <c:pt idx="83">
                  <c:v>410</c:v>
                </c:pt>
                <c:pt idx="84">
                  <c:v>981</c:v>
                </c:pt>
                <c:pt idx="85">
                  <c:v>750</c:v>
                </c:pt>
                <c:pt idx="86">
                  <c:v>755</c:v>
                </c:pt>
                <c:pt idx="87">
                  <c:v>758</c:v>
                </c:pt>
                <c:pt idx="88">
                  <c:v>648</c:v>
                </c:pt>
                <c:pt idx="89">
                  <c:v>667</c:v>
                </c:pt>
                <c:pt idx="90">
                  <c:v>445</c:v>
                </c:pt>
                <c:pt idx="91">
                  <c:v>1085</c:v>
                </c:pt>
                <c:pt idx="92">
                  <c:v>1057</c:v>
                </c:pt>
                <c:pt idx="93">
                  <c:v>683</c:v>
                </c:pt>
                <c:pt idx="94">
                  <c:v>1192</c:v>
                </c:pt>
                <c:pt idx="95">
                  <c:v>1069</c:v>
                </c:pt>
                <c:pt idx="96">
                  <c:v>853</c:v>
                </c:pt>
                <c:pt idx="97">
                  <c:v>594</c:v>
                </c:pt>
                <c:pt idx="98">
                  <c:v>1466</c:v>
                </c:pt>
                <c:pt idx="99">
                  <c:v>1167</c:v>
                </c:pt>
                <c:pt idx="100">
                  <c:v>1169</c:v>
                </c:pt>
                <c:pt idx="101">
                  <c:v>1356</c:v>
                </c:pt>
                <c:pt idx="102">
                  <c:v>1262</c:v>
                </c:pt>
                <c:pt idx="103">
                  <c:v>486</c:v>
                </c:pt>
                <c:pt idx="104">
                  <c:v>546</c:v>
                </c:pt>
                <c:pt idx="105">
                  <c:v>979</c:v>
                </c:pt>
                <c:pt idx="106">
                  <c:v>1069</c:v>
                </c:pt>
                <c:pt idx="107">
                  <c:v>1065</c:v>
                </c:pt>
                <c:pt idx="108">
                  <c:v>895</c:v>
                </c:pt>
                <c:pt idx="109">
                  <c:v>1069</c:v>
                </c:pt>
                <c:pt idx="110">
                  <c:v>1065</c:v>
                </c:pt>
                <c:pt idx="111">
                  <c:v>895</c:v>
                </c:pt>
                <c:pt idx="112">
                  <c:v>995</c:v>
                </c:pt>
                <c:pt idx="113">
                  <c:v>985</c:v>
                </c:pt>
                <c:pt idx="114">
                  <c:v>1181</c:v>
                </c:pt>
                <c:pt idx="115">
                  <c:v>1313</c:v>
                </c:pt>
                <c:pt idx="116">
                  <c:v>1211</c:v>
                </c:pt>
                <c:pt idx="117">
                  <c:v>847</c:v>
                </c:pt>
                <c:pt idx="118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9D-4FC0-AC82-17A5A30C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TAF-AXO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'Buen fin (3)'!$E$17</c:f>
              <c:strCache>
                <c:ptCount val="1"/>
                <c:pt idx="0">
                  <c:v>Pronóstico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(3)'!$F$10:$DD$10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(3)'!$F$17:$DD$17</c:f>
              <c:numCache>
                <c:formatCode>#,##0</c:formatCode>
                <c:ptCount val="103"/>
                <c:pt idx="0">
                  <c:v>1521</c:v>
                </c:pt>
                <c:pt idx="1">
                  <c:v>1177</c:v>
                </c:pt>
                <c:pt idx="2">
                  <c:v>1057</c:v>
                </c:pt>
                <c:pt idx="3">
                  <c:v>1981</c:v>
                </c:pt>
                <c:pt idx="4">
                  <c:v>2637</c:v>
                </c:pt>
                <c:pt idx="5">
                  <c:v>2588</c:v>
                </c:pt>
                <c:pt idx="6">
                  <c:v>2473</c:v>
                </c:pt>
                <c:pt idx="7">
                  <c:v>2807</c:v>
                </c:pt>
                <c:pt idx="8">
                  <c:v>2011</c:v>
                </c:pt>
                <c:pt idx="9">
                  <c:v>1341</c:v>
                </c:pt>
                <c:pt idx="10">
                  <c:v>4841</c:v>
                </c:pt>
                <c:pt idx="11">
                  <c:v>4393</c:v>
                </c:pt>
                <c:pt idx="12">
                  <c:v>4390</c:v>
                </c:pt>
                <c:pt idx="13">
                  <c:v>3683</c:v>
                </c:pt>
                <c:pt idx="14">
                  <c:v>3052</c:v>
                </c:pt>
                <c:pt idx="15">
                  <c:v>2182</c:v>
                </c:pt>
                <c:pt idx="16">
                  <c:v>1052</c:v>
                </c:pt>
                <c:pt idx="17">
                  <c:v>2838</c:v>
                </c:pt>
                <c:pt idx="18">
                  <c:v>2808</c:v>
                </c:pt>
                <c:pt idx="19">
                  <c:v>2221</c:v>
                </c:pt>
                <c:pt idx="20">
                  <c:v>2110</c:v>
                </c:pt>
                <c:pt idx="21">
                  <c:v>2038</c:v>
                </c:pt>
                <c:pt idx="22">
                  <c:v>1430</c:v>
                </c:pt>
                <c:pt idx="23">
                  <c:v>1074</c:v>
                </c:pt>
                <c:pt idx="24">
                  <c:v>1860</c:v>
                </c:pt>
                <c:pt idx="25">
                  <c:v>1834</c:v>
                </c:pt>
                <c:pt idx="26">
                  <c:v>2320</c:v>
                </c:pt>
                <c:pt idx="27">
                  <c:v>2265</c:v>
                </c:pt>
                <c:pt idx="28">
                  <c:v>2200</c:v>
                </c:pt>
                <c:pt idx="29">
                  <c:v>1420</c:v>
                </c:pt>
                <c:pt idx="30">
                  <c:v>1127</c:v>
                </c:pt>
                <c:pt idx="31">
                  <c:v>2753</c:v>
                </c:pt>
                <c:pt idx="32">
                  <c:v>3133</c:v>
                </c:pt>
                <c:pt idx="33">
                  <c:v>2837</c:v>
                </c:pt>
                <c:pt idx="34">
                  <c:v>2681</c:v>
                </c:pt>
                <c:pt idx="35">
                  <c:v>2413</c:v>
                </c:pt>
                <c:pt idx="36">
                  <c:v>1329</c:v>
                </c:pt>
                <c:pt idx="37">
                  <c:v>842</c:v>
                </c:pt>
                <c:pt idx="38">
                  <c:v>657</c:v>
                </c:pt>
                <c:pt idx="39">
                  <c:v>2334</c:v>
                </c:pt>
                <c:pt idx="40">
                  <c:v>2010</c:v>
                </c:pt>
                <c:pt idx="41">
                  <c:v>1911</c:v>
                </c:pt>
                <c:pt idx="42">
                  <c:v>1777</c:v>
                </c:pt>
                <c:pt idx="43">
                  <c:v>1141</c:v>
                </c:pt>
                <c:pt idx="44">
                  <c:v>653</c:v>
                </c:pt>
                <c:pt idx="45">
                  <c:v>547</c:v>
                </c:pt>
                <c:pt idx="46">
                  <c:v>2764</c:v>
                </c:pt>
                <c:pt idx="47">
                  <c:v>2400</c:v>
                </c:pt>
                <c:pt idx="48">
                  <c:v>2065</c:v>
                </c:pt>
                <c:pt idx="49">
                  <c:v>1866</c:v>
                </c:pt>
                <c:pt idx="50">
                  <c:v>1218</c:v>
                </c:pt>
                <c:pt idx="51">
                  <c:v>669</c:v>
                </c:pt>
                <c:pt idx="52">
                  <c:v>2452</c:v>
                </c:pt>
                <c:pt idx="53">
                  <c:v>2018</c:v>
                </c:pt>
                <c:pt idx="54">
                  <c:v>2384</c:v>
                </c:pt>
                <c:pt idx="55">
                  <c:v>2332</c:v>
                </c:pt>
                <c:pt idx="56">
                  <c:v>2240</c:v>
                </c:pt>
                <c:pt idx="57">
                  <c:v>1338</c:v>
                </c:pt>
                <c:pt idx="58">
                  <c:v>854</c:v>
                </c:pt>
                <c:pt idx="59">
                  <c:v>2605</c:v>
                </c:pt>
                <c:pt idx="60">
                  <c:v>2439</c:v>
                </c:pt>
                <c:pt idx="61">
                  <c:v>2658</c:v>
                </c:pt>
                <c:pt idx="62">
                  <c:v>2312</c:v>
                </c:pt>
                <c:pt idx="63">
                  <c:v>2272</c:v>
                </c:pt>
                <c:pt idx="64">
                  <c:v>1378</c:v>
                </c:pt>
                <c:pt idx="65">
                  <c:v>840</c:v>
                </c:pt>
                <c:pt idx="66">
                  <c:v>2960</c:v>
                </c:pt>
                <c:pt idx="67">
                  <c:v>2541</c:v>
                </c:pt>
                <c:pt idx="68">
                  <c:v>1913</c:v>
                </c:pt>
                <c:pt idx="69">
                  <c:v>1822</c:v>
                </c:pt>
                <c:pt idx="70">
                  <c:v>1613</c:v>
                </c:pt>
                <c:pt idx="71">
                  <c:v>840</c:v>
                </c:pt>
                <c:pt idx="72">
                  <c:v>564</c:v>
                </c:pt>
                <c:pt idx="73">
                  <c:v>1600</c:v>
                </c:pt>
                <c:pt idx="74">
                  <c:v>1515</c:v>
                </c:pt>
                <c:pt idx="75">
                  <c:v>1359</c:v>
                </c:pt>
                <c:pt idx="76">
                  <c:v>1254</c:v>
                </c:pt>
                <c:pt idx="77">
                  <c:v>1153</c:v>
                </c:pt>
                <c:pt idx="78">
                  <c:v>670</c:v>
                </c:pt>
                <c:pt idx="79">
                  <c:v>445</c:v>
                </c:pt>
                <c:pt idx="80">
                  <c:v>558</c:v>
                </c:pt>
                <c:pt idx="81">
                  <c:v>1247</c:v>
                </c:pt>
                <c:pt idx="82">
                  <c:v>1057</c:v>
                </c:pt>
                <c:pt idx="83">
                  <c:v>983</c:v>
                </c:pt>
                <c:pt idx="84">
                  <c:v>904</c:v>
                </c:pt>
                <c:pt idx="85">
                  <c:v>575</c:v>
                </c:pt>
                <c:pt idx="86">
                  <c:v>372</c:v>
                </c:pt>
                <c:pt idx="87">
                  <c:v>1090</c:v>
                </c:pt>
                <c:pt idx="88">
                  <c:v>979</c:v>
                </c:pt>
                <c:pt idx="89">
                  <c:v>926</c:v>
                </c:pt>
                <c:pt idx="90">
                  <c:v>858</c:v>
                </c:pt>
                <c:pt idx="91">
                  <c:v>762</c:v>
                </c:pt>
                <c:pt idx="92">
                  <c:v>505</c:v>
                </c:pt>
                <c:pt idx="93">
                  <c:v>315</c:v>
                </c:pt>
                <c:pt idx="94">
                  <c:v>1003</c:v>
                </c:pt>
                <c:pt idx="95">
                  <c:v>921</c:v>
                </c:pt>
                <c:pt idx="96">
                  <c:v>964</c:v>
                </c:pt>
                <c:pt idx="97">
                  <c:v>907</c:v>
                </c:pt>
                <c:pt idx="98">
                  <c:v>791</c:v>
                </c:pt>
                <c:pt idx="99">
                  <c:v>496</c:v>
                </c:pt>
                <c:pt idx="10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3-4399-BB8C-B470B4E5D0F3}"/>
            </c:ext>
          </c:extLst>
        </c:ser>
        <c:ser>
          <c:idx val="0"/>
          <c:order val="1"/>
          <c:tx>
            <c:strRef>
              <c:f>'Buen fin (3)'!$E$11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(3)'!$F$10:$DD$10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(3)'!$F$11:$DD$11</c:f>
              <c:numCache>
                <c:formatCode>#,##0</c:formatCode>
                <c:ptCount val="103"/>
                <c:pt idx="0">
                  <c:v>1502</c:v>
                </c:pt>
                <c:pt idx="1">
                  <c:v>1204</c:v>
                </c:pt>
                <c:pt idx="2">
                  <c:v>1206</c:v>
                </c:pt>
                <c:pt idx="3">
                  <c:v>1981</c:v>
                </c:pt>
                <c:pt idx="4">
                  <c:v>2637</c:v>
                </c:pt>
                <c:pt idx="5">
                  <c:v>2588</c:v>
                </c:pt>
                <c:pt idx="6">
                  <c:v>2473</c:v>
                </c:pt>
                <c:pt idx="7">
                  <c:v>2807</c:v>
                </c:pt>
                <c:pt idx="8">
                  <c:v>2011</c:v>
                </c:pt>
                <c:pt idx="9">
                  <c:v>1341</c:v>
                </c:pt>
                <c:pt idx="10">
                  <c:v>4687</c:v>
                </c:pt>
                <c:pt idx="11">
                  <c:v>4393</c:v>
                </c:pt>
                <c:pt idx="12">
                  <c:v>4367</c:v>
                </c:pt>
                <c:pt idx="13">
                  <c:v>3683</c:v>
                </c:pt>
                <c:pt idx="14">
                  <c:v>3052</c:v>
                </c:pt>
                <c:pt idx="15">
                  <c:v>2182</c:v>
                </c:pt>
                <c:pt idx="16">
                  <c:v>1052</c:v>
                </c:pt>
                <c:pt idx="17">
                  <c:v>2947</c:v>
                </c:pt>
                <c:pt idx="18">
                  <c:v>3012</c:v>
                </c:pt>
                <c:pt idx="19">
                  <c:v>2264</c:v>
                </c:pt>
                <c:pt idx="20">
                  <c:v>1919</c:v>
                </c:pt>
                <c:pt idx="21">
                  <c:v>1917</c:v>
                </c:pt>
                <c:pt idx="22">
                  <c:v>1264</c:v>
                </c:pt>
                <c:pt idx="23">
                  <c:v>1082</c:v>
                </c:pt>
                <c:pt idx="24">
                  <c:v>2672</c:v>
                </c:pt>
                <c:pt idx="25">
                  <c:v>2452</c:v>
                </c:pt>
                <c:pt idx="26">
                  <c:v>2522</c:v>
                </c:pt>
                <c:pt idx="27">
                  <c:v>2304</c:v>
                </c:pt>
                <c:pt idx="28">
                  <c:v>2232</c:v>
                </c:pt>
                <c:pt idx="29">
                  <c:v>1460</c:v>
                </c:pt>
                <c:pt idx="30">
                  <c:v>1223</c:v>
                </c:pt>
                <c:pt idx="31">
                  <c:v>3463</c:v>
                </c:pt>
                <c:pt idx="32">
                  <c:v>2831</c:v>
                </c:pt>
                <c:pt idx="33">
                  <c:v>2531</c:v>
                </c:pt>
                <c:pt idx="34">
                  <c:v>2362</c:v>
                </c:pt>
                <c:pt idx="35">
                  <c:v>2204</c:v>
                </c:pt>
                <c:pt idx="36">
                  <c:v>1384</c:v>
                </c:pt>
                <c:pt idx="37">
                  <c:v>738</c:v>
                </c:pt>
                <c:pt idx="38">
                  <c:v>640</c:v>
                </c:pt>
                <c:pt idx="39">
                  <c:v>2553</c:v>
                </c:pt>
                <c:pt idx="40">
                  <c:v>1888</c:v>
                </c:pt>
                <c:pt idx="41">
                  <c:v>2029</c:v>
                </c:pt>
                <c:pt idx="42">
                  <c:v>1611</c:v>
                </c:pt>
                <c:pt idx="43">
                  <c:v>1072</c:v>
                </c:pt>
                <c:pt idx="44">
                  <c:v>548</c:v>
                </c:pt>
                <c:pt idx="45">
                  <c:v>474</c:v>
                </c:pt>
                <c:pt idx="46">
                  <c:v>2331</c:v>
                </c:pt>
                <c:pt idx="47">
                  <c:v>2206</c:v>
                </c:pt>
                <c:pt idx="48">
                  <c:v>1940</c:v>
                </c:pt>
                <c:pt idx="49">
                  <c:v>1893</c:v>
                </c:pt>
                <c:pt idx="50">
                  <c:v>1138</c:v>
                </c:pt>
                <c:pt idx="51">
                  <c:v>785</c:v>
                </c:pt>
                <c:pt idx="52">
                  <c:v>2134</c:v>
                </c:pt>
                <c:pt idx="53">
                  <c:v>2286</c:v>
                </c:pt>
                <c:pt idx="54">
                  <c:v>2473</c:v>
                </c:pt>
                <c:pt idx="55">
                  <c:v>2452</c:v>
                </c:pt>
                <c:pt idx="56">
                  <c:v>2147</c:v>
                </c:pt>
                <c:pt idx="57">
                  <c:v>1090</c:v>
                </c:pt>
                <c:pt idx="58">
                  <c:v>709</c:v>
                </c:pt>
                <c:pt idx="59">
                  <c:v>3193</c:v>
                </c:pt>
                <c:pt idx="60">
                  <c:v>3019</c:v>
                </c:pt>
                <c:pt idx="61">
                  <c:v>2646</c:v>
                </c:pt>
                <c:pt idx="62">
                  <c:v>2167</c:v>
                </c:pt>
                <c:pt idx="63">
                  <c:v>1892</c:v>
                </c:pt>
                <c:pt idx="64">
                  <c:v>918</c:v>
                </c:pt>
                <c:pt idx="65">
                  <c:v>568</c:v>
                </c:pt>
                <c:pt idx="66">
                  <c:v>2441</c:v>
                </c:pt>
                <c:pt idx="67">
                  <c:v>2220</c:v>
                </c:pt>
                <c:pt idx="68">
                  <c:v>1330</c:v>
                </c:pt>
                <c:pt idx="69">
                  <c:v>1320</c:v>
                </c:pt>
                <c:pt idx="70">
                  <c:v>920</c:v>
                </c:pt>
                <c:pt idx="71">
                  <c:v>518</c:v>
                </c:pt>
                <c:pt idx="72">
                  <c:v>359</c:v>
                </c:pt>
                <c:pt idx="73">
                  <c:v>1244</c:v>
                </c:pt>
                <c:pt idx="74">
                  <c:v>1193</c:v>
                </c:pt>
                <c:pt idx="75">
                  <c:v>1206</c:v>
                </c:pt>
                <c:pt idx="76">
                  <c:v>1038</c:v>
                </c:pt>
                <c:pt idx="77">
                  <c:v>868</c:v>
                </c:pt>
                <c:pt idx="78">
                  <c:v>576</c:v>
                </c:pt>
                <c:pt idx="79">
                  <c:v>399</c:v>
                </c:pt>
                <c:pt idx="80">
                  <c:v>613</c:v>
                </c:pt>
                <c:pt idx="81">
                  <c:v>1090</c:v>
                </c:pt>
                <c:pt idx="82">
                  <c:v>981</c:v>
                </c:pt>
                <c:pt idx="83">
                  <c:v>968</c:v>
                </c:pt>
                <c:pt idx="84">
                  <c:v>788</c:v>
                </c:pt>
                <c:pt idx="85">
                  <c:v>529</c:v>
                </c:pt>
                <c:pt idx="86">
                  <c:v>336</c:v>
                </c:pt>
                <c:pt idx="87">
                  <c:v>998</c:v>
                </c:pt>
                <c:pt idx="88">
                  <c:v>1020</c:v>
                </c:pt>
                <c:pt idx="89">
                  <c:v>748</c:v>
                </c:pt>
                <c:pt idx="90">
                  <c:v>947</c:v>
                </c:pt>
                <c:pt idx="91">
                  <c:v>817</c:v>
                </c:pt>
                <c:pt idx="92">
                  <c:v>486</c:v>
                </c:pt>
                <c:pt idx="93">
                  <c:v>361</c:v>
                </c:pt>
                <c:pt idx="94">
                  <c:v>1019</c:v>
                </c:pt>
                <c:pt idx="95">
                  <c:v>1125</c:v>
                </c:pt>
                <c:pt idx="96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3-4399-BB8C-B470B4E5D0F3}"/>
            </c:ext>
          </c:extLst>
        </c:ser>
        <c:ser>
          <c:idx val="4"/>
          <c:order val="2"/>
          <c:tx>
            <c:strRef>
              <c:f>'Buen fin (3)'!$E$15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(3)'!$F$10:$DD$10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(3)'!$F$15:$DD$15</c:f>
              <c:numCache>
                <c:formatCode>#,##0</c:formatCode>
                <c:ptCount val="103"/>
                <c:pt idx="5">
                  <c:v>1009</c:v>
                </c:pt>
                <c:pt idx="6">
                  <c:v>1396</c:v>
                </c:pt>
                <c:pt idx="7">
                  <c:v>1690</c:v>
                </c:pt>
                <c:pt idx="8">
                  <c:v>2184</c:v>
                </c:pt>
                <c:pt idx="9">
                  <c:v>2468</c:v>
                </c:pt>
                <c:pt idx="10">
                  <c:v>2859</c:v>
                </c:pt>
                <c:pt idx="11">
                  <c:v>4011</c:v>
                </c:pt>
                <c:pt idx="12">
                  <c:v>2732</c:v>
                </c:pt>
                <c:pt idx="13">
                  <c:v>3600</c:v>
                </c:pt>
                <c:pt idx="14">
                  <c:v>3610</c:v>
                </c:pt>
                <c:pt idx="15">
                  <c:v>4322</c:v>
                </c:pt>
                <c:pt idx="16">
                  <c:v>5055</c:v>
                </c:pt>
                <c:pt idx="17">
                  <c:v>4652</c:v>
                </c:pt>
                <c:pt idx="18">
                  <c:v>4404</c:v>
                </c:pt>
                <c:pt idx="19">
                  <c:v>3887</c:v>
                </c:pt>
                <c:pt idx="20">
                  <c:v>4149</c:v>
                </c:pt>
                <c:pt idx="21">
                  <c:v>3984</c:v>
                </c:pt>
                <c:pt idx="22">
                  <c:v>3578</c:v>
                </c:pt>
                <c:pt idx="23">
                  <c:v>3772</c:v>
                </c:pt>
                <c:pt idx="24">
                  <c:v>3081</c:v>
                </c:pt>
                <c:pt idx="25">
                  <c:v>3406</c:v>
                </c:pt>
                <c:pt idx="26">
                  <c:v>3512</c:v>
                </c:pt>
                <c:pt idx="27">
                  <c:v>3574</c:v>
                </c:pt>
                <c:pt idx="28">
                  <c:v>3040</c:v>
                </c:pt>
                <c:pt idx="29">
                  <c:v>3190</c:v>
                </c:pt>
                <c:pt idx="30">
                  <c:v>3298</c:v>
                </c:pt>
                <c:pt idx="31">
                  <c:v>4160</c:v>
                </c:pt>
                <c:pt idx="32">
                  <c:v>5110</c:v>
                </c:pt>
                <c:pt idx="33">
                  <c:v>5019</c:v>
                </c:pt>
                <c:pt idx="34">
                  <c:v>4494</c:v>
                </c:pt>
                <c:pt idx="35">
                  <c:v>4709</c:v>
                </c:pt>
                <c:pt idx="36">
                  <c:v>4659</c:v>
                </c:pt>
                <c:pt idx="37">
                  <c:v>4571</c:v>
                </c:pt>
                <c:pt idx="38">
                  <c:v>4079</c:v>
                </c:pt>
                <c:pt idx="39">
                  <c:v>3158</c:v>
                </c:pt>
                <c:pt idx="40">
                  <c:v>3429</c:v>
                </c:pt>
                <c:pt idx="41">
                  <c:v>2422</c:v>
                </c:pt>
                <c:pt idx="42">
                  <c:v>1657</c:v>
                </c:pt>
                <c:pt idx="43">
                  <c:v>1405</c:v>
                </c:pt>
                <c:pt idx="44">
                  <c:v>1301</c:v>
                </c:pt>
                <c:pt idx="45">
                  <c:v>662</c:v>
                </c:pt>
                <c:pt idx="46">
                  <c:v>310</c:v>
                </c:pt>
                <c:pt idx="47">
                  <c:v>702</c:v>
                </c:pt>
                <c:pt idx="48">
                  <c:v>931</c:v>
                </c:pt>
                <c:pt idx="49">
                  <c:v>935</c:v>
                </c:pt>
                <c:pt idx="50">
                  <c:v>1212</c:v>
                </c:pt>
                <c:pt idx="51">
                  <c:v>1317</c:v>
                </c:pt>
                <c:pt idx="52">
                  <c:v>1091</c:v>
                </c:pt>
                <c:pt idx="53">
                  <c:v>1283</c:v>
                </c:pt>
                <c:pt idx="54">
                  <c:v>1537</c:v>
                </c:pt>
                <c:pt idx="55">
                  <c:v>1783</c:v>
                </c:pt>
                <c:pt idx="56">
                  <c:v>1943</c:v>
                </c:pt>
                <c:pt idx="57">
                  <c:v>1635</c:v>
                </c:pt>
                <c:pt idx="58">
                  <c:v>1728</c:v>
                </c:pt>
                <c:pt idx="59">
                  <c:v>1848</c:v>
                </c:pt>
                <c:pt idx="60">
                  <c:v>2089</c:v>
                </c:pt>
                <c:pt idx="61">
                  <c:v>2055</c:v>
                </c:pt>
                <c:pt idx="62">
                  <c:v>1906</c:v>
                </c:pt>
                <c:pt idx="63">
                  <c:v>1470</c:v>
                </c:pt>
                <c:pt idx="64">
                  <c:v>1120</c:v>
                </c:pt>
                <c:pt idx="65">
                  <c:v>847</c:v>
                </c:pt>
                <c:pt idx="66">
                  <c:v>669</c:v>
                </c:pt>
                <c:pt idx="67">
                  <c:v>453</c:v>
                </c:pt>
                <c:pt idx="68">
                  <c:v>108</c:v>
                </c:pt>
                <c:pt idx="69">
                  <c:v>193</c:v>
                </c:pt>
                <c:pt idx="70">
                  <c:v>246</c:v>
                </c:pt>
                <c:pt idx="71">
                  <c:v>258</c:v>
                </c:pt>
                <c:pt idx="72">
                  <c:v>406</c:v>
                </c:pt>
                <c:pt idx="73">
                  <c:v>226</c:v>
                </c:pt>
                <c:pt idx="74">
                  <c:v>205</c:v>
                </c:pt>
                <c:pt idx="75">
                  <c:v>223</c:v>
                </c:pt>
                <c:pt idx="76">
                  <c:v>203</c:v>
                </c:pt>
                <c:pt idx="77">
                  <c:v>76</c:v>
                </c:pt>
                <c:pt idx="78">
                  <c:v>107</c:v>
                </c:pt>
                <c:pt idx="79">
                  <c:v>48</c:v>
                </c:pt>
                <c:pt idx="80">
                  <c:v>85</c:v>
                </c:pt>
                <c:pt idx="81">
                  <c:v>107</c:v>
                </c:pt>
                <c:pt idx="82">
                  <c:v>227</c:v>
                </c:pt>
                <c:pt idx="83">
                  <c:v>41</c:v>
                </c:pt>
                <c:pt idx="84">
                  <c:v>125</c:v>
                </c:pt>
                <c:pt idx="85">
                  <c:v>26</c:v>
                </c:pt>
                <c:pt idx="86">
                  <c:v>64</c:v>
                </c:pt>
                <c:pt idx="87">
                  <c:v>17</c:v>
                </c:pt>
                <c:pt idx="88">
                  <c:v>91</c:v>
                </c:pt>
                <c:pt idx="89">
                  <c:v>125</c:v>
                </c:pt>
                <c:pt idx="90">
                  <c:v>46</c:v>
                </c:pt>
                <c:pt idx="91">
                  <c:v>98</c:v>
                </c:pt>
                <c:pt idx="92">
                  <c:v>92</c:v>
                </c:pt>
                <c:pt idx="93">
                  <c:v>50</c:v>
                </c:pt>
                <c:pt idx="94">
                  <c:v>59</c:v>
                </c:pt>
                <c:pt idx="95">
                  <c:v>115</c:v>
                </c:pt>
                <c:pt idx="96">
                  <c:v>294</c:v>
                </c:pt>
                <c:pt idx="97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3-4399-BB8C-B470B4E5D0F3}"/>
            </c:ext>
          </c:extLst>
        </c:ser>
        <c:ser>
          <c:idx val="5"/>
          <c:order val="3"/>
          <c:tx>
            <c:strRef>
              <c:f>'Buen fin (3)'!$E$18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'Buen fin (3)'!$F$10:$DD$10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(3)'!$F$18:$DD$18</c:f>
              <c:numCache>
                <c:formatCode>#,##0</c:formatCode>
                <c:ptCount val="103"/>
                <c:pt idx="0">
                  <c:v>1521</c:v>
                </c:pt>
                <c:pt idx="1">
                  <c:v>1177</c:v>
                </c:pt>
                <c:pt idx="2">
                  <c:v>1057</c:v>
                </c:pt>
                <c:pt idx="3">
                  <c:v>1981</c:v>
                </c:pt>
                <c:pt idx="4">
                  <c:v>2637</c:v>
                </c:pt>
                <c:pt idx="5">
                  <c:v>3597</c:v>
                </c:pt>
                <c:pt idx="6">
                  <c:v>3869</c:v>
                </c:pt>
                <c:pt idx="7">
                  <c:v>4497</c:v>
                </c:pt>
                <c:pt idx="8">
                  <c:v>4195</c:v>
                </c:pt>
                <c:pt idx="9">
                  <c:v>3809</c:v>
                </c:pt>
                <c:pt idx="10">
                  <c:v>7700</c:v>
                </c:pt>
                <c:pt idx="11">
                  <c:v>8404</c:v>
                </c:pt>
                <c:pt idx="12">
                  <c:v>7122</c:v>
                </c:pt>
                <c:pt idx="13">
                  <c:v>7283</c:v>
                </c:pt>
                <c:pt idx="14">
                  <c:v>6662</c:v>
                </c:pt>
                <c:pt idx="15">
                  <c:v>6504</c:v>
                </c:pt>
                <c:pt idx="16">
                  <c:v>6107</c:v>
                </c:pt>
                <c:pt idx="17">
                  <c:v>7490</c:v>
                </c:pt>
                <c:pt idx="18">
                  <c:v>7212</c:v>
                </c:pt>
                <c:pt idx="19">
                  <c:v>6108</c:v>
                </c:pt>
                <c:pt idx="20">
                  <c:v>6259</c:v>
                </c:pt>
                <c:pt idx="21">
                  <c:v>6022</c:v>
                </c:pt>
                <c:pt idx="22">
                  <c:v>5008</c:v>
                </c:pt>
                <c:pt idx="23">
                  <c:v>4846</c:v>
                </c:pt>
                <c:pt idx="24">
                  <c:v>4941</c:v>
                </c:pt>
                <c:pt idx="25">
                  <c:v>5240</c:v>
                </c:pt>
                <c:pt idx="26">
                  <c:v>5832</c:v>
                </c:pt>
                <c:pt idx="27">
                  <c:v>5839</c:v>
                </c:pt>
                <c:pt idx="28">
                  <c:v>5240</c:v>
                </c:pt>
                <c:pt idx="29">
                  <c:v>4610</c:v>
                </c:pt>
                <c:pt idx="30">
                  <c:v>4425</c:v>
                </c:pt>
                <c:pt idx="31">
                  <c:v>6913</c:v>
                </c:pt>
                <c:pt idx="32">
                  <c:v>8243</c:v>
                </c:pt>
                <c:pt idx="33">
                  <c:v>7856</c:v>
                </c:pt>
                <c:pt idx="34">
                  <c:v>7175</c:v>
                </c:pt>
                <c:pt idx="35">
                  <c:v>7122</c:v>
                </c:pt>
                <c:pt idx="36">
                  <c:v>5988</c:v>
                </c:pt>
                <c:pt idx="37">
                  <c:v>5413</c:v>
                </c:pt>
                <c:pt idx="38">
                  <c:v>4736</c:v>
                </c:pt>
                <c:pt idx="39">
                  <c:v>5492</c:v>
                </c:pt>
                <c:pt idx="40">
                  <c:v>5439</c:v>
                </c:pt>
                <c:pt idx="41">
                  <c:v>4333</c:v>
                </c:pt>
                <c:pt idx="42">
                  <c:v>3434</c:v>
                </c:pt>
                <c:pt idx="43">
                  <c:v>2546</c:v>
                </c:pt>
                <c:pt idx="44">
                  <c:v>1954</c:v>
                </c:pt>
                <c:pt idx="45">
                  <c:v>1209</c:v>
                </c:pt>
                <c:pt idx="46">
                  <c:v>3074</c:v>
                </c:pt>
                <c:pt idx="47">
                  <c:v>3102</c:v>
                </c:pt>
                <c:pt idx="48">
                  <c:v>2996</c:v>
                </c:pt>
                <c:pt idx="49">
                  <c:v>2801</c:v>
                </c:pt>
                <c:pt idx="50">
                  <c:v>2430</c:v>
                </c:pt>
                <c:pt idx="51">
                  <c:v>1986</c:v>
                </c:pt>
                <c:pt idx="52">
                  <c:v>3543</c:v>
                </c:pt>
                <c:pt idx="53">
                  <c:v>3301</c:v>
                </c:pt>
                <c:pt idx="54">
                  <c:v>3921</c:v>
                </c:pt>
                <c:pt idx="55">
                  <c:v>4115</c:v>
                </c:pt>
                <c:pt idx="56">
                  <c:v>4183</c:v>
                </c:pt>
                <c:pt idx="57">
                  <c:v>2973</c:v>
                </c:pt>
                <c:pt idx="58">
                  <c:v>2582</c:v>
                </c:pt>
                <c:pt idx="59">
                  <c:v>4453</c:v>
                </c:pt>
                <c:pt idx="60">
                  <c:v>4528</c:v>
                </c:pt>
                <c:pt idx="61">
                  <c:v>4713</c:v>
                </c:pt>
                <c:pt idx="62">
                  <c:v>4218</c:v>
                </c:pt>
                <c:pt idx="63">
                  <c:v>3742</c:v>
                </c:pt>
                <c:pt idx="64">
                  <c:v>2498</c:v>
                </c:pt>
                <c:pt idx="65">
                  <c:v>1687</c:v>
                </c:pt>
                <c:pt idx="66">
                  <c:v>3629</c:v>
                </c:pt>
                <c:pt idx="67">
                  <c:v>2994</c:v>
                </c:pt>
                <c:pt idx="68">
                  <c:v>2021</c:v>
                </c:pt>
                <c:pt idx="69">
                  <c:v>2015</c:v>
                </c:pt>
                <c:pt idx="70">
                  <c:v>1859</c:v>
                </c:pt>
                <c:pt idx="71">
                  <c:v>1098</c:v>
                </c:pt>
                <c:pt idx="72">
                  <c:v>970</c:v>
                </c:pt>
                <c:pt idx="73">
                  <c:v>1826</c:v>
                </c:pt>
                <c:pt idx="74">
                  <c:v>1720</c:v>
                </c:pt>
                <c:pt idx="75">
                  <c:v>1582</c:v>
                </c:pt>
                <c:pt idx="76">
                  <c:v>1457</c:v>
                </c:pt>
                <c:pt idx="77">
                  <c:v>944</c:v>
                </c:pt>
                <c:pt idx="78">
                  <c:v>683</c:v>
                </c:pt>
                <c:pt idx="79">
                  <c:v>447</c:v>
                </c:pt>
                <c:pt idx="80">
                  <c:v>698</c:v>
                </c:pt>
                <c:pt idx="81">
                  <c:v>1197</c:v>
                </c:pt>
                <c:pt idx="82">
                  <c:v>1208</c:v>
                </c:pt>
                <c:pt idx="83">
                  <c:v>1009</c:v>
                </c:pt>
                <c:pt idx="84">
                  <c:v>913</c:v>
                </c:pt>
                <c:pt idx="85">
                  <c:v>555</c:v>
                </c:pt>
                <c:pt idx="86">
                  <c:v>400</c:v>
                </c:pt>
                <c:pt idx="87">
                  <c:v>1015</c:v>
                </c:pt>
                <c:pt idx="88">
                  <c:v>1111</c:v>
                </c:pt>
                <c:pt idx="89">
                  <c:v>873</c:v>
                </c:pt>
                <c:pt idx="90">
                  <c:v>993</c:v>
                </c:pt>
                <c:pt idx="91">
                  <c:v>915</c:v>
                </c:pt>
                <c:pt idx="92">
                  <c:v>578</c:v>
                </c:pt>
                <c:pt idx="93">
                  <c:v>411</c:v>
                </c:pt>
                <c:pt idx="94">
                  <c:v>1078</c:v>
                </c:pt>
                <c:pt idx="95">
                  <c:v>1240</c:v>
                </c:pt>
                <c:pt idx="96">
                  <c:v>1301</c:v>
                </c:pt>
                <c:pt idx="97">
                  <c:v>283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3-4399-BB8C-B470B4E5D0F3}"/>
            </c:ext>
          </c:extLst>
        </c:ser>
        <c:ser>
          <c:idx val="1"/>
          <c:order val="4"/>
          <c:tx>
            <c:strRef>
              <c:f>'Buen fin (3)'!$E$12</c:f>
              <c:strCache>
                <c:ptCount val="1"/>
                <c:pt idx="0">
                  <c:v>Capacidad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(3)'!$F$10:$DD$10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(3)'!$F$12:$DD$12</c:f>
              <c:numCache>
                <c:formatCode>#,##0</c:formatCode>
                <c:ptCount val="103"/>
                <c:pt idx="0">
                  <c:v>1748</c:v>
                </c:pt>
                <c:pt idx="1">
                  <c:v>846</c:v>
                </c:pt>
                <c:pt idx="2">
                  <c:v>702</c:v>
                </c:pt>
                <c:pt idx="3">
                  <c:v>1091</c:v>
                </c:pt>
                <c:pt idx="4">
                  <c:v>1748</c:v>
                </c:pt>
                <c:pt idx="5">
                  <c:v>1748</c:v>
                </c:pt>
                <c:pt idx="6">
                  <c:v>1748</c:v>
                </c:pt>
                <c:pt idx="7">
                  <c:v>1748</c:v>
                </c:pt>
                <c:pt idx="8">
                  <c:v>960</c:v>
                </c:pt>
                <c:pt idx="9">
                  <c:v>774</c:v>
                </c:pt>
                <c:pt idx="10">
                  <c:v>1748</c:v>
                </c:pt>
                <c:pt idx="11">
                  <c:v>1614.3333333333301</c:v>
                </c:pt>
                <c:pt idx="12">
                  <c:v>1764</c:v>
                </c:pt>
                <c:pt idx="13">
                  <c:v>1764</c:v>
                </c:pt>
                <c:pt idx="14">
                  <c:v>1764</c:v>
                </c:pt>
                <c:pt idx="15">
                  <c:v>945</c:v>
                </c:pt>
                <c:pt idx="16">
                  <c:v>976</c:v>
                </c:pt>
                <c:pt idx="17">
                  <c:v>1764</c:v>
                </c:pt>
                <c:pt idx="18">
                  <c:v>1764</c:v>
                </c:pt>
                <c:pt idx="19">
                  <c:v>1764</c:v>
                </c:pt>
                <c:pt idx="20">
                  <c:v>2297</c:v>
                </c:pt>
                <c:pt idx="21">
                  <c:v>2297</c:v>
                </c:pt>
                <c:pt idx="22">
                  <c:v>1122</c:v>
                </c:pt>
                <c:pt idx="23">
                  <c:v>1117</c:v>
                </c:pt>
                <c:pt idx="24">
                  <c:v>2141</c:v>
                </c:pt>
                <c:pt idx="25">
                  <c:v>2141</c:v>
                </c:pt>
                <c:pt idx="26">
                  <c:v>2141</c:v>
                </c:pt>
                <c:pt idx="27">
                  <c:v>2141</c:v>
                </c:pt>
                <c:pt idx="28">
                  <c:v>2141</c:v>
                </c:pt>
                <c:pt idx="29">
                  <c:v>1141</c:v>
                </c:pt>
                <c:pt idx="30">
                  <c:v>877</c:v>
                </c:pt>
                <c:pt idx="31">
                  <c:v>2398</c:v>
                </c:pt>
                <c:pt idx="32">
                  <c:v>2398</c:v>
                </c:pt>
                <c:pt idx="33">
                  <c:v>2256</c:v>
                </c:pt>
                <c:pt idx="34">
                  <c:v>2256</c:v>
                </c:pt>
                <c:pt idx="35">
                  <c:v>2256</c:v>
                </c:pt>
                <c:pt idx="36">
                  <c:v>1174.125</c:v>
                </c:pt>
                <c:pt idx="37">
                  <c:v>1046</c:v>
                </c:pt>
                <c:pt idx="38">
                  <c:v>1475.25</c:v>
                </c:pt>
                <c:pt idx="39">
                  <c:v>2256</c:v>
                </c:pt>
                <c:pt idx="40">
                  <c:v>2256</c:v>
                </c:pt>
                <c:pt idx="41">
                  <c:v>2256</c:v>
                </c:pt>
                <c:pt idx="42">
                  <c:v>2256</c:v>
                </c:pt>
                <c:pt idx="43">
                  <c:v>1166</c:v>
                </c:pt>
                <c:pt idx="44">
                  <c:v>1135</c:v>
                </c:pt>
                <c:pt idx="45">
                  <c:v>1573</c:v>
                </c:pt>
                <c:pt idx="46">
                  <c:v>1920</c:v>
                </c:pt>
                <c:pt idx="47">
                  <c:v>1920</c:v>
                </c:pt>
                <c:pt idx="48">
                  <c:v>1920</c:v>
                </c:pt>
                <c:pt idx="49">
                  <c:v>1920</c:v>
                </c:pt>
                <c:pt idx="50">
                  <c:v>975</c:v>
                </c:pt>
                <c:pt idx="51">
                  <c:v>871</c:v>
                </c:pt>
                <c:pt idx="52">
                  <c:v>1920</c:v>
                </c:pt>
                <c:pt idx="53">
                  <c:v>1881</c:v>
                </c:pt>
                <c:pt idx="54">
                  <c:v>1881</c:v>
                </c:pt>
                <c:pt idx="55">
                  <c:v>1881</c:v>
                </c:pt>
                <c:pt idx="56">
                  <c:v>1881</c:v>
                </c:pt>
                <c:pt idx="57">
                  <c:v>956</c:v>
                </c:pt>
                <c:pt idx="58">
                  <c:v>803</c:v>
                </c:pt>
                <c:pt idx="59">
                  <c:v>1881</c:v>
                </c:pt>
                <c:pt idx="60">
                  <c:v>1827</c:v>
                </c:pt>
                <c:pt idx="61">
                  <c:v>1971</c:v>
                </c:pt>
                <c:pt idx="62">
                  <c:v>1971</c:v>
                </c:pt>
                <c:pt idx="63">
                  <c:v>1971</c:v>
                </c:pt>
                <c:pt idx="64">
                  <c:v>1013</c:v>
                </c:pt>
                <c:pt idx="65">
                  <c:v>918</c:v>
                </c:pt>
                <c:pt idx="66">
                  <c:v>1971</c:v>
                </c:pt>
                <c:pt idx="67">
                  <c:v>1971</c:v>
                </c:pt>
                <c:pt idx="68">
                  <c:v>1971</c:v>
                </c:pt>
                <c:pt idx="69">
                  <c:v>1971</c:v>
                </c:pt>
                <c:pt idx="70">
                  <c:v>1971</c:v>
                </c:pt>
                <c:pt idx="71">
                  <c:v>956</c:v>
                </c:pt>
                <c:pt idx="72">
                  <c:v>932</c:v>
                </c:pt>
                <c:pt idx="73">
                  <c:v>1971</c:v>
                </c:pt>
                <c:pt idx="74">
                  <c:v>1971</c:v>
                </c:pt>
                <c:pt idx="75">
                  <c:v>1971</c:v>
                </c:pt>
                <c:pt idx="76">
                  <c:v>1971</c:v>
                </c:pt>
                <c:pt idx="77">
                  <c:v>1971</c:v>
                </c:pt>
                <c:pt idx="78">
                  <c:v>969</c:v>
                </c:pt>
                <c:pt idx="79">
                  <c:v>762</c:v>
                </c:pt>
                <c:pt idx="80">
                  <c:v>759</c:v>
                </c:pt>
                <c:pt idx="81">
                  <c:v>1860</c:v>
                </c:pt>
                <c:pt idx="82">
                  <c:v>1860</c:v>
                </c:pt>
                <c:pt idx="83">
                  <c:v>1860</c:v>
                </c:pt>
                <c:pt idx="84">
                  <c:v>1860</c:v>
                </c:pt>
                <c:pt idx="85">
                  <c:v>969</c:v>
                </c:pt>
                <c:pt idx="86">
                  <c:v>767</c:v>
                </c:pt>
                <c:pt idx="87">
                  <c:v>1860</c:v>
                </c:pt>
                <c:pt idx="88">
                  <c:v>1860</c:v>
                </c:pt>
                <c:pt idx="89">
                  <c:v>1633</c:v>
                </c:pt>
                <c:pt idx="90">
                  <c:v>1633</c:v>
                </c:pt>
                <c:pt idx="91">
                  <c:v>1633</c:v>
                </c:pt>
                <c:pt idx="92">
                  <c:v>822</c:v>
                </c:pt>
                <c:pt idx="93">
                  <c:v>688</c:v>
                </c:pt>
                <c:pt idx="94">
                  <c:v>1633</c:v>
                </c:pt>
                <c:pt idx="95">
                  <c:v>1633</c:v>
                </c:pt>
                <c:pt idx="96">
                  <c:v>1633</c:v>
                </c:pt>
                <c:pt idx="97">
                  <c:v>1633</c:v>
                </c:pt>
                <c:pt idx="98">
                  <c:v>1633</c:v>
                </c:pt>
                <c:pt idx="99">
                  <c:v>1633</c:v>
                </c:pt>
                <c:pt idx="100">
                  <c:v>1633</c:v>
                </c:pt>
                <c:pt idx="101">
                  <c:v>1633</c:v>
                </c:pt>
                <c:pt idx="102">
                  <c:v>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3-4399-BB8C-B470B4E5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2"/>
          <c:order val="5"/>
          <c:tx>
            <c:strRef>
              <c:f>'Buen fin (3)'!$E$20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'Buen fin (3)'!$F$10:$DD$10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(3)'!$F$20:$DD$20</c:f>
              <c:numCache>
                <c:formatCode>#,##0</c:formatCode>
                <c:ptCount val="103"/>
                <c:pt idx="0">
                  <c:v>593</c:v>
                </c:pt>
                <c:pt idx="1">
                  <c:v>892</c:v>
                </c:pt>
                <c:pt idx="2">
                  <c:v>1015</c:v>
                </c:pt>
                <c:pt idx="3">
                  <c:v>1368</c:v>
                </c:pt>
                <c:pt idx="4">
                  <c:v>1888</c:v>
                </c:pt>
                <c:pt idx="5">
                  <c:v>1903</c:v>
                </c:pt>
                <c:pt idx="6">
                  <c:v>2088</c:v>
                </c:pt>
                <c:pt idx="7">
                  <c:v>2093</c:v>
                </c:pt>
                <c:pt idx="8">
                  <c:v>1360</c:v>
                </c:pt>
                <c:pt idx="9">
                  <c:v>842</c:v>
                </c:pt>
                <c:pt idx="10">
                  <c:v>1944</c:v>
                </c:pt>
                <c:pt idx="11">
                  <c:v>1801</c:v>
                </c:pt>
                <c:pt idx="12">
                  <c:v>1970</c:v>
                </c:pt>
                <c:pt idx="13">
                  <c:v>1666</c:v>
                </c:pt>
                <c:pt idx="14">
                  <c:v>1565</c:v>
                </c:pt>
                <c:pt idx="15">
                  <c:v>724</c:v>
                </c:pt>
                <c:pt idx="16">
                  <c:v>1130</c:v>
                </c:pt>
                <c:pt idx="17">
                  <c:v>1860</c:v>
                </c:pt>
                <c:pt idx="18">
                  <c:v>1969</c:v>
                </c:pt>
                <c:pt idx="19">
                  <c:v>1761</c:v>
                </c:pt>
                <c:pt idx="20">
                  <c:v>2028</c:v>
                </c:pt>
                <c:pt idx="21">
                  <c:v>2339</c:v>
                </c:pt>
                <c:pt idx="22">
                  <c:v>1123</c:v>
                </c:pt>
                <c:pt idx="23">
                  <c:v>1365</c:v>
                </c:pt>
                <c:pt idx="24">
                  <c:v>2332</c:v>
                </c:pt>
                <c:pt idx="25">
                  <c:v>2284</c:v>
                </c:pt>
                <c:pt idx="26">
                  <c:v>2499</c:v>
                </c:pt>
                <c:pt idx="27">
                  <c:v>2357</c:v>
                </c:pt>
                <c:pt idx="28">
                  <c:v>2201</c:v>
                </c:pt>
                <c:pt idx="29">
                  <c:v>1290</c:v>
                </c:pt>
                <c:pt idx="30">
                  <c:v>838</c:v>
                </c:pt>
                <c:pt idx="31">
                  <c:v>2195</c:v>
                </c:pt>
                <c:pt idx="32">
                  <c:v>2041</c:v>
                </c:pt>
                <c:pt idx="33">
                  <c:v>2015</c:v>
                </c:pt>
                <c:pt idx="34">
                  <c:v>2145</c:v>
                </c:pt>
                <c:pt idx="35">
                  <c:v>2256</c:v>
                </c:pt>
                <c:pt idx="36">
                  <c:v>1201</c:v>
                </c:pt>
                <c:pt idx="37">
                  <c:v>1192</c:v>
                </c:pt>
                <c:pt idx="38">
                  <c:v>1494</c:v>
                </c:pt>
                <c:pt idx="39">
                  <c:v>2242</c:v>
                </c:pt>
                <c:pt idx="40">
                  <c:v>2382</c:v>
                </c:pt>
                <c:pt idx="41">
                  <c:v>2475</c:v>
                </c:pt>
                <c:pt idx="42">
                  <c:v>2594</c:v>
                </c:pt>
                <c:pt idx="43">
                  <c:v>1295</c:v>
                </c:pt>
                <c:pt idx="44">
                  <c:v>1193</c:v>
                </c:pt>
                <c:pt idx="45">
                  <c:v>1029</c:v>
                </c:pt>
                <c:pt idx="46">
                  <c:v>2153</c:v>
                </c:pt>
                <c:pt idx="47">
                  <c:v>2165</c:v>
                </c:pt>
                <c:pt idx="48">
                  <c:v>2101</c:v>
                </c:pt>
                <c:pt idx="49">
                  <c:v>2041</c:v>
                </c:pt>
                <c:pt idx="50">
                  <c:v>1082</c:v>
                </c:pt>
                <c:pt idx="51">
                  <c:v>883</c:v>
                </c:pt>
                <c:pt idx="52">
                  <c:v>2027</c:v>
                </c:pt>
                <c:pt idx="53">
                  <c:v>2032</c:v>
                </c:pt>
                <c:pt idx="54">
                  <c:v>1885</c:v>
                </c:pt>
                <c:pt idx="55">
                  <c:v>1969</c:v>
                </c:pt>
                <c:pt idx="56">
                  <c:v>1795</c:v>
                </c:pt>
                <c:pt idx="57">
                  <c:v>1022</c:v>
                </c:pt>
                <c:pt idx="58">
                  <c:v>685</c:v>
                </c:pt>
                <c:pt idx="59">
                  <c:v>1788</c:v>
                </c:pt>
                <c:pt idx="60">
                  <c:v>1792</c:v>
                </c:pt>
                <c:pt idx="61">
                  <c:v>1774</c:v>
                </c:pt>
                <c:pt idx="62">
                  <c:v>1958</c:v>
                </c:pt>
                <c:pt idx="63">
                  <c:v>1916</c:v>
                </c:pt>
                <c:pt idx="64">
                  <c:v>1136</c:v>
                </c:pt>
                <c:pt idx="65">
                  <c:v>784</c:v>
                </c:pt>
                <c:pt idx="66">
                  <c:v>1907</c:v>
                </c:pt>
                <c:pt idx="67">
                  <c:v>2097</c:v>
                </c:pt>
                <c:pt idx="68">
                  <c:v>1803</c:v>
                </c:pt>
                <c:pt idx="69">
                  <c:v>1461</c:v>
                </c:pt>
                <c:pt idx="70">
                  <c:v>1810</c:v>
                </c:pt>
                <c:pt idx="71">
                  <c:v>629</c:v>
                </c:pt>
                <c:pt idx="72">
                  <c:v>728</c:v>
                </c:pt>
                <c:pt idx="73">
                  <c:v>1523</c:v>
                </c:pt>
                <c:pt idx="74">
                  <c:v>1665</c:v>
                </c:pt>
                <c:pt idx="75">
                  <c:v>1881</c:v>
                </c:pt>
                <c:pt idx="76">
                  <c:v>1608</c:v>
                </c:pt>
                <c:pt idx="77">
                  <c:v>1339</c:v>
                </c:pt>
                <c:pt idx="78">
                  <c:v>872</c:v>
                </c:pt>
                <c:pt idx="79">
                  <c:v>554</c:v>
                </c:pt>
                <c:pt idx="80">
                  <c:v>755</c:v>
                </c:pt>
                <c:pt idx="81">
                  <c:v>2035</c:v>
                </c:pt>
                <c:pt idx="82">
                  <c:v>1583</c:v>
                </c:pt>
                <c:pt idx="83">
                  <c:v>1642</c:v>
                </c:pt>
                <c:pt idx="84">
                  <c:v>1422</c:v>
                </c:pt>
                <c:pt idx="85">
                  <c:v>840</c:v>
                </c:pt>
                <c:pt idx="86">
                  <c:v>690</c:v>
                </c:pt>
                <c:pt idx="87">
                  <c:v>1595</c:v>
                </c:pt>
                <c:pt idx="88">
                  <c:v>1607</c:v>
                </c:pt>
                <c:pt idx="89">
                  <c:v>1589</c:v>
                </c:pt>
                <c:pt idx="90">
                  <c:v>1395</c:v>
                </c:pt>
                <c:pt idx="91">
                  <c:v>1359</c:v>
                </c:pt>
                <c:pt idx="92">
                  <c:v>778</c:v>
                </c:pt>
                <c:pt idx="93">
                  <c:v>812</c:v>
                </c:pt>
                <c:pt idx="94">
                  <c:v>1516</c:v>
                </c:pt>
                <c:pt idx="95">
                  <c:v>1681</c:v>
                </c:pt>
                <c:pt idx="96">
                  <c:v>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F3-4399-BB8C-B470B4E5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TAF-Athletics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'Buen fin (3)'!$E$60</c:f>
              <c:strCache>
                <c:ptCount val="1"/>
                <c:pt idx="0">
                  <c:v>Pronóstico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(3)'!$F$53:$DD$53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(3)'!$F$60:$DD$60</c:f>
              <c:numCache>
                <c:formatCode>#,##0</c:formatCode>
                <c:ptCount val="103"/>
                <c:pt idx="0">
                  <c:v>557</c:v>
                </c:pt>
                <c:pt idx="1">
                  <c:v>492</c:v>
                </c:pt>
                <c:pt idx="2">
                  <c:v>410</c:v>
                </c:pt>
                <c:pt idx="3">
                  <c:v>734</c:v>
                </c:pt>
                <c:pt idx="4">
                  <c:v>946</c:v>
                </c:pt>
                <c:pt idx="5">
                  <c:v>904</c:v>
                </c:pt>
                <c:pt idx="6">
                  <c:v>985</c:v>
                </c:pt>
                <c:pt idx="7">
                  <c:v>1141</c:v>
                </c:pt>
                <c:pt idx="8">
                  <c:v>802</c:v>
                </c:pt>
                <c:pt idx="9">
                  <c:v>560</c:v>
                </c:pt>
                <c:pt idx="10">
                  <c:v>1283</c:v>
                </c:pt>
                <c:pt idx="11">
                  <c:v>1269</c:v>
                </c:pt>
                <c:pt idx="12">
                  <c:v>1153</c:v>
                </c:pt>
                <c:pt idx="13">
                  <c:v>1084</c:v>
                </c:pt>
                <c:pt idx="14">
                  <c:v>813</c:v>
                </c:pt>
                <c:pt idx="15">
                  <c:v>743</c:v>
                </c:pt>
                <c:pt idx="16">
                  <c:v>583</c:v>
                </c:pt>
                <c:pt idx="17">
                  <c:v>1283</c:v>
                </c:pt>
                <c:pt idx="18">
                  <c:v>1269</c:v>
                </c:pt>
                <c:pt idx="19">
                  <c:v>629</c:v>
                </c:pt>
                <c:pt idx="20">
                  <c:v>591</c:v>
                </c:pt>
                <c:pt idx="21">
                  <c:v>461</c:v>
                </c:pt>
                <c:pt idx="22">
                  <c:v>357</c:v>
                </c:pt>
                <c:pt idx="23">
                  <c:v>253</c:v>
                </c:pt>
                <c:pt idx="24">
                  <c:v>811</c:v>
                </c:pt>
                <c:pt idx="25">
                  <c:v>818</c:v>
                </c:pt>
                <c:pt idx="26">
                  <c:v>598</c:v>
                </c:pt>
                <c:pt idx="27">
                  <c:v>557</c:v>
                </c:pt>
                <c:pt idx="28">
                  <c:v>564</c:v>
                </c:pt>
                <c:pt idx="29">
                  <c:v>364</c:v>
                </c:pt>
                <c:pt idx="30">
                  <c:v>282</c:v>
                </c:pt>
                <c:pt idx="31">
                  <c:v>711</c:v>
                </c:pt>
                <c:pt idx="32">
                  <c:v>692</c:v>
                </c:pt>
                <c:pt idx="33">
                  <c:v>672</c:v>
                </c:pt>
                <c:pt idx="34">
                  <c:v>684</c:v>
                </c:pt>
                <c:pt idx="35">
                  <c:v>614</c:v>
                </c:pt>
                <c:pt idx="36">
                  <c:v>406</c:v>
                </c:pt>
                <c:pt idx="37">
                  <c:v>322</c:v>
                </c:pt>
                <c:pt idx="38">
                  <c:v>130</c:v>
                </c:pt>
                <c:pt idx="39">
                  <c:v>627</c:v>
                </c:pt>
                <c:pt idx="40">
                  <c:v>562</c:v>
                </c:pt>
                <c:pt idx="41">
                  <c:v>530</c:v>
                </c:pt>
                <c:pt idx="42">
                  <c:v>489</c:v>
                </c:pt>
                <c:pt idx="43">
                  <c:v>382</c:v>
                </c:pt>
                <c:pt idx="44">
                  <c:v>242</c:v>
                </c:pt>
                <c:pt idx="45">
                  <c:v>201</c:v>
                </c:pt>
                <c:pt idx="46">
                  <c:v>595</c:v>
                </c:pt>
                <c:pt idx="47">
                  <c:v>513</c:v>
                </c:pt>
                <c:pt idx="48">
                  <c:v>463</c:v>
                </c:pt>
                <c:pt idx="49">
                  <c:v>404</c:v>
                </c:pt>
                <c:pt idx="50">
                  <c:v>316</c:v>
                </c:pt>
                <c:pt idx="51">
                  <c:v>190</c:v>
                </c:pt>
                <c:pt idx="52">
                  <c:v>573</c:v>
                </c:pt>
                <c:pt idx="53">
                  <c:v>477</c:v>
                </c:pt>
                <c:pt idx="54">
                  <c:v>319</c:v>
                </c:pt>
                <c:pt idx="55">
                  <c:v>290</c:v>
                </c:pt>
                <c:pt idx="56">
                  <c:v>278</c:v>
                </c:pt>
                <c:pt idx="57">
                  <c:v>237</c:v>
                </c:pt>
                <c:pt idx="58">
                  <c:v>158</c:v>
                </c:pt>
                <c:pt idx="59">
                  <c:v>375</c:v>
                </c:pt>
                <c:pt idx="60">
                  <c:v>342</c:v>
                </c:pt>
                <c:pt idx="61">
                  <c:v>319</c:v>
                </c:pt>
                <c:pt idx="62">
                  <c:v>270</c:v>
                </c:pt>
                <c:pt idx="63">
                  <c:v>249</c:v>
                </c:pt>
                <c:pt idx="64">
                  <c:v>177</c:v>
                </c:pt>
                <c:pt idx="65">
                  <c:v>113</c:v>
                </c:pt>
                <c:pt idx="66">
                  <c:v>357</c:v>
                </c:pt>
                <c:pt idx="67">
                  <c:v>314</c:v>
                </c:pt>
                <c:pt idx="68">
                  <c:v>240</c:v>
                </c:pt>
                <c:pt idx="69">
                  <c:v>244</c:v>
                </c:pt>
                <c:pt idx="70">
                  <c:v>199</c:v>
                </c:pt>
                <c:pt idx="71">
                  <c:v>145</c:v>
                </c:pt>
                <c:pt idx="72">
                  <c:v>79</c:v>
                </c:pt>
                <c:pt idx="73">
                  <c:v>257</c:v>
                </c:pt>
                <c:pt idx="74">
                  <c:v>247</c:v>
                </c:pt>
                <c:pt idx="75">
                  <c:v>241</c:v>
                </c:pt>
                <c:pt idx="76">
                  <c:v>222</c:v>
                </c:pt>
                <c:pt idx="77">
                  <c:v>210</c:v>
                </c:pt>
                <c:pt idx="78">
                  <c:v>162</c:v>
                </c:pt>
                <c:pt idx="79">
                  <c:v>99</c:v>
                </c:pt>
                <c:pt idx="80">
                  <c:v>154</c:v>
                </c:pt>
                <c:pt idx="81">
                  <c:v>299</c:v>
                </c:pt>
                <c:pt idx="82">
                  <c:v>230</c:v>
                </c:pt>
                <c:pt idx="83">
                  <c:v>206</c:v>
                </c:pt>
                <c:pt idx="84">
                  <c:v>178</c:v>
                </c:pt>
                <c:pt idx="85">
                  <c:v>155</c:v>
                </c:pt>
                <c:pt idx="86">
                  <c:v>100</c:v>
                </c:pt>
                <c:pt idx="87">
                  <c:v>256</c:v>
                </c:pt>
                <c:pt idx="88">
                  <c:v>236</c:v>
                </c:pt>
                <c:pt idx="89">
                  <c:v>220</c:v>
                </c:pt>
                <c:pt idx="90">
                  <c:v>194</c:v>
                </c:pt>
                <c:pt idx="91">
                  <c:v>178</c:v>
                </c:pt>
                <c:pt idx="92">
                  <c:v>137</c:v>
                </c:pt>
                <c:pt idx="93">
                  <c:v>85</c:v>
                </c:pt>
                <c:pt idx="94">
                  <c:v>239</c:v>
                </c:pt>
                <c:pt idx="95">
                  <c:v>218</c:v>
                </c:pt>
                <c:pt idx="96">
                  <c:v>272</c:v>
                </c:pt>
                <c:pt idx="97">
                  <c:v>251</c:v>
                </c:pt>
                <c:pt idx="98">
                  <c:v>236</c:v>
                </c:pt>
                <c:pt idx="99">
                  <c:v>150</c:v>
                </c:pt>
                <c:pt idx="10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2-4355-A915-C9851D52ABB8}"/>
            </c:ext>
          </c:extLst>
        </c:ser>
        <c:ser>
          <c:idx val="0"/>
          <c:order val="1"/>
          <c:tx>
            <c:strRef>
              <c:f>'Buen fin (3)'!$E$54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(3)'!$F$53:$DD$53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(3)'!$F$54:$DD$54</c:f>
              <c:numCache>
                <c:formatCode>#,##0</c:formatCode>
                <c:ptCount val="103"/>
                <c:pt idx="0">
                  <c:v>617</c:v>
                </c:pt>
                <c:pt idx="1">
                  <c:v>469</c:v>
                </c:pt>
                <c:pt idx="2">
                  <c:v>485</c:v>
                </c:pt>
                <c:pt idx="3">
                  <c:v>725</c:v>
                </c:pt>
                <c:pt idx="4">
                  <c:v>1075</c:v>
                </c:pt>
                <c:pt idx="5">
                  <c:v>1074</c:v>
                </c:pt>
                <c:pt idx="6">
                  <c:v>1075</c:v>
                </c:pt>
                <c:pt idx="7">
                  <c:v>1084</c:v>
                </c:pt>
                <c:pt idx="8">
                  <c:v>825</c:v>
                </c:pt>
                <c:pt idx="9">
                  <c:v>553</c:v>
                </c:pt>
                <c:pt idx="10">
                  <c:v>1282</c:v>
                </c:pt>
                <c:pt idx="11">
                  <c:v>985</c:v>
                </c:pt>
                <c:pt idx="12">
                  <c:v>1143</c:v>
                </c:pt>
                <c:pt idx="13">
                  <c:v>961</c:v>
                </c:pt>
                <c:pt idx="14">
                  <c:v>882</c:v>
                </c:pt>
                <c:pt idx="15">
                  <c:v>535</c:v>
                </c:pt>
                <c:pt idx="16">
                  <c:v>304</c:v>
                </c:pt>
                <c:pt idx="17">
                  <c:v>615</c:v>
                </c:pt>
                <c:pt idx="18">
                  <c:v>595</c:v>
                </c:pt>
                <c:pt idx="19">
                  <c:v>614</c:v>
                </c:pt>
                <c:pt idx="20">
                  <c:v>561</c:v>
                </c:pt>
                <c:pt idx="21">
                  <c:v>461</c:v>
                </c:pt>
                <c:pt idx="22">
                  <c:v>317</c:v>
                </c:pt>
                <c:pt idx="23">
                  <c:v>253</c:v>
                </c:pt>
                <c:pt idx="24">
                  <c:v>606</c:v>
                </c:pt>
                <c:pt idx="25">
                  <c:v>591</c:v>
                </c:pt>
                <c:pt idx="26">
                  <c:v>560</c:v>
                </c:pt>
                <c:pt idx="27">
                  <c:v>471</c:v>
                </c:pt>
                <c:pt idx="28">
                  <c:v>432</c:v>
                </c:pt>
                <c:pt idx="29">
                  <c:v>367</c:v>
                </c:pt>
                <c:pt idx="30">
                  <c:v>299</c:v>
                </c:pt>
                <c:pt idx="31">
                  <c:v>887</c:v>
                </c:pt>
                <c:pt idx="32">
                  <c:v>624</c:v>
                </c:pt>
                <c:pt idx="33">
                  <c:v>625</c:v>
                </c:pt>
                <c:pt idx="34">
                  <c:v>739</c:v>
                </c:pt>
                <c:pt idx="35">
                  <c:v>708</c:v>
                </c:pt>
                <c:pt idx="36">
                  <c:v>435</c:v>
                </c:pt>
                <c:pt idx="37">
                  <c:v>256</c:v>
                </c:pt>
                <c:pt idx="38">
                  <c:v>177</c:v>
                </c:pt>
                <c:pt idx="39">
                  <c:v>632</c:v>
                </c:pt>
                <c:pt idx="40">
                  <c:v>488</c:v>
                </c:pt>
                <c:pt idx="41">
                  <c:v>417</c:v>
                </c:pt>
                <c:pt idx="42">
                  <c:v>412</c:v>
                </c:pt>
                <c:pt idx="43">
                  <c:v>275</c:v>
                </c:pt>
                <c:pt idx="44">
                  <c:v>176</c:v>
                </c:pt>
                <c:pt idx="45">
                  <c:v>129</c:v>
                </c:pt>
                <c:pt idx="46">
                  <c:v>500</c:v>
                </c:pt>
                <c:pt idx="47">
                  <c:v>495</c:v>
                </c:pt>
                <c:pt idx="48">
                  <c:v>347</c:v>
                </c:pt>
                <c:pt idx="49">
                  <c:v>323</c:v>
                </c:pt>
                <c:pt idx="50">
                  <c:v>199</c:v>
                </c:pt>
                <c:pt idx="51">
                  <c:v>176</c:v>
                </c:pt>
                <c:pt idx="52">
                  <c:v>370</c:v>
                </c:pt>
                <c:pt idx="53">
                  <c:v>357</c:v>
                </c:pt>
                <c:pt idx="54">
                  <c:v>252</c:v>
                </c:pt>
                <c:pt idx="55">
                  <c:v>285</c:v>
                </c:pt>
                <c:pt idx="56">
                  <c:v>243</c:v>
                </c:pt>
                <c:pt idx="57">
                  <c:v>165</c:v>
                </c:pt>
                <c:pt idx="58">
                  <c:v>124</c:v>
                </c:pt>
                <c:pt idx="59">
                  <c:v>311</c:v>
                </c:pt>
                <c:pt idx="60">
                  <c:v>353</c:v>
                </c:pt>
                <c:pt idx="61">
                  <c:v>330</c:v>
                </c:pt>
                <c:pt idx="62">
                  <c:v>323</c:v>
                </c:pt>
                <c:pt idx="63">
                  <c:v>310</c:v>
                </c:pt>
                <c:pt idx="64">
                  <c:v>178</c:v>
                </c:pt>
                <c:pt idx="65">
                  <c:v>94</c:v>
                </c:pt>
                <c:pt idx="66">
                  <c:v>278</c:v>
                </c:pt>
                <c:pt idx="67">
                  <c:v>285</c:v>
                </c:pt>
                <c:pt idx="68">
                  <c:v>206</c:v>
                </c:pt>
                <c:pt idx="69">
                  <c:v>214</c:v>
                </c:pt>
                <c:pt idx="70">
                  <c:v>192</c:v>
                </c:pt>
                <c:pt idx="71">
                  <c:v>149</c:v>
                </c:pt>
                <c:pt idx="72">
                  <c:v>84</c:v>
                </c:pt>
                <c:pt idx="73">
                  <c:v>259</c:v>
                </c:pt>
                <c:pt idx="74">
                  <c:v>245</c:v>
                </c:pt>
                <c:pt idx="75">
                  <c:v>232</c:v>
                </c:pt>
                <c:pt idx="76">
                  <c:v>208</c:v>
                </c:pt>
                <c:pt idx="77">
                  <c:v>193</c:v>
                </c:pt>
                <c:pt idx="78">
                  <c:v>180</c:v>
                </c:pt>
                <c:pt idx="79">
                  <c:v>89</c:v>
                </c:pt>
                <c:pt idx="80">
                  <c:v>168</c:v>
                </c:pt>
                <c:pt idx="81">
                  <c:v>264</c:v>
                </c:pt>
                <c:pt idx="82">
                  <c:v>260</c:v>
                </c:pt>
                <c:pt idx="83">
                  <c:v>197</c:v>
                </c:pt>
                <c:pt idx="84">
                  <c:v>155</c:v>
                </c:pt>
                <c:pt idx="85">
                  <c:v>130</c:v>
                </c:pt>
                <c:pt idx="86">
                  <c:v>82</c:v>
                </c:pt>
                <c:pt idx="87">
                  <c:v>252</c:v>
                </c:pt>
                <c:pt idx="88">
                  <c:v>232</c:v>
                </c:pt>
                <c:pt idx="89">
                  <c:v>157</c:v>
                </c:pt>
                <c:pt idx="90">
                  <c:v>243</c:v>
                </c:pt>
                <c:pt idx="91">
                  <c:v>188</c:v>
                </c:pt>
                <c:pt idx="92">
                  <c:v>137</c:v>
                </c:pt>
                <c:pt idx="93">
                  <c:v>100</c:v>
                </c:pt>
                <c:pt idx="94">
                  <c:v>259</c:v>
                </c:pt>
                <c:pt idx="95">
                  <c:v>329</c:v>
                </c:pt>
                <c:pt idx="96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2-4355-A915-C9851D52ABB8}"/>
            </c:ext>
          </c:extLst>
        </c:ser>
        <c:ser>
          <c:idx val="4"/>
          <c:order val="2"/>
          <c:tx>
            <c:strRef>
              <c:f>'Buen fin (3)'!$E$58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(3)'!$F$53:$DD$53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(3)'!$F$58:$DD$58</c:f>
              <c:numCache>
                <c:formatCode>#,##0</c:formatCode>
                <c:ptCount val="103"/>
                <c:pt idx="5">
                  <c:v>562</c:v>
                </c:pt>
                <c:pt idx="6">
                  <c:v>843</c:v>
                </c:pt>
                <c:pt idx="7">
                  <c:v>1090</c:v>
                </c:pt>
                <c:pt idx="8">
                  <c:v>1264</c:v>
                </c:pt>
                <c:pt idx="9">
                  <c:v>1367</c:v>
                </c:pt>
                <c:pt idx="10">
                  <c:v>1542</c:v>
                </c:pt>
                <c:pt idx="11">
                  <c:v>1914</c:v>
                </c:pt>
                <c:pt idx="12">
                  <c:v>1025</c:v>
                </c:pt>
                <c:pt idx="13">
                  <c:v>1344</c:v>
                </c:pt>
                <c:pt idx="14">
                  <c:v>1186</c:v>
                </c:pt>
                <c:pt idx="15">
                  <c:v>1474</c:v>
                </c:pt>
                <c:pt idx="16">
                  <c:v>1690</c:v>
                </c:pt>
                <c:pt idx="17">
                  <c:v>1385</c:v>
                </c:pt>
                <c:pt idx="18">
                  <c:v>1323</c:v>
                </c:pt>
                <c:pt idx="19">
                  <c:v>1014</c:v>
                </c:pt>
                <c:pt idx="20">
                  <c:v>1205</c:v>
                </c:pt>
                <c:pt idx="21">
                  <c:v>1315</c:v>
                </c:pt>
                <c:pt idx="22">
                  <c:v>1254</c:v>
                </c:pt>
                <c:pt idx="23">
                  <c:v>1248</c:v>
                </c:pt>
                <c:pt idx="24">
                  <c:v>1033</c:v>
                </c:pt>
                <c:pt idx="25">
                  <c:v>1206</c:v>
                </c:pt>
                <c:pt idx="26">
                  <c:v>1330</c:v>
                </c:pt>
                <c:pt idx="27">
                  <c:v>1284</c:v>
                </c:pt>
                <c:pt idx="28">
                  <c:v>971</c:v>
                </c:pt>
                <c:pt idx="29">
                  <c:v>929</c:v>
                </c:pt>
                <c:pt idx="30">
                  <c:v>877</c:v>
                </c:pt>
                <c:pt idx="31">
                  <c:v>960</c:v>
                </c:pt>
                <c:pt idx="32">
                  <c:v>1239</c:v>
                </c:pt>
                <c:pt idx="33">
                  <c:v>1126</c:v>
                </c:pt>
                <c:pt idx="34">
                  <c:v>976</c:v>
                </c:pt>
                <c:pt idx="35">
                  <c:v>1065</c:v>
                </c:pt>
                <c:pt idx="36">
                  <c:v>1013</c:v>
                </c:pt>
                <c:pt idx="37">
                  <c:v>1003</c:v>
                </c:pt>
                <c:pt idx="38">
                  <c:v>715</c:v>
                </c:pt>
                <c:pt idx="39">
                  <c:v>390</c:v>
                </c:pt>
                <c:pt idx="40">
                  <c:v>484</c:v>
                </c:pt>
                <c:pt idx="41">
                  <c:v>234</c:v>
                </c:pt>
                <c:pt idx="42">
                  <c:v>106</c:v>
                </c:pt>
                <c:pt idx="43">
                  <c:v>110</c:v>
                </c:pt>
                <c:pt idx="44">
                  <c:v>77</c:v>
                </c:pt>
                <c:pt idx="45">
                  <c:v>46</c:v>
                </c:pt>
                <c:pt idx="46">
                  <c:v>49</c:v>
                </c:pt>
                <c:pt idx="47">
                  <c:v>96</c:v>
                </c:pt>
                <c:pt idx="48">
                  <c:v>154</c:v>
                </c:pt>
                <c:pt idx="49">
                  <c:v>49</c:v>
                </c:pt>
                <c:pt idx="50">
                  <c:v>105</c:v>
                </c:pt>
                <c:pt idx="51">
                  <c:v>61</c:v>
                </c:pt>
                <c:pt idx="52">
                  <c:v>81</c:v>
                </c:pt>
                <c:pt idx="53">
                  <c:v>75</c:v>
                </c:pt>
                <c:pt idx="54">
                  <c:v>90</c:v>
                </c:pt>
                <c:pt idx="55">
                  <c:v>136</c:v>
                </c:pt>
                <c:pt idx="56">
                  <c:v>150</c:v>
                </c:pt>
                <c:pt idx="57">
                  <c:v>73</c:v>
                </c:pt>
                <c:pt idx="58">
                  <c:v>28</c:v>
                </c:pt>
                <c:pt idx="59">
                  <c:v>64</c:v>
                </c:pt>
                <c:pt idx="60">
                  <c:v>73</c:v>
                </c:pt>
                <c:pt idx="61">
                  <c:v>66</c:v>
                </c:pt>
                <c:pt idx="62">
                  <c:v>83</c:v>
                </c:pt>
                <c:pt idx="63">
                  <c:v>70</c:v>
                </c:pt>
                <c:pt idx="64">
                  <c:v>74</c:v>
                </c:pt>
                <c:pt idx="65">
                  <c:v>68</c:v>
                </c:pt>
                <c:pt idx="66">
                  <c:v>29</c:v>
                </c:pt>
                <c:pt idx="67">
                  <c:v>111</c:v>
                </c:pt>
                <c:pt idx="68">
                  <c:v>6</c:v>
                </c:pt>
                <c:pt idx="69">
                  <c:v>14</c:v>
                </c:pt>
                <c:pt idx="70">
                  <c:v>45</c:v>
                </c:pt>
                <c:pt idx="71">
                  <c:v>55</c:v>
                </c:pt>
                <c:pt idx="72">
                  <c:v>82</c:v>
                </c:pt>
                <c:pt idx="73">
                  <c:v>47</c:v>
                </c:pt>
                <c:pt idx="74">
                  <c:v>36</c:v>
                </c:pt>
                <c:pt idx="75">
                  <c:v>44</c:v>
                </c:pt>
                <c:pt idx="76">
                  <c:v>40</c:v>
                </c:pt>
                <c:pt idx="77">
                  <c:v>18</c:v>
                </c:pt>
                <c:pt idx="78">
                  <c:v>40</c:v>
                </c:pt>
                <c:pt idx="79">
                  <c:v>7</c:v>
                </c:pt>
                <c:pt idx="80">
                  <c:v>5</c:v>
                </c:pt>
                <c:pt idx="81">
                  <c:v>8</c:v>
                </c:pt>
                <c:pt idx="82">
                  <c:v>62</c:v>
                </c:pt>
                <c:pt idx="83">
                  <c:v>8</c:v>
                </c:pt>
                <c:pt idx="84">
                  <c:v>41</c:v>
                </c:pt>
                <c:pt idx="85">
                  <c:v>7</c:v>
                </c:pt>
                <c:pt idx="86">
                  <c:v>21</c:v>
                </c:pt>
                <c:pt idx="87">
                  <c:v>1</c:v>
                </c:pt>
                <c:pt idx="88">
                  <c:v>21</c:v>
                </c:pt>
                <c:pt idx="89">
                  <c:v>32</c:v>
                </c:pt>
                <c:pt idx="90">
                  <c:v>11</c:v>
                </c:pt>
                <c:pt idx="91">
                  <c:v>27</c:v>
                </c:pt>
                <c:pt idx="92">
                  <c:v>21</c:v>
                </c:pt>
                <c:pt idx="93">
                  <c:v>11</c:v>
                </c:pt>
                <c:pt idx="94">
                  <c:v>11</c:v>
                </c:pt>
                <c:pt idx="95">
                  <c:v>35</c:v>
                </c:pt>
                <c:pt idx="96">
                  <c:v>110</c:v>
                </c:pt>
                <c:pt idx="9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2-4355-A915-C9851D52ABB8}"/>
            </c:ext>
          </c:extLst>
        </c:ser>
        <c:ser>
          <c:idx val="5"/>
          <c:order val="3"/>
          <c:tx>
            <c:strRef>
              <c:f>'Buen fin (3)'!$E$61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'Buen fin (3)'!$F$53:$DD$53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(3)'!$F$61:$DD$61</c:f>
              <c:numCache>
                <c:formatCode>#,##0</c:formatCode>
                <c:ptCount val="103"/>
                <c:pt idx="0">
                  <c:v>557</c:v>
                </c:pt>
                <c:pt idx="1">
                  <c:v>492</c:v>
                </c:pt>
                <c:pt idx="2">
                  <c:v>410</c:v>
                </c:pt>
                <c:pt idx="3">
                  <c:v>734</c:v>
                </c:pt>
                <c:pt idx="4">
                  <c:v>946</c:v>
                </c:pt>
                <c:pt idx="5">
                  <c:v>1466</c:v>
                </c:pt>
                <c:pt idx="6">
                  <c:v>1828</c:v>
                </c:pt>
                <c:pt idx="7">
                  <c:v>2231</c:v>
                </c:pt>
                <c:pt idx="8">
                  <c:v>2066</c:v>
                </c:pt>
                <c:pt idx="9">
                  <c:v>1927</c:v>
                </c:pt>
                <c:pt idx="10">
                  <c:v>2825</c:v>
                </c:pt>
                <c:pt idx="11">
                  <c:v>3183</c:v>
                </c:pt>
                <c:pt idx="12">
                  <c:v>2178</c:v>
                </c:pt>
                <c:pt idx="13">
                  <c:v>2428</c:v>
                </c:pt>
                <c:pt idx="14">
                  <c:v>1999</c:v>
                </c:pt>
                <c:pt idx="15">
                  <c:v>2217</c:v>
                </c:pt>
                <c:pt idx="16">
                  <c:v>2273</c:v>
                </c:pt>
                <c:pt idx="17">
                  <c:v>2668</c:v>
                </c:pt>
                <c:pt idx="18">
                  <c:v>2592</c:v>
                </c:pt>
                <c:pt idx="19">
                  <c:v>1643</c:v>
                </c:pt>
                <c:pt idx="20">
                  <c:v>1796</c:v>
                </c:pt>
                <c:pt idx="21">
                  <c:v>1776</c:v>
                </c:pt>
                <c:pt idx="22">
                  <c:v>1611</c:v>
                </c:pt>
                <c:pt idx="23">
                  <c:v>1501</c:v>
                </c:pt>
                <c:pt idx="24">
                  <c:v>1844</c:v>
                </c:pt>
                <c:pt idx="25">
                  <c:v>2024</c:v>
                </c:pt>
                <c:pt idx="26">
                  <c:v>1928</c:v>
                </c:pt>
                <c:pt idx="27">
                  <c:v>1841</c:v>
                </c:pt>
                <c:pt idx="28">
                  <c:v>1535</c:v>
                </c:pt>
                <c:pt idx="29">
                  <c:v>1293</c:v>
                </c:pt>
                <c:pt idx="30">
                  <c:v>1159</c:v>
                </c:pt>
                <c:pt idx="31">
                  <c:v>1671</c:v>
                </c:pt>
                <c:pt idx="32">
                  <c:v>1931</c:v>
                </c:pt>
                <c:pt idx="33">
                  <c:v>1798</c:v>
                </c:pt>
                <c:pt idx="34">
                  <c:v>1660</c:v>
                </c:pt>
                <c:pt idx="35">
                  <c:v>1679</c:v>
                </c:pt>
                <c:pt idx="36">
                  <c:v>1419</c:v>
                </c:pt>
                <c:pt idx="37">
                  <c:v>1325</c:v>
                </c:pt>
                <c:pt idx="38">
                  <c:v>845</c:v>
                </c:pt>
                <c:pt idx="39">
                  <c:v>1017</c:v>
                </c:pt>
                <c:pt idx="40">
                  <c:v>1046</c:v>
                </c:pt>
                <c:pt idx="41">
                  <c:v>764</c:v>
                </c:pt>
                <c:pt idx="42">
                  <c:v>595</c:v>
                </c:pt>
                <c:pt idx="43">
                  <c:v>492</c:v>
                </c:pt>
                <c:pt idx="44">
                  <c:v>319</c:v>
                </c:pt>
                <c:pt idx="45">
                  <c:v>247</c:v>
                </c:pt>
                <c:pt idx="46">
                  <c:v>644</c:v>
                </c:pt>
                <c:pt idx="47">
                  <c:v>609</c:v>
                </c:pt>
                <c:pt idx="48">
                  <c:v>617</c:v>
                </c:pt>
                <c:pt idx="49">
                  <c:v>453</c:v>
                </c:pt>
                <c:pt idx="50">
                  <c:v>421</c:v>
                </c:pt>
                <c:pt idx="51">
                  <c:v>251</c:v>
                </c:pt>
                <c:pt idx="52">
                  <c:v>654</c:v>
                </c:pt>
                <c:pt idx="53">
                  <c:v>552</c:v>
                </c:pt>
                <c:pt idx="54">
                  <c:v>409</c:v>
                </c:pt>
                <c:pt idx="55">
                  <c:v>426</c:v>
                </c:pt>
                <c:pt idx="56">
                  <c:v>428</c:v>
                </c:pt>
                <c:pt idx="57">
                  <c:v>310</c:v>
                </c:pt>
                <c:pt idx="58">
                  <c:v>186</c:v>
                </c:pt>
                <c:pt idx="59">
                  <c:v>439</c:v>
                </c:pt>
                <c:pt idx="60">
                  <c:v>415</c:v>
                </c:pt>
                <c:pt idx="61">
                  <c:v>385</c:v>
                </c:pt>
                <c:pt idx="62">
                  <c:v>353</c:v>
                </c:pt>
                <c:pt idx="63">
                  <c:v>319</c:v>
                </c:pt>
                <c:pt idx="64">
                  <c:v>251</c:v>
                </c:pt>
                <c:pt idx="65">
                  <c:v>181</c:v>
                </c:pt>
                <c:pt idx="66">
                  <c:v>386</c:v>
                </c:pt>
                <c:pt idx="67">
                  <c:v>425</c:v>
                </c:pt>
                <c:pt idx="68">
                  <c:v>246</c:v>
                </c:pt>
                <c:pt idx="69">
                  <c:v>258</c:v>
                </c:pt>
                <c:pt idx="70">
                  <c:v>244</c:v>
                </c:pt>
                <c:pt idx="71">
                  <c:v>200</c:v>
                </c:pt>
                <c:pt idx="72">
                  <c:v>161</c:v>
                </c:pt>
                <c:pt idx="73">
                  <c:v>304</c:v>
                </c:pt>
                <c:pt idx="74">
                  <c:v>283</c:v>
                </c:pt>
                <c:pt idx="75">
                  <c:v>285</c:v>
                </c:pt>
                <c:pt idx="76">
                  <c:v>262</c:v>
                </c:pt>
                <c:pt idx="77">
                  <c:v>211</c:v>
                </c:pt>
                <c:pt idx="78">
                  <c:v>220</c:v>
                </c:pt>
                <c:pt idx="79">
                  <c:v>96</c:v>
                </c:pt>
                <c:pt idx="80">
                  <c:v>173</c:v>
                </c:pt>
                <c:pt idx="81">
                  <c:v>272</c:v>
                </c:pt>
                <c:pt idx="82">
                  <c:v>322</c:v>
                </c:pt>
                <c:pt idx="83">
                  <c:v>205</c:v>
                </c:pt>
                <c:pt idx="84">
                  <c:v>196</c:v>
                </c:pt>
                <c:pt idx="85">
                  <c:v>137</c:v>
                </c:pt>
                <c:pt idx="86">
                  <c:v>103</c:v>
                </c:pt>
                <c:pt idx="87">
                  <c:v>253</c:v>
                </c:pt>
                <c:pt idx="88">
                  <c:v>253</c:v>
                </c:pt>
                <c:pt idx="89">
                  <c:v>189</c:v>
                </c:pt>
                <c:pt idx="90">
                  <c:v>254</c:v>
                </c:pt>
                <c:pt idx="91">
                  <c:v>215</c:v>
                </c:pt>
                <c:pt idx="92">
                  <c:v>158</c:v>
                </c:pt>
                <c:pt idx="93">
                  <c:v>111</c:v>
                </c:pt>
                <c:pt idx="94">
                  <c:v>270</c:v>
                </c:pt>
                <c:pt idx="95">
                  <c:v>364</c:v>
                </c:pt>
                <c:pt idx="96">
                  <c:v>425</c:v>
                </c:pt>
                <c:pt idx="97">
                  <c:v>89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2-4355-A915-C9851D52ABB8}"/>
            </c:ext>
          </c:extLst>
        </c:ser>
        <c:ser>
          <c:idx val="1"/>
          <c:order val="4"/>
          <c:tx>
            <c:strRef>
              <c:f>'Buen fin (3)'!$E$55</c:f>
              <c:strCache>
                <c:ptCount val="1"/>
                <c:pt idx="0">
                  <c:v>Capacidad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(3)'!$F$53:$DD$53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(3)'!$F$55:$DD$55</c:f>
              <c:numCache>
                <c:formatCode>#,##0</c:formatCode>
                <c:ptCount val="103"/>
                <c:pt idx="0">
                  <c:v>570</c:v>
                </c:pt>
                <c:pt idx="1">
                  <c:v>317</c:v>
                </c:pt>
                <c:pt idx="2">
                  <c:v>245</c:v>
                </c:pt>
                <c:pt idx="3">
                  <c:v>570</c:v>
                </c:pt>
                <c:pt idx="4">
                  <c:v>570</c:v>
                </c:pt>
                <c:pt idx="5">
                  <c:v>570</c:v>
                </c:pt>
                <c:pt idx="6">
                  <c:v>570</c:v>
                </c:pt>
                <c:pt idx="7">
                  <c:v>570</c:v>
                </c:pt>
                <c:pt idx="8">
                  <c:v>317</c:v>
                </c:pt>
                <c:pt idx="9">
                  <c:v>245</c:v>
                </c:pt>
                <c:pt idx="10">
                  <c:v>570</c:v>
                </c:pt>
                <c:pt idx="11">
                  <c:v>532</c:v>
                </c:pt>
                <c:pt idx="12">
                  <c:v>570</c:v>
                </c:pt>
                <c:pt idx="13">
                  <c:v>565.5</c:v>
                </c:pt>
                <c:pt idx="14">
                  <c:v>565.5</c:v>
                </c:pt>
                <c:pt idx="15">
                  <c:v>302</c:v>
                </c:pt>
                <c:pt idx="16">
                  <c:v>302</c:v>
                </c:pt>
                <c:pt idx="17">
                  <c:v>565.5</c:v>
                </c:pt>
                <c:pt idx="18">
                  <c:v>565.5</c:v>
                </c:pt>
                <c:pt idx="19">
                  <c:v>565.5</c:v>
                </c:pt>
                <c:pt idx="20">
                  <c:v>413</c:v>
                </c:pt>
                <c:pt idx="21">
                  <c:v>413</c:v>
                </c:pt>
                <c:pt idx="22">
                  <c:v>266</c:v>
                </c:pt>
                <c:pt idx="23">
                  <c:v>227</c:v>
                </c:pt>
                <c:pt idx="24">
                  <c:v>413</c:v>
                </c:pt>
                <c:pt idx="25">
                  <c:v>413</c:v>
                </c:pt>
                <c:pt idx="26">
                  <c:v>413</c:v>
                </c:pt>
                <c:pt idx="27">
                  <c:v>413</c:v>
                </c:pt>
                <c:pt idx="28">
                  <c:v>413</c:v>
                </c:pt>
                <c:pt idx="29">
                  <c:v>225</c:v>
                </c:pt>
                <c:pt idx="30">
                  <c:v>289</c:v>
                </c:pt>
                <c:pt idx="31">
                  <c:v>489</c:v>
                </c:pt>
                <c:pt idx="32">
                  <c:v>489</c:v>
                </c:pt>
                <c:pt idx="33">
                  <c:v>489</c:v>
                </c:pt>
                <c:pt idx="34">
                  <c:v>489</c:v>
                </c:pt>
                <c:pt idx="35">
                  <c:v>489</c:v>
                </c:pt>
                <c:pt idx="36">
                  <c:v>383</c:v>
                </c:pt>
                <c:pt idx="37">
                  <c:v>296</c:v>
                </c:pt>
                <c:pt idx="38">
                  <c:v>350</c:v>
                </c:pt>
                <c:pt idx="39">
                  <c:v>489</c:v>
                </c:pt>
                <c:pt idx="40">
                  <c:v>489</c:v>
                </c:pt>
                <c:pt idx="41">
                  <c:v>489</c:v>
                </c:pt>
                <c:pt idx="42">
                  <c:v>489</c:v>
                </c:pt>
                <c:pt idx="43">
                  <c:v>225</c:v>
                </c:pt>
                <c:pt idx="44">
                  <c:v>243</c:v>
                </c:pt>
                <c:pt idx="45">
                  <c:v>244</c:v>
                </c:pt>
                <c:pt idx="46">
                  <c:v>373</c:v>
                </c:pt>
                <c:pt idx="47">
                  <c:v>373</c:v>
                </c:pt>
                <c:pt idx="48">
                  <c:v>373</c:v>
                </c:pt>
                <c:pt idx="49">
                  <c:v>373</c:v>
                </c:pt>
                <c:pt idx="50">
                  <c:v>238</c:v>
                </c:pt>
                <c:pt idx="51">
                  <c:v>198</c:v>
                </c:pt>
                <c:pt idx="52">
                  <c:v>373</c:v>
                </c:pt>
                <c:pt idx="53">
                  <c:v>373</c:v>
                </c:pt>
                <c:pt idx="54">
                  <c:v>373</c:v>
                </c:pt>
                <c:pt idx="55">
                  <c:v>373</c:v>
                </c:pt>
                <c:pt idx="56">
                  <c:v>373</c:v>
                </c:pt>
                <c:pt idx="57">
                  <c:v>220</c:v>
                </c:pt>
                <c:pt idx="58">
                  <c:v>192</c:v>
                </c:pt>
                <c:pt idx="59">
                  <c:v>373</c:v>
                </c:pt>
                <c:pt idx="60">
                  <c:v>373</c:v>
                </c:pt>
                <c:pt idx="61">
                  <c:v>373</c:v>
                </c:pt>
                <c:pt idx="62">
                  <c:v>373</c:v>
                </c:pt>
                <c:pt idx="63">
                  <c:v>373</c:v>
                </c:pt>
                <c:pt idx="64">
                  <c:v>258</c:v>
                </c:pt>
                <c:pt idx="65">
                  <c:v>229</c:v>
                </c:pt>
                <c:pt idx="66">
                  <c:v>373</c:v>
                </c:pt>
                <c:pt idx="67">
                  <c:v>373</c:v>
                </c:pt>
                <c:pt idx="68">
                  <c:v>373</c:v>
                </c:pt>
                <c:pt idx="69">
                  <c:v>373</c:v>
                </c:pt>
                <c:pt idx="70">
                  <c:v>373</c:v>
                </c:pt>
                <c:pt idx="71">
                  <c:v>167</c:v>
                </c:pt>
                <c:pt idx="72">
                  <c:v>186</c:v>
                </c:pt>
                <c:pt idx="73">
                  <c:v>373</c:v>
                </c:pt>
                <c:pt idx="74">
                  <c:v>373</c:v>
                </c:pt>
                <c:pt idx="75">
                  <c:v>373</c:v>
                </c:pt>
                <c:pt idx="76">
                  <c:v>373</c:v>
                </c:pt>
                <c:pt idx="77">
                  <c:v>373</c:v>
                </c:pt>
                <c:pt idx="78">
                  <c:v>209</c:v>
                </c:pt>
                <c:pt idx="79">
                  <c:v>171</c:v>
                </c:pt>
                <c:pt idx="80">
                  <c:v>209</c:v>
                </c:pt>
                <c:pt idx="81">
                  <c:v>454</c:v>
                </c:pt>
                <c:pt idx="82">
                  <c:v>454</c:v>
                </c:pt>
                <c:pt idx="83">
                  <c:v>454</c:v>
                </c:pt>
                <c:pt idx="84">
                  <c:v>454</c:v>
                </c:pt>
                <c:pt idx="85">
                  <c:v>209</c:v>
                </c:pt>
                <c:pt idx="86">
                  <c:v>209</c:v>
                </c:pt>
                <c:pt idx="87">
                  <c:v>454</c:v>
                </c:pt>
                <c:pt idx="88">
                  <c:v>454</c:v>
                </c:pt>
                <c:pt idx="89">
                  <c:v>377</c:v>
                </c:pt>
                <c:pt idx="90">
                  <c:v>377</c:v>
                </c:pt>
                <c:pt idx="91">
                  <c:v>377</c:v>
                </c:pt>
                <c:pt idx="92">
                  <c:v>209</c:v>
                </c:pt>
                <c:pt idx="93">
                  <c:v>209</c:v>
                </c:pt>
                <c:pt idx="94">
                  <c:v>377</c:v>
                </c:pt>
                <c:pt idx="95">
                  <c:v>377</c:v>
                </c:pt>
                <c:pt idx="96">
                  <c:v>377</c:v>
                </c:pt>
                <c:pt idx="97">
                  <c:v>377</c:v>
                </c:pt>
                <c:pt idx="98">
                  <c:v>377</c:v>
                </c:pt>
                <c:pt idx="99">
                  <c:v>377</c:v>
                </c:pt>
                <c:pt idx="100">
                  <c:v>377</c:v>
                </c:pt>
                <c:pt idx="101">
                  <c:v>377</c:v>
                </c:pt>
                <c:pt idx="102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2-4355-A915-C9851D52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2"/>
          <c:order val="5"/>
          <c:tx>
            <c:strRef>
              <c:f>'Buen fin (3)'!$E$63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'Buen fin (3)'!$F$53:$DD$53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(3)'!$F$63:$DD$63</c:f>
              <c:numCache>
                <c:formatCode>#,##0</c:formatCode>
                <c:ptCount val="103"/>
                <c:pt idx="0">
                  <c:v>273</c:v>
                </c:pt>
                <c:pt idx="1">
                  <c:v>304</c:v>
                </c:pt>
                <c:pt idx="2">
                  <c:v>412</c:v>
                </c:pt>
                <c:pt idx="3">
                  <c:v>450</c:v>
                </c:pt>
                <c:pt idx="4">
                  <c:v>714</c:v>
                </c:pt>
                <c:pt idx="5">
                  <c:v>712</c:v>
                </c:pt>
                <c:pt idx="6">
                  <c:v>790</c:v>
                </c:pt>
                <c:pt idx="7">
                  <c:v>724</c:v>
                </c:pt>
                <c:pt idx="8">
                  <c:v>360</c:v>
                </c:pt>
                <c:pt idx="9">
                  <c:v>379</c:v>
                </c:pt>
                <c:pt idx="10">
                  <c:v>730</c:v>
                </c:pt>
                <c:pt idx="11">
                  <c:v>704</c:v>
                </c:pt>
                <c:pt idx="12">
                  <c:v>628</c:v>
                </c:pt>
                <c:pt idx="13">
                  <c:v>502</c:v>
                </c:pt>
                <c:pt idx="14">
                  <c:v>608</c:v>
                </c:pt>
                <c:pt idx="15">
                  <c:v>251</c:v>
                </c:pt>
                <c:pt idx="16">
                  <c:v>438</c:v>
                </c:pt>
                <c:pt idx="17">
                  <c:v>650</c:v>
                </c:pt>
                <c:pt idx="18">
                  <c:v>768</c:v>
                </c:pt>
                <c:pt idx="19">
                  <c:v>622</c:v>
                </c:pt>
                <c:pt idx="20">
                  <c:v>430</c:v>
                </c:pt>
                <c:pt idx="21">
                  <c:v>501</c:v>
                </c:pt>
                <c:pt idx="22">
                  <c:v>357</c:v>
                </c:pt>
                <c:pt idx="23">
                  <c:v>244</c:v>
                </c:pt>
                <c:pt idx="24">
                  <c:v>524</c:v>
                </c:pt>
                <c:pt idx="25">
                  <c:v>525</c:v>
                </c:pt>
                <c:pt idx="26">
                  <c:v>556</c:v>
                </c:pt>
                <c:pt idx="27">
                  <c:v>567</c:v>
                </c:pt>
                <c:pt idx="28">
                  <c:v>543</c:v>
                </c:pt>
                <c:pt idx="29">
                  <c:v>384</c:v>
                </c:pt>
                <c:pt idx="30">
                  <c:v>191</c:v>
                </c:pt>
                <c:pt idx="31">
                  <c:v>553</c:v>
                </c:pt>
                <c:pt idx="32">
                  <c:v>414</c:v>
                </c:pt>
                <c:pt idx="33">
                  <c:v>600</c:v>
                </c:pt>
                <c:pt idx="34">
                  <c:v>519</c:v>
                </c:pt>
                <c:pt idx="35">
                  <c:v>620</c:v>
                </c:pt>
                <c:pt idx="36">
                  <c:v>388</c:v>
                </c:pt>
                <c:pt idx="37">
                  <c:v>358</c:v>
                </c:pt>
                <c:pt idx="38">
                  <c:v>392</c:v>
                </c:pt>
                <c:pt idx="39">
                  <c:v>585</c:v>
                </c:pt>
                <c:pt idx="40">
                  <c:v>512</c:v>
                </c:pt>
                <c:pt idx="41">
                  <c:v>617</c:v>
                </c:pt>
                <c:pt idx="42">
                  <c:v>633</c:v>
                </c:pt>
                <c:pt idx="43">
                  <c:v>287</c:v>
                </c:pt>
                <c:pt idx="44">
                  <c:v>194</c:v>
                </c:pt>
                <c:pt idx="45">
                  <c:v>168</c:v>
                </c:pt>
                <c:pt idx="46">
                  <c:v>510</c:v>
                </c:pt>
                <c:pt idx="47">
                  <c:v>504</c:v>
                </c:pt>
                <c:pt idx="48">
                  <c:v>523</c:v>
                </c:pt>
                <c:pt idx="49">
                  <c:v>375</c:v>
                </c:pt>
                <c:pt idx="50">
                  <c:v>241</c:v>
                </c:pt>
                <c:pt idx="51">
                  <c:v>219</c:v>
                </c:pt>
                <c:pt idx="52">
                  <c:v>391</c:v>
                </c:pt>
                <c:pt idx="53">
                  <c:v>425</c:v>
                </c:pt>
                <c:pt idx="54">
                  <c:v>302</c:v>
                </c:pt>
                <c:pt idx="55">
                  <c:v>308</c:v>
                </c:pt>
                <c:pt idx="56">
                  <c:v>341</c:v>
                </c:pt>
                <c:pt idx="57">
                  <c:v>246</c:v>
                </c:pt>
                <c:pt idx="58">
                  <c:v>94</c:v>
                </c:pt>
                <c:pt idx="59">
                  <c:v>357</c:v>
                </c:pt>
                <c:pt idx="60">
                  <c:v>316</c:v>
                </c:pt>
                <c:pt idx="61">
                  <c:v>307</c:v>
                </c:pt>
                <c:pt idx="62">
                  <c:v>331</c:v>
                </c:pt>
                <c:pt idx="63">
                  <c:v>296</c:v>
                </c:pt>
                <c:pt idx="64">
                  <c:v>141</c:v>
                </c:pt>
                <c:pt idx="65">
                  <c:v>160</c:v>
                </c:pt>
                <c:pt idx="66">
                  <c:v>200</c:v>
                </c:pt>
                <c:pt idx="67">
                  <c:v>390</c:v>
                </c:pt>
                <c:pt idx="68">
                  <c:v>294</c:v>
                </c:pt>
                <c:pt idx="69">
                  <c:v>281</c:v>
                </c:pt>
                <c:pt idx="70">
                  <c:v>305</c:v>
                </c:pt>
                <c:pt idx="71">
                  <c:v>115</c:v>
                </c:pt>
                <c:pt idx="72">
                  <c:v>129</c:v>
                </c:pt>
                <c:pt idx="73">
                  <c:v>280</c:v>
                </c:pt>
                <c:pt idx="74">
                  <c:v>316</c:v>
                </c:pt>
                <c:pt idx="75">
                  <c:v>304</c:v>
                </c:pt>
                <c:pt idx="76">
                  <c:v>333</c:v>
                </c:pt>
                <c:pt idx="77">
                  <c:v>254</c:v>
                </c:pt>
                <c:pt idx="78">
                  <c:v>227</c:v>
                </c:pt>
                <c:pt idx="79">
                  <c:v>123</c:v>
                </c:pt>
                <c:pt idx="80">
                  <c:v>162</c:v>
                </c:pt>
                <c:pt idx="81">
                  <c:v>390</c:v>
                </c:pt>
                <c:pt idx="82">
                  <c:v>323</c:v>
                </c:pt>
                <c:pt idx="83">
                  <c:v>284</c:v>
                </c:pt>
                <c:pt idx="84">
                  <c:v>280</c:v>
                </c:pt>
                <c:pt idx="85">
                  <c:v>176</c:v>
                </c:pt>
                <c:pt idx="86">
                  <c:v>150</c:v>
                </c:pt>
                <c:pt idx="87">
                  <c:v>326</c:v>
                </c:pt>
                <c:pt idx="88">
                  <c:v>278</c:v>
                </c:pt>
                <c:pt idx="89">
                  <c:v>278</c:v>
                </c:pt>
                <c:pt idx="90">
                  <c:v>266</c:v>
                </c:pt>
                <c:pt idx="91">
                  <c:v>221</c:v>
                </c:pt>
                <c:pt idx="92">
                  <c:v>198</c:v>
                </c:pt>
                <c:pt idx="93">
                  <c:v>201</c:v>
                </c:pt>
                <c:pt idx="94">
                  <c:v>234</c:v>
                </c:pt>
                <c:pt idx="95">
                  <c:v>377</c:v>
                </c:pt>
                <c:pt idx="96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2-4355-A915-C9851D52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/>
              <a:t>Comportamiento Buen Fin ||</a:t>
            </a:r>
            <a:r>
              <a:rPr lang="en-US" baseline="0"/>
              <a:t> AXO-LifeStyle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'Buen fin (3)'!$E$111</c:f>
              <c:strCache>
                <c:ptCount val="1"/>
                <c:pt idx="0">
                  <c:v>Pronóstico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(3)'!$F$104:$DD$104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(3)'!$F$111:$DD$111</c:f>
              <c:numCache>
                <c:formatCode>#,##0</c:formatCode>
                <c:ptCount val="103"/>
                <c:pt idx="0">
                  <c:v>964</c:v>
                </c:pt>
                <c:pt idx="1">
                  <c:v>685</c:v>
                </c:pt>
                <c:pt idx="2">
                  <c:v>647</c:v>
                </c:pt>
                <c:pt idx="3">
                  <c:v>1247</c:v>
                </c:pt>
                <c:pt idx="4">
                  <c:v>1691</c:v>
                </c:pt>
                <c:pt idx="5">
                  <c:v>1684</c:v>
                </c:pt>
                <c:pt idx="6">
                  <c:v>1488</c:v>
                </c:pt>
                <c:pt idx="7">
                  <c:v>1666</c:v>
                </c:pt>
                <c:pt idx="8">
                  <c:v>1209</c:v>
                </c:pt>
                <c:pt idx="9">
                  <c:v>781</c:v>
                </c:pt>
                <c:pt idx="10">
                  <c:v>3558</c:v>
                </c:pt>
                <c:pt idx="11">
                  <c:v>3124</c:v>
                </c:pt>
                <c:pt idx="12">
                  <c:v>3237</c:v>
                </c:pt>
                <c:pt idx="13">
                  <c:v>2599</c:v>
                </c:pt>
                <c:pt idx="14">
                  <c:v>2239</c:v>
                </c:pt>
                <c:pt idx="15">
                  <c:v>1439</c:v>
                </c:pt>
                <c:pt idx="16">
                  <c:v>469</c:v>
                </c:pt>
                <c:pt idx="17">
                  <c:v>1555</c:v>
                </c:pt>
                <c:pt idx="18">
                  <c:v>1539</c:v>
                </c:pt>
                <c:pt idx="19">
                  <c:v>1592</c:v>
                </c:pt>
                <c:pt idx="20">
                  <c:v>1519</c:v>
                </c:pt>
                <c:pt idx="21">
                  <c:v>1577</c:v>
                </c:pt>
                <c:pt idx="22">
                  <c:v>1073</c:v>
                </c:pt>
                <c:pt idx="23">
                  <c:v>821</c:v>
                </c:pt>
                <c:pt idx="24">
                  <c:v>1049</c:v>
                </c:pt>
                <c:pt idx="25">
                  <c:v>1016</c:v>
                </c:pt>
                <c:pt idx="26">
                  <c:v>1722</c:v>
                </c:pt>
                <c:pt idx="27">
                  <c:v>1708</c:v>
                </c:pt>
                <c:pt idx="28">
                  <c:v>1636</c:v>
                </c:pt>
                <c:pt idx="29">
                  <c:v>1056</c:v>
                </c:pt>
                <c:pt idx="30">
                  <c:v>845</c:v>
                </c:pt>
                <c:pt idx="31">
                  <c:v>2042</c:v>
                </c:pt>
                <c:pt idx="32">
                  <c:v>2441</c:v>
                </c:pt>
                <c:pt idx="33">
                  <c:v>2165</c:v>
                </c:pt>
                <c:pt idx="34">
                  <c:v>1997</c:v>
                </c:pt>
                <c:pt idx="35">
                  <c:v>1799</c:v>
                </c:pt>
                <c:pt idx="36">
                  <c:v>923</c:v>
                </c:pt>
                <c:pt idx="37">
                  <c:v>520</c:v>
                </c:pt>
                <c:pt idx="38">
                  <c:v>527</c:v>
                </c:pt>
                <c:pt idx="39">
                  <c:v>1707</c:v>
                </c:pt>
                <c:pt idx="40">
                  <c:v>1448</c:v>
                </c:pt>
                <c:pt idx="41">
                  <c:v>1381</c:v>
                </c:pt>
                <c:pt idx="42">
                  <c:v>1288</c:v>
                </c:pt>
                <c:pt idx="43">
                  <c:v>759</c:v>
                </c:pt>
                <c:pt idx="44">
                  <c:v>411</c:v>
                </c:pt>
                <c:pt idx="45">
                  <c:v>346</c:v>
                </c:pt>
                <c:pt idx="46">
                  <c:v>2169</c:v>
                </c:pt>
                <c:pt idx="47">
                  <c:v>1887</c:v>
                </c:pt>
                <c:pt idx="48">
                  <c:v>1602</c:v>
                </c:pt>
                <c:pt idx="49">
                  <c:v>1462</c:v>
                </c:pt>
                <c:pt idx="50">
                  <c:v>902</c:v>
                </c:pt>
                <c:pt idx="51">
                  <c:v>479</c:v>
                </c:pt>
                <c:pt idx="52">
                  <c:v>1879</c:v>
                </c:pt>
                <c:pt idx="53">
                  <c:v>1541</c:v>
                </c:pt>
                <c:pt idx="54">
                  <c:v>2065</c:v>
                </c:pt>
                <c:pt idx="55">
                  <c:v>2042</c:v>
                </c:pt>
                <c:pt idx="56">
                  <c:v>1962</c:v>
                </c:pt>
                <c:pt idx="57">
                  <c:v>1101</c:v>
                </c:pt>
                <c:pt idx="58">
                  <c:v>696</c:v>
                </c:pt>
                <c:pt idx="59">
                  <c:v>2230</c:v>
                </c:pt>
                <c:pt idx="60">
                  <c:v>2097</c:v>
                </c:pt>
                <c:pt idx="61">
                  <c:v>2339</c:v>
                </c:pt>
                <c:pt idx="62">
                  <c:v>2042</c:v>
                </c:pt>
                <c:pt idx="63">
                  <c:v>2023</c:v>
                </c:pt>
                <c:pt idx="64">
                  <c:v>1201</c:v>
                </c:pt>
                <c:pt idx="65">
                  <c:v>727</c:v>
                </c:pt>
                <c:pt idx="66">
                  <c:v>2603</c:v>
                </c:pt>
                <c:pt idx="67">
                  <c:v>2227</c:v>
                </c:pt>
                <c:pt idx="68">
                  <c:v>1673</c:v>
                </c:pt>
                <c:pt idx="69">
                  <c:v>1578</c:v>
                </c:pt>
                <c:pt idx="70">
                  <c:v>1414</c:v>
                </c:pt>
                <c:pt idx="71">
                  <c:v>695</c:v>
                </c:pt>
                <c:pt idx="72">
                  <c:v>485</c:v>
                </c:pt>
                <c:pt idx="73">
                  <c:v>1343</c:v>
                </c:pt>
                <c:pt idx="74">
                  <c:v>1268</c:v>
                </c:pt>
                <c:pt idx="75">
                  <c:v>1118</c:v>
                </c:pt>
                <c:pt idx="76">
                  <c:v>1032</c:v>
                </c:pt>
                <c:pt idx="77">
                  <c:v>943</c:v>
                </c:pt>
                <c:pt idx="78">
                  <c:v>508</c:v>
                </c:pt>
                <c:pt idx="79">
                  <c:v>346</c:v>
                </c:pt>
                <c:pt idx="80">
                  <c:v>404</c:v>
                </c:pt>
                <c:pt idx="81">
                  <c:v>948</c:v>
                </c:pt>
                <c:pt idx="82">
                  <c:v>827</c:v>
                </c:pt>
                <c:pt idx="83">
                  <c:v>777</c:v>
                </c:pt>
                <c:pt idx="84">
                  <c:v>726</c:v>
                </c:pt>
                <c:pt idx="85">
                  <c:v>420</c:v>
                </c:pt>
                <c:pt idx="86">
                  <c:v>272</c:v>
                </c:pt>
                <c:pt idx="87">
                  <c:v>834</c:v>
                </c:pt>
                <c:pt idx="88">
                  <c:v>743</c:v>
                </c:pt>
                <c:pt idx="89">
                  <c:v>706</c:v>
                </c:pt>
                <c:pt idx="90">
                  <c:v>664</c:v>
                </c:pt>
                <c:pt idx="91">
                  <c:v>584</c:v>
                </c:pt>
                <c:pt idx="92">
                  <c:v>368</c:v>
                </c:pt>
                <c:pt idx="93">
                  <c:v>230</c:v>
                </c:pt>
                <c:pt idx="94">
                  <c:v>764</c:v>
                </c:pt>
                <c:pt idx="95">
                  <c:v>703</c:v>
                </c:pt>
                <c:pt idx="96">
                  <c:v>692</c:v>
                </c:pt>
                <c:pt idx="97">
                  <c:v>656</c:v>
                </c:pt>
                <c:pt idx="98">
                  <c:v>555</c:v>
                </c:pt>
                <c:pt idx="99">
                  <c:v>346</c:v>
                </c:pt>
                <c:pt idx="100">
                  <c:v>241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7-40D7-AE88-38A4D486D3AD}"/>
            </c:ext>
          </c:extLst>
        </c:ser>
        <c:ser>
          <c:idx val="0"/>
          <c:order val="1"/>
          <c:tx>
            <c:strRef>
              <c:f>'Buen fin (3)'!$E$105</c:f>
              <c:strCache>
                <c:ptCount val="1"/>
                <c:pt idx="0">
                  <c:v>Recibido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(3)'!$F$104:$DD$104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(3)'!$F$105:$DD$105</c:f>
              <c:numCache>
                <c:formatCode>#,##0</c:formatCode>
                <c:ptCount val="103"/>
                <c:pt idx="0">
                  <c:v>885</c:v>
                </c:pt>
                <c:pt idx="1">
                  <c:v>735</c:v>
                </c:pt>
                <c:pt idx="2">
                  <c:v>721</c:v>
                </c:pt>
                <c:pt idx="3">
                  <c:v>1256</c:v>
                </c:pt>
                <c:pt idx="4">
                  <c:v>1562</c:v>
                </c:pt>
                <c:pt idx="5">
                  <c:v>1514</c:v>
                </c:pt>
                <c:pt idx="6">
                  <c:v>1398</c:v>
                </c:pt>
                <c:pt idx="7">
                  <c:v>1723</c:v>
                </c:pt>
                <c:pt idx="8">
                  <c:v>1186</c:v>
                </c:pt>
                <c:pt idx="9">
                  <c:v>788</c:v>
                </c:pt>
                <c:pt idx="10">
                  <c:v>3405</c:v>
                </c:pt>
                <c:pt idx="11">
                  <c:v>3408</c:v>
                </c:pt>
                <c:pt idx="12">
                  <c:v>3224</c:v>
                </c:pt>
                <c:pt idx="13">
                  <c:v>2722</c:v>
                </c:pt>
                <c:pt idx="14">
                  <c:v>2170</c:v>
                </c:pt>
                <c:pt idx="15">
                  <c:v>1647</c:v>
                </c:pt>
                <c:pt idx="16">
                  <c:v>748</c:v>
                </c:pt>
                <c:pt idx="17">
                  <c:v>2332</c:v>
                </c:pt>
                <c:pt idx="18">
                  <c:v>2417</c:v>
                </c:pt>
                <c:pt idx="19">
                  <c:v>1650</c:v>
                </c:pt>
                <c:pt idx="20">
                  <c:v>1358</c:v>
                </c:pt>
                <c:pt idx="21">
                  <c:v>1456</c:v>
                </c:pt>
                <c:pt idx="22">
                  <c:v>947</c:v>
                </c:pt>
                <c:pt idx="23">
                  <c:v>829</c:v>
                </c:pt>
                <c:pt idx="24">
                  <c:v>2066</c:v>
                </c:pt>
                <c:pt idx="25">
                  <c:v>1861</c:v>
                </c:pt>
                <c:pt idx="26">
                  <c:v>1962</c:v>
                </c:pt>
                <c:pt idx="27">
                  <c:v>1833</c:v>
                </c:pt>
                <c:pt idx="28">
                  <c:v>1800</c:v>
                </c:pt>
                <c:pt idx="29">
                  <c:v>1093</c:v>
                </c:pt>
                <c:pt idx="30">
                  <c:v>924</c:v>
                </c:pt>
                <c:pt idx="31">
                  <c:v>2576</c:v>
                </c:pt>
                <c:pt idx="32">
                  <c:v>2207</c:v>
                </c:pt>
                <c:pt idx="33">
                  <c:v>1906</c:v>
                </c:pt>
                <c:pt idx="34">
                  <c:v>1623</c:v>
                </c:pt>
                <c:pt idx="35">
                  <c:v>1496</c:v>
                </c:pt>
                <c:pt idx="36">
                  <c:v>949</c:v>
                </c:pt>
                <c:pt idx="37">
                  <c:v>482</c:v>
                </c:pt>
                <c:pt idx="38">
                  <c:v>463</c:v>
                </c:pt>
                <c:pt idx="39">
                  <c:v>1921</c:v>
                </c:pt>
                <c:pt idx="40">
                  <c:v>1400</c:v>
                </c:pt>
                <c:pt idx="41">
                  <c:v>1612</c:v>
                </c:pt>
                <c:pt idx="42">
                  <c:v>1199</c:v>
                </c:pt>
                <c:pt idx="43">
                  <c:v>797</c:v>
                </c:pt>
                <c:pt idx="44">
                  <c:v>372</c:v>
                </c:pt>
                <c:pt idx="45">
                  <c:v>345</c:v>
                </c:pt>
                <c:pt idx="46">
                  <c:v>1831</c:v>
                </c:pt>
                <c:pt idx="47">
                  <c:v>1711</c:v>
                </c:pt>
                <c:pt idx="48">
                  <c:v>1593</c:v>
                </c:pt>
                <c:pt idx="49">
                  <c:v>1570</c:v>
                </c:pt>
                <c:pt idx="50">
                  <c:v>939</c:v>
                </c:pt>
                <c:pt idx="51">
                  <c:v>609</c:v>
                </c:pt>
                <c:pt idx="52">
                  <c:v>1764</c:v>
                </c:pt>
                <c:pt idx="53">
                  <c:v>1929</c:v>
                </c:pt>
                <c:pt idx="54">
                  <c:v>2221</c:v>
                </c:pt>
                <c:pt idx="55">
                  <c:v>2167</c:v>
                </c:pt>
                <c:pt idx="56">
                  <c:v>1904</c:v>
                </c:pt>
                <c:pt idx="57">
                  <c:v>925</c:v>
                </c:pt>
                <c:pt idx="58">
                  <c:v>585</c:v>
                </c:pt>
                <c:pt idx="59">
                  <c:v>2882</c:v>
                </c:pt>
                <c:pt idx="60">
                  <c:v>2666</c:v>
                </c:pt>
                <c:pt idx="61">
                  <c:v>2316</c:v>
                </c:pt>
                <c:pt idx="62">
                  <c:v>1844</c:v>
                </c:pt>
                <c:pt idx="63">
                  <c:v>1582</c:v>
                </c:pt>
                <c:pt idx="64">
                  <c:v>740</c:v>
                </c:pt>
                <c:pt idx="65">
                  <c:v>474</c:v>
                </c:pt>
                <c:pt idx="66">
                  <c:v>2163</c:v>
                </c:pt>
                <c:pt idx="67">
                  <c:v>1935</c:v>
                </c:pt>
                <c:pt idx="68">
                  <c:v>1124</c:v>
                </c:pt>
                <c:pt idx="69">
                  <c:v>1106</c:v>
                </c:pt>
                <c:pt idx="70">
                  <c:v>728</c:v>
                </c:pt>
                <c:pt idx="71">
                  <c:v>369</c:v>
                </c:pt>
                <c:pt idx="72">
                  <c:v>275</c:v>
                </c:pt>
                <c:pt idx="73">
                  <c:v>985</c:v>
                </c:pt>
                <c:pt idx="74">
                  <c:v>948</c:v>
                </c:pt>
                <c:pt idx="75">
                  <c:v>974</c:v>
                </c:pt>
                <c:pt idx="76">
                  <c:v>830</c:v>
                </c:pt>
                <c:pt idx="77">
                  <c:v>675</c:v>
                </c:pt>
                <c:pt idx="78">
                  <c:v>396</c:v>
                </c:pt>
                <c:pt idx="79">
                  <c:v>310</c:v>
                </c:pt>
                <c:pt idx="80">
                  <c:v>445</c:v>
                </c:pt>
                <c:pt idx="81">
                  <c:v>826</c:v>
                </c:pt>
                <c:pt idx="82">
                  <c:v>721</c:v>
                </c:pt>
                <c:pt idx="83">
                  <c:v>771</c:v>
                </c:pt>
                <c:pt idx="84">
                  <c:v>633</c:v>
                </c:pt>
                <c:pt idx="85">
                  <c:v>399</c:v>
                </c:pt>
                <c:pt idx="86">
                  <c:v>254</c:v>
                </c:pt>
                <c:pt idx="87">
                  <c:v>746</c:v>
                </c:pt>
                <c:pt idx="88">
                  <c:v>788</c:v>
                </c:pt>
                <c:pt idx="89">
                  <c:v>591</c:v>
                </c:pt>
                <c:pt idx="90">
                  <c:v>704</c:v>
                </c:pt>
                <c:pt idx="91">
                  <c:v>629</c:v>
                </c:pt>
                <c:pt idx="92">
                  <c:v>349</c:v>
                </c:pt>
                <c:pt idx="93">
                  <c:v>261</c:v>
                </c:pt>
                <c:pt idx="94">
                  <c:v>760</c:v>
                </c:pt>
                <c:pt idx="95">
                  <c:v>796</c:v>
                </c:pt>
                <c:pt idx="96">
                  <c:v>692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7-40D7-AE88-38A4D486D3AD}"/>
            </c:ext>
          </c:extLst>
        </c:ser>
        <c:ser>
          <c:idx val="4"/>
          <c:order val="2"/>
          <c:tx>
            <c:strRef>
              <c:f>'Buen fin (3)'!$E$109</c:f>
              <c:strCache>
                <c:ptCount val="1"/>
                <c:pt idx="0">
                  <c:v>BL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(3)'!$F$104:$DD$104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(3)'!$F$109:$DD$109</c:f>
              <c:numCache>
                <c:formatCode>#,##0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447</c:v>
                </c:pt>
                <c:pt idx="6">
                  <c:v>553</c:v>
                </c:pt>
                <c:pt idx="7">
                  <c:v>600</c:v>
                </c:pt>
                <c:pt idx="8">
                  <c:v>920</c:v>
                </c:pt>
                <c:pt idx="9">
                  <c:v>1101</c:v>
                </c:pt>
                <c:pt idx="10">
                  <c:v>1317</c:v>
                </c:pt>
                <c:pt idx="11">
                  <c:v>2097</c:v>
                </c:pt>
                <c:pt idx="12">
                  <c:v>1707</c:v>
                </c:pt>
                <c:pt idx="13">
                  <c:v>2256</c:v>
                </c:pt>
                <c:pt idx="14">
                  <c:v>2424</c:v>
                </c:pt>
                <c:pt idx="15">
                  <c:v>2848</c:v>
                </c:pt>
                <c:pt idx="16">
                  <c:v>3365</c:v>
                </c:pt>
                <c:pt idx="17">
                  <c:v>3267</c:v>
                </c:pt>
                <c:pt idx="18">
                  <c:v>3081</c:v>
                </c:pt>
                <c:pt idx="19">
                  <c:v>2873</c:v>
                </c:pt>
                <c:pt idx="20">
                  <c:v>2944</c:v>
                </c:pt>
                <c:pt idx="21">
                  <c:v>2669</c:v>
                </c:pt>
                <c:pt idx="22">
                  <c:v>2324</c:v>
                </c:pt>
                <c:pt idx="23">
                  <c:v>2524</c:v>
                </c:pt>
                <c:pt idx="24">
                  <c:v>2048</c:v>
                </c:pt>
                <c:pt idx="25">
                  <c:v>2200</c:v>
                </c:pt>
                <c:pt idx="26">
                  <c:v>2182</c:v>
                </c:pt>
                <c:pt idx="27">
                  <c:v>2290</c:v>
                </c:pt>
                <c:pt idx="28">
                  <c:v>2069</c:v>
                </c:pt>
                <c:pt idx="29">
                  <c:v>2261</c:v>
                </c:pt>
                <c:pt idx="30">
                  <c:v>2421</c:v>
                </c:pt>
                <c:pt idx="31">
                  <c:v>3200</c:v>
                </c:pt>
                <c:pt idx="32">
                  <c:v>3871</c:v>
                </c:pt>
                <c:pt idx="33">
                  <c:v>3893</c:v>
                </c:pt>
                <c:pt idx="34">
                  <c:v>3518</c:v>
                </c:pt>
                <c:pt idx="35">
                  <c:v>3644</c:v>
                </c:pt>
                <c:pt idx="36">
                  <c:v>3646</c:v>
                </c:pt>
                <c:pt idx="37">
                  <c:v>3568</c:v>
                </c:pt>
                <c:pt idx="38">
                  <c:v>3364</c:v>
                </c:pt>
                <c:pt idx="39">
                  <c:v>2768</c:v>
                </c:pt>
                <c:pt idx="40">
                  <c:v>2945</c:v>
                </c:pt>
                <c:pt idx="41">
                  <c:v>2188</c:v>
                </c:pt>
                <c:pt idx="42">
                  <c:v>1551</c:v>
                </c:pt>
                <c:pt idx="43">
                  <c:v>1295</c:v>
                </c:pt>
                <c:pt idx="44">
                  <c:v>1224</c:v>
                </c:pt>
                <c:pt idx="45">
                  <c:v>616</c:v>
                </c:pt>
                <c:pt idx="46">
                  <c:v>261</c:v>
                </c:pt>
                <c:pt idx="47">
                  <c:v>606</c:v>
                </c:pt>
                <c:pt idx="48">
                  <c:v>777</c:v>
                </c:pt>
                <c:pt idx="49">
                  <c:v>886</c:v>
                </c:pt>
                <c:pt idx="50">
                  <c:v>1107</c:v>
                </c:pt>
                <c:pt idx="51">
                  <c:v>1256</c:v>
                </c:pt>
                <c:pt idx="52">
                  <c:v>1010</c:v>
                </c:pt>
                <c:pt idx="53">
                  <c:v>1208</c:v>
                </c:pt>
                <c:pt idx="54">
                  <c:v>1447</c:v>
                </c:pt>
                <c:pt idx="55">
                  <c:v>1647</c:v>
                </c:pt>
                <c:pt idx="56">
                  <c:v>1793</c:v>
                </c:pt>
                <c:pt idx="57">
                  <c:v>1562</c:v>
                </c:pt>
                <c:pt idx="58">
                  <c:v>1700</c:v>
                </c:pt>
                <c:pt idx="59">
                  <c:v>1784</c:v>
                </c:pt>
                <c:pt idx="60">
                  <c:v>2016</c:v>
                </c:pt>
                <c:pt idx="61">
                  <c:v>1989</c:v>
                </c:pt>
                <c:pt idx="62">
                  <c:v>1823</c:v>
                </c:pt>
                <c:pt idx="63">
                  <c:v>1400</c:v>
                </c:pt>
                <c:pt idx="64">
                  <c:v>1046</c:v>
                </c:pt>
                <c:pt idx="65">
                  <c:v>779</c:v>
                </c:pt>
                <c:pt idx="66">
                  <c:v>640</c:v>
                </c:pt>
                <c:pt idx="67">
                  <c:v>342</c:v>
                </c:pt>
                <c:pt idx="68">
                  <c:v>102</c:v>
                </c:pt>
                <c:pt idx="69">
                  <c:v>179</c:v>
                </c:pt>
                <c:pt idx="70">
                  <c:v>201</c:v>
                </c:pt>
                <c:pt idx="71">
                  <c:v>203</c:v>
                </c:pt>
                <c:pt idx="72">
                  <c:v>324</c:v>
                </c:pt>
                <c:pt idx="73">
                  <c:v>179</c:v>
                </c:pt>
                <c:pt idx="74">
                  <c:v>169</c:v>
                </c:pt>
                <c:pt idx="75">
                  <c:v>179</c:v>
                </c:pt>
                <c:pt idx="76">
                  <c:v>163</c:v>
                </c:pt>
                <c:pt idx="77">
                  <c:v>58</c:v>
                </c:pt>
                <c:pt idx="78">
                  <c:v>67</c:v>
                </c:pt>
                <c:pt idx="79">
                  <c:v>41</c:v>
                </c:pt>
                <c:pt idx="80">
                  <c:v>80</c:v>
                </c:pt>
                <c:pt idx="81">
                  <c:v>99</c:v>
                </c:pt>
                <c:pt idx="82">
                  <c:v>165</c:v>
                </c:pt>
                <c:pt idx="83">
                  <c:v>33</c:v>
                </c:pt>
                <c:pt idx="84">
                  <c:v>84</c:v>
                </c:pt>
                <c:pt idx="85">
                  <c:v>19</c:v>
                </c:pt>
                <c:pt idx="86">
                  <c:v>43</c:v>
                </c:pt>
                <c:pt idx="87">
                  <c:v>16</c:v>
                </c:pt>
                <c:pt idx="88">
                  <c:v>70</c:v>
                </c:pt>
                <c:pt idx="89">
                  <c:v>93</c:v>
                </c:pt>
                <c:pt idx="90">
                  <c:v>35</c:v>
                </c:pt>
                <c:pt idx="91">
                  <c:v>71</c:v>
                </c:pt>
                <c:pt idx="92">
                  <c:v>71</c:v>
                </c:pt>
                <c:pt idx="93">
                  <c:v>39</c:v>
                </c:pt>
                <c:pt idx="94">
                  <c:v>48</c:v>
                </c:pt>
                <c:pt idx="95">
                  <c:v>80</c:v>
                </c:pt>
                <c:pt idx="96">
                  <c:v>184</c:v>
                </c:pt>
                <c:pt idx="97">
                  <c:v>194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7-40D7-AE88-38A4D486D3AD}"/>
            </c:ext>
          </c:extLst>
        </c:ser>
        <c:ser>
          <c:idx val="5"/>
          <c:order val="3"/>
          <c:tx>
            <c:strRef>
              <c:f>'Buen fin (3)'!$E$112</c:f>
              <c:strCache>
                <c:ptCount val="1"/>
                <c:pt idx="0">
                  <c:v>Nvo. Prono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'Buen fin (3)'!$F$104:$DD$104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(3)'!$F$112:$DD$112</c:f>
              <c:numCache>
                <c:formatCode>#,##0</c:formatCode>
                <c:ptCount val="103"/>
                <c:pt idx="0">
                  <c:v>964</c:v>
                </c:pt>
                <c:pt idx="1">
                  <c:v>685</c:v>
                </c:pt>
                <c:pt idx="2">
                  <c:v>647</c:v>
                </c:pt>
                <c:pt idx="3">
                  <c:v>1247</c:v>
                </c:pt>
                <c:pt idx="4">
                  <c:v>1691</c:v>
                </c:pt>
                <c:pt idx="5">
                  <c:v>2131</c:v>
                </c:pt>
                <c:pt idx="6">
                  <c:v>2041</c:v>
                </c:pt>
                <c:pt idx="7">
                  <c:v>2266</c:v>
                </c:pt>
                <c:pt idx="8">
                  <c:v>2129</c:v>
                </c:pt>
                <c:pt idx="9">
                  <c:v>1882</c:v>
                </c:pt>
                <c:pt idx="10">
                  <c:v>4875</c:v>
                </c:pt>
                <c:pt idx="11">
                  <c:v>5221</c:v>
                </c:pt>
                <c:pt idx="12">
                  <c:v>4944</c:v>
                </c:pt>
                <c:pt idx="13">
                  <c:v>4855</c:v>
                </c:pt>
                <c:pt idx="14">
                  <c:v>4663</c:v>
                </c:pt>
                <c:pt idx="15">
                  <c:v>4287</c:v>
                </c:pt>
                <c:pt idx="16">
                  <c:v>3834</c:v>
                </c:pt>
                <c:pt idx="17">
                  <c:v>4822</c:v>
                </c:pt>
                <c:pt idx="18">
                  <c:v>4620</c:v>
                </c:pt>
                <c:pt idx="19">
                  <c:v>4465</c:v>
                </c:pt>
                <c:pt idx="20">
                  <c:v>4463</c:v>
                </c:pt>
                <c:pt idx="21">
                  <c:v>4246</c:v>
                </c:pt>
                <c:pt idx="22">
                  <c:v>3397</c:v>
                </c:pt>
                <c:pt idx="23">
                  <c:v>3345</c:v>
                </c:pt>
                <c:pt idx="24">
                  <c:v>3097</c:v>
                </c:pt>
                <c:pt idx="25">
                  <c:v>3216</c:v>
                </c:pt>
                <c:pt idx="26">
                  <c:v>3904</c:v>
                </c:pt>
                <c:pt idx="27">
                  <c:v>3998</c:v>
                </c:pt>
                <c:pt idx="28">
                  <c:v>3705</c:v>
                </c:pt>
                <c:pt idx="29">
                  <c:v>3317</c:v>
                </c:pt>
                <c:pt idx="30">
                  <c:v>3266</c:v>
                </c:pt>
                <c:pt idx="31">
                  <c:v>5242</c:v>
                </c:pt>
                <c:pt idx="32">
                  <c:v>6312</c:v>
                </c:pt>
                <c:pt idx="33">
                  <c:v>6058</c:v>
                </c:pt>
                <c:pt idx="34">
                  <c:v>5515</c:v>
                </c:pt>
                <c:pt idx="35">
                  <c:v>5443</c:v>
                </c:pt>
                <c:pt idx="36">
                  <c:v>4569</c:v>
                </c:pt>
                <c:pt idx="37">
                  <c:v>4088</c:v>
                </c:pt>
                <c:pt idx="38">
                  <c:v>3891</c:v>
                </c:pt>
                <c:pt idx="39">
                  <c:v>4475</c:v>
                </c:pt>
                <c:pt idx="40">
                  <c:v>4393</c:v>
                </c:pt>
                <c:pt idx="41">
                  <c:v>3569</c:v>
                </c:pt>
                <c:pt idx="42">
                  <c:v>2839</c:v>
                </c:pt>
                <c:pt idx="43">
                  <c:v>2054</c:v>
                </c:pt>
                <c:pt idx="44">
                  <c:v>1635</c:v>
                </c:pt>
                <c:pt idx="45">
                  <c:v>962</c:v>
                </c:pt>
                <c:pt idx="46">
                  <c:v>2430</c:v>
                </c:pt>
                <c:pt idx="47">
                  <c:v>2493</c:v>
                </c:pt>
                <c:pt idx="48">
                  <c:v>2379</c:v>
                </c:pt>
                <c:pt idx="49">
                  <c:v>2348</c:v>
                </c:pt>
                <c:pt idx="50">
                  <c:v>2009</c:v>
                </c:pt>
                <c:pt idx="51">
                  <c:v>1735</c:v>
                </c:pt>
                <c:pt idx="52">
                  <c:v>2889</c:v>
                </c:pt>
                <c:pt idx="53">
                  <c:v>2749</c:v>
                </c:pt>
                <c:pt idx="54">
                  <c:v>3512</c:v>
                </c:pt>
                <c:pt idx="55">
                  <c:v>3689</c:v>
                </c:pt>
                <c:pt idx="56">
                  <c:v>3755</c:v>
                </c:pt>
                <c:pt idx="57">
                  <c:v>2663</c:v>
                </c:pt>
                <c:pt idx="58">
                  <c:v>2396</c:v>
                </c:pt>
                <c:pt idx="59">
                  <c:v>4014</c:v>
                </c:pt>
                <c:pt idx="60">
                  <c:v>4113</c:v>
                </c:pt>
                <c:pt idx="61">
                  <c:v>4328</c:v>
                </c:pt>
                <c:pt idx="62">
                  <c:v>3865</c:v>
                </c:pt>
                <c:pt idx="63">
                  <c:v>3423</c:v>
                </c:pt>
                <c:pt idx="64">
                  <c:v>2247</c:v>
                </c:pt>
                <c:pt idx="65">
                  <c:v>1506</c:v>
                </c:pt>
                <c:pt idx="66">
                  <c:v>3243</c:v>
                </c:pt>
                <c:pt idx="67">
                  <c:v>2569</c:v>
                </c:pt>
                <c:pt idx="68">
                  <c:v>1775</c:v>
                </c:pt>
                <c:pt idx="69">
                  <c:v>1757</c:v>
                </c:pt>
                <c:pt idx="70">
                  <c:v>1615</c:v>
                </c:pt>
                <c:pt idx="71">
                  <c:v>898</c:v>
                </c:pt>
                <c:pt idx="72">
                  <c:v>809</c:v>
                </c:pt>
                <c:pt idx="73">
                  <c:v>1522</c:v>
                </c:pt>
                <c:pt idx="74">
                  <c:v>1437</c:v>
                </c:pt>
                <c:pt idx="75">
                  <c:v>1297</c:v>
                </c:pt>
                <c:pt idx="76">
                  <c:v>1195</c:v>
                </c:pt>
                <c:pt idx="77">
                  <c:v>1001</c:v>
                </c:pt>
                <c:pt idx="78">
                  <c:v>575</c:v>
                </c:pt>
                <c:pt idx="79">
                  <c:v>387</c:v>
                </c:pt>
                <c:pt idx="80">
                  <c:v>525</c:v>
                </c:pt>
                <c:pt idx="81">
                  <c:v>925</c:v>
                </c:pt>
                <c:pt idx="82">
                  <c:v>886</c:v>
                </c:pt>
                <c:pt idx="83">
                  <c:v>804</c:v>
                </c:pt>
                <c:pt idx="84">
                  <c:v>717</c:v>
                </c:pt>
                <c:pt idx="85">
                  <c:v>418</c:v>
                </c:pt>
                <c:pt idx="86">
                  <c:v>297</c:v>
                </c:pt>
                <c:pt idx="87">
                  <c:v>762</c:v>
                </c:pt>
                <c:pt idx="88">
                  <c:v>858</c:v>
                </c:pt>
                <c:pt idx="89">
                  <c:v>684</c:v>
                </c:pt>
                <c:pt idx="90">
                  <c:v>739</c:v>
                </c:pt>
                <c:pt idx="91">
                  <c:v>700</c:v>
                </c:pt>
                <c:pt idx="92">
                  <c:v>420</c:v>
                </c:pt>
                <c:pt idx="93">
                  <c:v>300</c:v>
                </c:pt>
                <c:pt idx="94">
                  <c:v>808</c:v>
                </c:pt>
                <c:pt idx="95">
                  <c:v>876</c:v>
                </c:pt>
                <c:pt idx="96">
                  <c:v>876</c:v>
                </c:pt>
                <c:pt idx="97">
                  <c:v>194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7-40D7-AE88-38A4D486D3AD}"/>
            </c:ext>
          </c:extLst>
        </c:ser>
        <c:ser>
          <c:idx val="1"/>
          <c:order val="4"/>
          <c:tx>
            <c:strRef>
              <c:f>'Buen fin (3)'!$E$106</c:f>
              <c:strCache>
                <c:ptCount val="1"/>
                <c:pt idx="0">
                  <c:v>Capacidad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'Buen fin (3)'!$F$104:$DD$104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(3)'!$F$106:$DD$106</c:f>
              <c:numCache>
                <c:formatCode>#,##0</c:formatCode>
                <c:ptCount val="103"/>
                <c:pt idx="0">
                  <c:v>1196</c:v>
                </c:pt>
                <c:pt idx="1">
                  <c:v>607</c:v>
                </c:pt>
                <c:pt idx="2">
                  <c:v>527</c:v>
                </c:pt>
                <c:pt idx="3">
                  <c:v>1196</c:v>
                </c:pt>
                <c:pt idx="4">
                  <c:v>1196</c:v>
                </c:pt>
                <c:pt idx="5">
                  <c:v>1196</c:v>
                </c:pt>
                <c:pt idx="6">
                  <c:v>1196</c:v>
                </c:pt>
                <c:pt idx="7">
                  <c:v>1196</c:v>
                </c:pt>
                <c:pt idx="8">
                  <c:v>638</c:v>
                </c:pt>
                <c:pt idx="9">
                  <c:v>527</c:v>
                </c:pt>
                <c:pt idx="10">
                  <c:v>1196</c:v>
                </c:pt>
                <c:pt idx="11">
                  <c:v>1044</c:v>
                </c:pt>
                <c:pt idx="12">
                  <c:v>1080</c:v>
                </c:pt>
                <c:pt idx="13">
                  <c:v>1170</c:v>
                </c:pt>
                <c:pt idx="14">
                  <c:v>1170</c:v>
                </c:pt>
                <c:pt idx="15">
                  <c:v>643</c:v>
                </c:pt>
                <c:pt idx="16">
                  <c:v>643</c:v>
                </c:pt>
                <c:pt idx="17">
                  <c:v>1170</c:v>
                </c:pt>
                <c:pt idx="18">
                  <c:v>1170</c:v>
                </c:pt>
                <c:pt idx="19">
                  <c:v>1170</c:v>
                </c:pt>
                <c:pt idx="20">
                  <c:v>1728</c:v>
                </c:pt>
                <c:pt idx="21">
                  <c:v>1728</c:v>
                </c:pt>
                <c:pt idx="22">
                  <c:v>955</c:v>
                </c:pt>
                <c:pt idx="23">
                  <c:v>890</c:v>
                </c:pt>
                <c:pt idx="24">
                  <c:v>1728</c:v>
                </c:pt>
                <c:pt idx="25">
                  <c:v>1728</c:v>
                </c:pt>
                <c:pt idx="26">
                  <c:v>1728</c:v>
                </c:pt>
                <c:pt idx="27">
                  <c:v>1728</c:v>
                </c:pt>
                <c:pt idx="28">
                  <c:v>1728</c:v>
                </c:pt>
                <c:pt idx="29">
                  <c:v>917</c:v>
                </c:pt>
                <c:pt idx="30">
                  <c:v>689</c:v>
                </c:pt>
                <c:pt idx="31">
                  <c:v>1909</c:v>
                </c:pt>
                <c:pt idx="32">
                  <c:v>1909</c:v>
                </c:pt>
                <c:pt idx="33">
                  <c:v>1766</c:v>
                </c:pt>
                <c:pt idx="34">
                  <c:v>1766</c:v>
                </c:pt>
                <c:pt idx="35">
                  <c:v>1766</c:v>
                </c:pt>
                <c:pt idx="36">
                  <c:v>791.125</c:v>
                </c:pt>
                <c:pt idx="37">
                  <c:v>750</c:v>
                </c:pt>
                <c:pt idx="38">
                  <c:v>1125.25</c:v>
                </c:pt>
                <c:pt idx="39">
                  <c:v>1766</c:v>
                </c:pt>
                <c:pt idx="40">
                  <c:v>1766</c:v>
                </c:pt>
                <c:pt idx="41">
                  <c:v>1766</c:v>
                </c:pt>
                <c:pt idx="42">
                  <c:v>1766</c:v>
                </c:pt>
                <c:pt idx="43">
                  <c:v>941</c:v>
                </c:pt>
                <c:pt idx="44">
                  <c:v>892</c:v>
                </c:pt>
                <c:pt idx="45">
                  <c:v>1329</c:v>
                </c:pt>
                <c:pt idx="46">
                  <c:v>1547</c:v>
                </c:pt>
                <c:pt idx="47">
                  <c:v>1547</c:v>
                </c:pt>
                <c:pt idx="48">
                  <c:v>1547</c:v>
                </c:pt>
                <c:pt idx="49">
                  <c:v>1547</c:v>
                </c:pt>
                <c:pt idx="50">
                  <c:v>737</c:v>
                </c:pt>
                <c:pt idx="51">
                  <c:v>673</c:v>
                </c:pt>
                <c:pt idx="52">
                  <c:v>1547</c:v>
                </c:pt>
                <c:pt idx="53">
                  <c:v>1508</c:v>
                </c:pt>
                <c:pt idx="54">
                  <c:v>1508</c:v>
                </c:pt>
                <c:pt idx="55">
                  <c:v>1508</c:v>
                </c:pt>
                <c:pt idx="56">
                  <c:v>1508</c:v>
                </c:pt>
                <c:pt idx="57">
                  <c:v>736</c:v>
                </c:pt>
                <c:pt idx="58">
                  <c:v>611</c:v>
                </c:pt>
                <c:pt idx="59">
                  <c:v>1508</c:v>
                </c:pt>
                <c:pt idx="60">
                  <c:v>1454</c:v>
                </c:pt>
                <c:pt idx="61">
                  <c:v>1598</c:v>
                </c:pt>
                <c:pt idx="62">
                  <c:v>1598</c:v>
                </c:pt>
                <c:pt idx="63">
                  <c:v>1598</c:v>
                </c:pt>
                <c:pt idx="64">
                  <c:v>755</c:v>
                </c:pt>
                <c:pt idx="65">
                  <c:v>689</c:v>
                </c:pt>
                <c:pt idx="66">
                  <c:v>1598</c:v>
                </c:pt>
                <c:pt idx="67">
                  <c:v>1598</c:v>
                </c:pt>
                <c:pt idx="68">
                  <c:v>1598</c:v>
                </c:pt>
                <c:pt idx="69">
                  <c:v>1598</c:v>
                </c:pt>
                <c:pt idx="70">
                  <c:v>1598</c:v>
                </c:pt>
                <c:pt idx="71">
                  <c:v>789</c:v>
                </c:pt>
                <c:pt idx="72">
                  <c:v>746</c:v>
                </c:pt>
                <c:pt idx="73">
                  <c:v>1598</c:v>
                </c:pt>
                <c:pt idx="74">
                  <c:v>1598</c:v>
                </c:pt>
                <c:pt idx="75">
                  <c:v>1598</c:v>
                </c:pt>
                <c:pt idx="76">
                  <c:v>1598</c:v>
                </c:pt>
                <c:pt idx="77">
                  <c:v>1598</c:v>
                </c:pt>
                <c:pt idx="78">
                  <c:v>760</c:v>
                </c:pt>
                <c:pt idx="79">
                  <c:v>591</c:v>
                </c:pt>
                <c:pt idx="80">
                  <c:v>550</c:v>
                </c:pt>
                <c:pt idx="81">
                  <c:v>1406</c:v>
                </c:pt>
                <c:pt idx="82">
                  <c:v>1406</c:v>
                </c:pt>
                <c:pt idx="83">
                  <c:v>1406</c:v>
                </c:pt>
                <c:pt idx="84">
                  <c:v>1406</c:v>
                </c:pt>
                <c:pt idx="85">
                  <c:v>760</c:v>
                </c:pt>
                <c:pt idx="86">
                  <c:v>558</c:v>
                </c:pt>
                <c:pt idx="87">
                  <c:v>1406</c:v>
                </c:pt>
                <c:pt idx="88">
                  <c:v>1406</c:v>
                </c:pt>
                <c:pt idx="89">
                  <c:v>1256</c:v>
                </c:pt>
                <c:pt idx="90">
                  <c:v>1256</c:v>
                </c:pt>
                <c:pt idx="91">
                  <c:v>1256</c:v>
                </c:pt>
                <c:pt idx="92">
                  <c:v>613</c:v>
                </c:pt>
                <c:pt idx="93">
                  <c:v>479</c:v>
                </c:pt>
                <c:pt idx="94">
                  <c:v>1256</c:v>
                </c:pt>
                <c:pt idx="95">
                  <c:v>1256</c:v>
                </c:pt>
                <c:pt idx="96">
                  <c:v>1256</c:v>
                </c:pt>
                <c:pt idx="97">
                  <c:v>1256</c:v>
                </c:pt>
                <c:pt idx="98">
                  <c:v>1256</c:v>
                </c:pt>
                <c:pt idx="99">
                  <c:v>1256</c:v>
                </c:pt>
                <c:pt idx="100">
                  <c:v>1256</c:v>
                </c:pt>
                <c:pt idx="101">
                  <c:v>1256</c:v>
                </c:pt>
                <c:pt idx="102">
                  <c:v>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37-40D7-AE88-38A4D486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80496"/>
        <c:axId val="1576910816"/>
      </c:barChart>
      <c:lineChart>
        <c:grouping val="standard"/>
        <c:varyColors val="0"/>
        <c:ser>
          <c:idx val="2"/>
          <c:order val="5"/>
          <c:tx>
            <c:strRef>
              <c:f>'Buen fin (3)'!$E$114</c:f>
              <c:strCache>
                <c:ptCount val="1"/>
                <c:pt idx="0">
                  <c:v>Procesado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'Buen fin (3)'!$F$104:$DD$104</c:f>
              <c:numCache>
                <c:formatCode>d\-mmm</c:formatCode>
                <c:ptCount val="103"/>
                <c:pt idx="0">
                  <c:v>45247</c:v>
                </c:pt>
                <c:pt idx="1">
                  <c:v>45248</c:v>
                </c:pt>
                <c:pt idx="2">
                  <c:v>45249</c:v>
                </c:pt>
                <c:pt idx="3">
                  <c:v>45250</c:v>
                </c:pt>
                <c:pt idx="4">
                  <c:v>45251</c:v>
                </c:pt>
                <c:pt idx="5">
                  <c:v>45252</c:v>
                </c:pt>
                <c:pt idx="6">
                  <c:v>45253</c:v>
                </c:pt>
                <c:pt idx="7">
                  <c:v>45254</c:v>
                </c:pt>
                <c:pt idx="8">
                  <c:v>45255</c:v>
                </c:pt>
                <c:pt idx="9">
                  <c:v>45256</c:v>
                </c:pt>
                <c:pt idx="10">
                  <c:v>45257</c:v>
                </c:pt>
                <c:pt idx="11">
                  <c:v>45258</c:v>
                </c:pt>
                <c:pt idx="12">
                  <c:v>45259</c:v>
                </c:pt>
                <c:pt idx="13">
                  <c:v>45260</c:v>
                </c:pt>
                <c:pt idx="14">
                  <c:v>45261</c:v>
                </c:pt>
                <c:pt idx="15">
                  <c:v>45262</c:v>
                </c:pt>
                <c:pt idx="16">
                  <c:v>45263</c:v>
                </c:pt>
                <c:pt idx="17">
                  <c:v>45264</c:v>
                </c:pt>
                <c:pt idx="18">
                  <c:v>45265</c:v>
                </c:pt>
                <c:pt idx="19">
                  <c:v>45266</c:v>
                </c:pt>
                <c:pt idx="20">
                  <c:v>45267</c:v>
                </c:pt>
                <c:pt idx="21">
                  <c:v>45268</c:v>
                </c:pt>
                <c:pt idx="22">
                  <c:v>45269</c:v>
                </c:pt>
                <c:pt idx="23">
                  <c:v>45270</c:v>
                </c:pt>
                <c:pt idx="24">
                  <c:v>45271</c:v>
                </c:pt>
                <c:pt idx="25">
                  <c:v>45272</c:v>
                </c:pt>
                <c:pt idx="26">
                  <c:v>45273</c:v>
                </c:pt>
                <c:pt idx="27">
                  <c:v>45274</c:v>
                </c:pt>
                <c:pt idx="28">
                  <c:v>45275</c:v>
                </c:pt>
                <c:pt idx="29">
                  <c:v>45276</c:v>
                </c:pt>
                <c:pt idx="30">
                  <c:v>45277</c:v>
                </c:pt>
                <c:pt idx="31">
                  <c:v>45278</c:v>
                </c:pt>
                <c:pt idx="32">
                  <c:v>45279</c:v>
                </c:pt>
                <c:pt idx="33">
                  <c:v>45280</c:v>
                </c:pt>
                <c:pt idx="34">
                  <c:v>45281</c:v>
                </c:pt>
                <c:pt idx="35">
                  <c:v>45282</c:v>
                </c:pt>
                <c:pt idx="36">
                  <c:v>45283</c:v>
                </c:pt>
                <c:pt idx="37">
                  <c:v>45284</c:v>
                </c:pt>
                <c:pt idx="38">
                  <c:v>45285</c:v>
                </c:pt>
                <c:pt idx="39">
                  <c:v>45286</c:v>
                </c:pt>
                <c:pt idx="40">
                  <c:v>45287</c:v>
                </c:pt>
                <c:pt idx="41">
                  <c:v>45288</c:v>
                </c:pt>
                <c:pt idx="42">
                  <c:v>45289</c:v>
                </c:pt>
                <c:pt idx="43">
                  <c:v>45290</c:v>
                </c:pt>
                <c:pt idx="44">
                  <c:v>45291</c:v>
                </c:pt>
                <c:pt idx="45">
                  <c:v>45292</c:v>
                </c:pt>
                <c:pt idx="46">
                  <c:v>45293</c:v>
                </c:pt>
                <c:pt idx="47">
                  <c:v>45294</c:v>
                </c:pt>
                <c:pt idx="48">
                  <c:v>45295</c:v>
                </c:pt>
                <c:pt idx="49">
                  <c:v>45296</c:v>
                </c:pt>
                <c:pt idx="50">
                  <c:v>45297</c:v>
                </c:pt>
                <c:pt idx="51">
                  <c:v>45298</c:v>
                </c:pt>
                <c:pt idx="52">
                  <c:v>45299</c:v>
                </c:pt>
                <c:pt idx="53">
                  <c:v>45300</c:v>
                </c:pt>
                <c:pt idx="54">
                  <c:v>45301</c:v>
                </c:pt>
                <c:pt idx="55">
                  <c:v>45302</c:v>
                </c:pt>
                <c:pt idx="56">
                  <c:v>45303</c:v>
                </c:pt>
                <c:pt idx="57">
                  <c:v>45304</c:v>
                </c:pt>
                <c:pt idx="58">
                  <c:v>45305</c:v>
                </c:pt>
                <c:pt idx="59">
                  <c:v>45306</c:v>
                </c:pt>
                <c:pt idx="60">
                  <c:v>45307</c:v>
                </c:pt>
                <c:pt idx="61">
                  <c:v>45308</c:v>
                </c:pt>
                <c:pt idx="62">
                  <c:v>45309</c:v>
                </c:pt>
                <c:pt idx="63">
                  <c:v>45310</c:v>
                </c:pt>
                <c:pt idx="64">
                  <c:v>45311</c:v>
                </c:pt>
                <c:pt idx="65">
                  <c:v>45312</c:v>
                </c:pt>
                <c:pt idx="66">
                  <c:v>45313</c:v>
                </c:pt>
                <c:pt idx="67">
                  <c:v>45314</c:v>
                </c:pt>
                <c:pt idx="68">
                  <c:v>45315</c:v>
                </c:pt>
                <c:pt idx="69">
                  <c:v>45316</c:v>
                </c:pt>
                <c:pt idx="70">
                  <c:v>45317</c:v>
                </c:pt>
                <c:pt idx="71">
                  <c:v>45318</c:v>
                </c:pt>
                <c:pt idx="72">
                  <c:v>45319</c:v>
                </c:pt>
                <c:pt idx="73">
                  <c:v>45320</c:v>
                </c:pt>
                <c:pt idx="74">
                  <c:v>45321</c:v>
                </c:pt>
                <c:pt idx="75">
                  <c:v>45322</c:v>
                </c:pt>
                <c:pt idx="76">
                  <c:v>45323</c:v>
                </c:pt>
                <c:pt idx="77">
                  <c:v>45324</c:v>
                </c:pt>
                <c:pt idx="78">
                  <c:v>45325</c:v>
                </c:pt>
                <c:pt idx="79">
                  <c:v>45326</c:v>
                </c:pt>
                <c:pt idx="80">
                  <c:v>45327</c:v>
                </c:pt>
                <c:pt idx="81">
                  <c:v>45328</c:v>
                </c:pt>
                <c:pt idx="82">
                  <c:v>45329</c:v>
                </c:pt>
                <c:pt idx="83">
                  <c:v>45330</c:v>
                </c:pt>
                <c:pt idx="84">
                  <c:v>45331</c:v>
                </c:pt>
                <c:pt idx="85">
                  <c:v>45332</c:v>
                </c:pt>
                <c:pt idx="86">
                  <c:v>45333</c:v>
                </c:pt>
                <c:pt idx="87">
                  <c:v>45334</c:v>
                </c:pt>
                <c:pt idx="88">
                  <c:v>45335</c:v>
                </c:pt>
                <c:pt idx="89">
                  <c:v>45336</c:v>
                </c:pt>
                <c:pt idx="90">
                  <c:v>45337</c:v>
                </c:pt>
                <c:pt idx="91">
                  <c:v>45338</c:v>
                </c:pt>
                <c:pt idx="92">
                  <c:v>45339</c:v>
                </c:pt>
                <c:pt idx="93">
                  <c:v>45340</c:v>
                </c:pt>
                <c:pt idx="94">
                  <c:v>45341</c:v>
                </c:pt>
                <c:pt idx="95">
                  <c:v>45342</c:v>
                </c:pt>
                <c:pt idx="96">
                  <c:v>45343</c:v>
                </c:pt>
                <c:pt idx="97">
                  <c:v>45344</c:v>
                </c:pt>
                <c:pt idx="98">
                  <c:v>45345</c:v>
                </c:pt>
                <c:pt idx="99">
                  <c:v>45346</c:v>
                </c:pt>
                <c:pt idx="100">
                  <c:v>45347</c:v>
                </c:pt>
                <c:pt idx="101">
                  <c:v>45348</c:v>
                </c:pt>
                <c:pt idx="102">
                  <c:v>45349</c:v>
                </c:pt>
              </c:numCache>
            </c:numRef>
          </c:cat>
          <c:val>
            <c:numRef>
              <c:f>'Buen fin (3)'!$F$114:$DD$114</c:f>
              <c:numCache>
                <c:formatCode>#,##0</c:formatCode>
                <c:ptCount val="103"/>
                <c:pt idx="0">
                  <c:v>320</c:v>
                </c:pt>
                <c:pt idx="1">
                  <c:v>588</c:v>
                </c:pt>
                <c:pt idx="2">
                  <c:v>603</c:v>
                </c:pt>
                <c:pt idx="3">
                  <c:v>918</c:v>
                </c:pt>
                <c:pt idx="4">
                  <c:v>1169</c:v>
                </c:pt>
                <c:pt idx="5">
                  <c:v>1191</c:v>
                </c:pt>
                <c:pt idx="6">
                  <c:v>1298</c:v>
                </c:pt>
                <c:pt idx="7">
                  <c:v>1369</c:v>
                </c:pt>
                <c:pt idx="8">
                  <c:v>1000</c:v>
                </c:pt>
                <c:pt idx="9">
                  <c:v>463</c:v>
                </c:pt>
                <c:pt idx="10">
                  <c:v>1214</c:v>
                </c:pt>
                <c:pt idx="11">
                  <c:v>1097</c:v>
                </c:pt>
                <c:pt idx="12">
                  <c:v>1187</c:v>
                </c:pt>
                <c:pt idx="13">
                  <c:v>1164</c:v>
                </c:pt>
                <c:pt idx="14">
                  <c:v>957</c:v>
                </c:pt>
                <c:pt idx="15">
                  <c:v>473</c:v>
                </c:pt>
                <c:pt idx="16">
                  <c:v>692</c:v>
                </c:pt>
                <c:pt idx="17">
                  <c:v>1210</c:v>
                </c:pt>
                <c:pt idx="18">
                  <c:v>1143</c:v>
                </c:pt>
                <c:pt idx="19">
                  <c:v>1137</c:v>
                </c:pt>
                <c:pt idx="20">
                  <c:v>1598</c:v>
                </c:pt>
                <c:pt idx="21">
                  <c:v>1759</c:v>
                </c:pt>
                <c:pt idx="22">
                  <c:v>766</c:v>
                </c:pt>
                <c:pt idx="23">
                  <c:v>1121</c:v>
                </c:pt>
                <c:pt idx="24">
                  <c:v>1808</c:v>
                </c:pt>
                <c:pt idx="25">
                  <c:v>1759</c:v>
                </c:pt>
                <c:pt idx="26">
                  <c:v>1943</c:v>
                </c:pt>
                <c:pt idx="27">
                  <c:v>1790</c:v>
                </c:pt>
                <c:pt idx="28">
                  <c:v>1658</c:v>
                </c:pt>
                <c:pt idx="29">
                  <c:v>906</c:v>
                </c:pt>
                <c:pt idx="30">
                  <c:v>647</c:v>
                </c:pt>
                <c:pt idx="31">
                  <c:v>1642</c:v>
                </c:pt>
                <c:pt idx="32">
                  <c:v>1627</c:v>
                </c:pt>
                <c:pt idx="33">
                  <c:v>1415</c:v>
                </c:pt>
                <c:pt idx="34">
                  <c:v>1626</c:v>
                </c:pt>
                <c:pt idx="35">
                  <c:v>1636</c:v>
                </c:pt>
                <c:pt idx="36">
                  <c:v>813</c:v>
                </c:pt>
                <c:pt idx="37">
                  <c:v>834</c:v>
                </c:pt>
                <c:pt idx="38">
                  <c:v>1102</c:v>
                </c:pt>
                <c:pt idx="39">
                  <c:v>1657</c:v>
                </c:pt>
                <c:pt idx="40">
                  <c:v>1870</c:v>
                </c:pt>
                <c:pt idx="41">
                  <c:v>1858</c:v>
                </c:pt>
                <c:pt idx="42">
                  <c:v>1961</c:v>
                </c:pt>
                <c:pt idx="43">
                  <c:v>1008</c:v>
                </c:pt>
                <c:pt idx="44">
                  <c:v>999</c:v>
                </c:pt>
                <c:pt idx="45">
                  <c:v>861</c:v>
                </c:pt>
                <c:pt idx="46">
                  <c:v>1643</c:v>
                </c:pt>
                <c:pt idx="47">
                  <c:v>1661</c:v>
                </c:pt>
                <c:pt idx="48">
                  <c:v>1578</c:v>
                </c:pt>
                <c:pt idx="49">
                  <c:v>1666</c:v>
                </c:pt>
                <c:pt idx="50">
                  <c:v>841</c:v>
                </c:pt>
                <c:pt idx="51">
                  <c:v>664</c:v>
                </c:pt>
                <c:pt idx="52">
                  <c:v>1636</c:v>
                </c:pt>
                <c:pt idx="53">
                  <c:v>1607</c:v>
                </c:pt>
                <c:pt idx="54">
                  <c:v>1583</c:v>
                </c:pt>
                <c:pt idx="55">
                  <c:v>1661</c:v>
                </c:pt>
                <c:pt idx="56">
                  <c:v>1454</c:v>
                </c:pt>
                <c:pt idx="57">
                  <c:v>776</c:v>
                </c:pt>
                <c:pt idx="58">
                  <c:v>591</c:v>
                </c:pt>
                <c:pt idx="59">
                  <c:v>1431</c:v>
                </c:pt>
                <c:pt idx="60">
                  <c:v>1476</c:v>
                </c:pt>
                <c:pt idx="61">
                  <c:v>1467</c:v>
                </c:pt>
                <c:pt idx="62">
                  <c:v>1627</c:v>
                </c:pt>
                <c:pt idx="63">
                  <c:v>1620</c:v>
                </c:pt>
                <c:pt idx="64">
                  <c:v>995</c:v>
                </c:pt>
                <c:pt idx="65">
                  <c:v>624</c:v>
                </c:pt>
                <c:pt idx="66">
                  <c:v>1707</c:v>
                </c:pt>
                <c:pt idx="67">
                  <c:v>1707</c:v>
                </c:pt>
                <c:pt idx="68">
                  <c:v>1509</c:v>
                </c:pt>
                <c:pt idx="69">
                  <c:v>1180</c:v>
                </c:pt>
                <c:pt idx="70">
                  <c:v>1505</c:v>
                </c:pt>
                <c:pt idx="71">
                  <c:v>514</c:v>
                </c:pt>
                <c:pt idx="72">
                  <c:v>599</c:v>
                </c:pt>
                <c:pt idx="73">
                  <c:v>1243</c:v>
                </c:pt>
                <c:pt idx="74">
                  <c:v>1349</c:v>
                </c:pt>
                <c:pt idx="75">
                  <c:v>1577</c:v>
                </c:pt>
                <c:pt idx="76">
                  <c:v>1275</c:v>
                </c:pt>
                <c:pt idx="77">
                  <c:v>1085</c:v>
                </c:pt>
                <c:pt idx="78">
                  <c:v>645</c:v>
                </c:pt>
                <c:pt idx="79">
                  <c:v>431</c:v>
                </c:pt>
                <c:pt idx="80">
                  <c:v>593</c:v>
                </c:pt>
                <c:pt idx="81">
                  <c:v>1645</c:v>
                </c:pt>
                <c:pt idx="82">
                  <c:v>1260</c:v>
                </c:pt>
                <c:pt idx="83">
                  <c:v>1358</c:v>
                </c:pt>
                <c:pt idx="84">
                  <c:v>1142</c:v>
                </c:pt>
                <c:pt idx="85">
                  <c:v>664</c:v>
                </c:pt>
                <c:pt idx="86">
                  <c:v>540</c:v>
                </c:pt>
                <c:pt idx="87">
                  <c:v>1269</c:v>
                </c:pt>
                <c:pt idx="88">
                  <c:v>1329</c:v>
                </c:pt>
                <c:pt idx="89">
                  <c:v>1311</c:v>
                </c:pt>
                <c:pt idx="90">
                  <c:v>1129</c:v>
                </c:pt>
                <c:pt idx="91">
                  <c:v>1138</c:v>
                </c:pt>
                <c:pt idx="92">
                  <c:v>580</c:v>
                </c:pt>
                <c:pt idx="93">
                  <c:v>611</c:v>
                </c:pt>
                <c:pt idx="94">
                  <c:v>1282</c:v>
                </c:pt>
                <c:pt idx="95">
                  <c:v>1304</c:v>
                </c:pt>
                <c:pt idx="96">
                  <c:v>1438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37-40D7-AE88-38A4D486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580496"/>
        <c:axId val="1576910816"/>
      </c:lineChart>
      <c:dateAx>
        <c:axId val="743580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76910816"/>
        <c:crosses val="autoZero"/>
        <c:auto val="1"/>
        <c:lblOffset val="100"/>
        <c:baseTimeUnit val="days"/>
      </c:dateAx>
      <c:valAx>
        <c:axId val="15769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435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://enriquesacanell.blogspot.com/2015/02/la-gestion-orientada-resultados-en-la.html" TargetMode="External"/><Relationship Id="rId11" Type="http://schemas.openxmlformats.org/officeDocument/2006/relationships/chart" Target="../charts/chart4.xml"/><Relationship Id="rId5" Type="http://schemas.microsoft.com/office/2007/relationships/hdphoto" Target="../media/hdphoto1.wdp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2.xml"/><Relationship Id="rId3" Type="http://schemas.openxmlformats.org/officeDocument/2006/relationships/chart" Target="../charts/chart9.xml"/><Relationship Id="rId7" Type="http://schemas.openxmlformats.org/officeDocument/2006/relationships/image" Target="../media/image2.png"/><Relationship Id="rId12" Type="http://schemas.openxmlformats.org/officeDocument/2006/relationships/chart" Target="../charts/chart11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hyperlink" Target="http://enriquesacanell.blogspot.com/2015/02/la-gestion-orientada-resultados-en-la.html" TargetMode="External"/><Relationship Id="rId11" Type="http://schemas.openxmlformats.org/officeDocument/2006/relationships/chart" Target="../charts/chart10.xml"/><Relationship Id="rId5" Type="http://schemas.microsoft.com/office/2007/relationships/hdphoto" Target="../media/hdphoto1.wdp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8.xml"/><Relationship Id="rId3" Type="http://schemas.openxmlformats.org/officeDocument/2006/relationships/chart" Target="../charts/chart15.xml"/><Relationship Id="rId7" Type="http://schemas.openxmlformats.org/officeDocument/2006/relationships/image" Target="../media/image2.png"/><Relationship Id="rId12" Type="http://schemas.openxmlformats.org/officeDocument/2006/relationships/chart" Target="../charts/chart17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hyperlink" Target="http://enriquesacanell.blogspot.com/2015/02/la-gestion-orientada-resultados-en-la.html" TargetMode="External"/><Relationship Id="rId11" Type="http://schemas.openxmlformats.org/officeDocument/2006/relationships/chart" Target="../charts/chart16.xml"/><Relationship Id="rId5" Type="http://schemas.microsoft.com/office/2007/relationships/hdphoto" Target="../media/hdphoto1.wdp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microsoft.com/office/2007/relationships/hdphoto" Target="../media/hdphoto2.wdp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</xdr:colOff>
      <xdr:row>21</xdr:row>
      <xdr:rowOff>21585</xdr:rowOff>
    </xdr:from>
    <xdr:to>
      <xdr:col>33</xdr:col>
      <xdr:colOff>289303</xdr:colOff>
      <xdr:row>44</xdr:row>
      <xdr:rowOff>101319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4FDB4-6CC9-AFBB-E591-A716469A7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3118</xdr:colOff>
      <xdr:row>72</xdr:row>
      <xdr:rowOff>96978</xdr:rowOff>
    </xdr:from>
    <xdr:to>
      <xdr:col>33</xdr:col>
      <xdr:colOff>286918</xdr:colOff>
      <xdr:row>95</xdr:row>
      <xdr:rowOff>2003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6297C-D03E-4DB1-839A-9684F3C3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6348</xdr:colOff>
      <xdr:row>128</xdr:row>
      <xdr:rowOff>5289</xdr:rowOff>
    </xdr:from>
    <xdr:to>
      <xdr:col>33</xdr:col>
      <xdr:colOff>290148</xdr:colOff>
      <xdr:row>147</xdr:row>
      <xdr:rowOff>166764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C5EBB-995B-445D-8555-3073AC1AA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718218</xdr:colOff>
      <xdr:row>0</xdr:row>
      <xdr:rowOff>124548</xdr:rowOff>
    </xdr:from>
    <xdr:to>
      <xdr:col>201</xdr:col>
      <xdr:colOff>813650</xdr:colOff>
      <xdr:row>3</xdr:row>
      <xdr:rowOff>4080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ECAA7E70-49CB-4456-98B6-4384A3216C0F}"/>
            </a:ext>
          </a:extLst>
        </xdr:cNvPr>
        <xdr:cNvSpPr/>
      </xdr:nvSpPr>
      <xdr:spPr>
        <a:xfrm>
          <a:off x="3639218" y="124548"/>
          <a:ext cx="10771899" cy="776999"/>
        </a:xfrm>
        <a:prstGeom prst="frame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="1" baseline="0">
              <a:solidFill>
                <a:schemeClr val="bg2">
                  <a:lumMod val="50000"/>
                </a:schemeClr>
              </a:solidFill>
              <a:latin typeface="+mj-lt"/>
            </a:rPr>
            <a:t>COMPORTAMIENTO DIARIO || TAF - AXO</a:t>
          </a:r>
          <a:endParaRPr lang="es-MX" sz="2000" b="1">
            <a:solidFill>
              <a:schemeClr val="bg2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203</xdr:col>
      <xdr:colOff>239603</xdr:colOff>
      <xdr:row>0</xdr:row>
      <xdr:rowOff>26446</xdr:rowOff>
    </xdr:from>
    <xdr:to>
      <xdr:col>206</xdr:col>
      <xdr:colOff>79583</xdr:colOff>
      <xdr:row>3</xdr:row>
      <xdr:rowOff>53340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94FCD00-1845-41E7-B6F9-F987303AEC85}"/>
            </a:ext>
          </a:extLst>
        </xdr:cNvPr>
        <xdr:cNvGrpSpPr/>
      </xdr:nvGrpSpPr>
      <xdr:grpSpPr>
        <a:xfrm>
          <a:off x="161056239" y="26446"/>
          <a:ext cx="1668780" cy="927439"/>
          <a:chOff x="18168264" y="21770"/>
          <a:chExt cx="1986637" cy="1034144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DB44CDAD-53D2-BDBD-A9CB-4A366EE35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6"/>
              </a:ext>
            </a:extLst>
          </a:blip>
          <a:stretch>
            <a:fillRect/>
          </a:stretch>
        </xdr:blipFill>
        <xdr:spPr>
          <a:xfrm>
            <a:off x="18168264" y="21770"/>
            <a:ext cx="1676005" cy="991623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C5497EAE-D628-2F52-1297-0E91F71CEAB0}"/>
              </a:ext>
            </a:extLst>
          </xdr:cNvPr>
          <xdr:cNvSpPr txBox="1"/>
        </xdr:nvSpPr>
        <xdr:spPr>
          <a:xfrm>
            <a:off x="19284288" y="604300"/>
            <a:ext cx="870613" cy="45161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000" b="1">
                <a:solidFill>
                  <a:schemeClr val="accent2">
                    <a:lumMod val="75000"/>
                  </a:schemeClr>
                </a:solidFill>
                <a:latin typeface="Microsoft Yi Baiti" panose="03000500000000000000" pitchFamily="66" charset="0"/>
                <a:ea typeface="Microsoft Yi Baiti" panose="03000500000000000000" pitchFamily="66" charset="0"/>
              </a:rPr>
              <a:t>ORH</a:t>
            </a:r>
          </a:p>
        </xdr:txBody>
      </xdr:sp>
    </xdr:grpSp>
    <xdr:clientData/>
  </xdr:twoCellAnchor>
  <xdr:twoCellAnchor editAs="oneCell">
    <xdr:from>
      <xdr:col>0</xdr:col>
      <xdr:colOff>27081</xdr:colOff>
      <xdr:row>1</xdr:row>
      <xdr:rowOff>71846</xdr:rowOff>
    </xdr:from>
    <xdr:to>
      <xdr:col>5</xdr:col>
      <xdr:colOff>42331</xdr:colOff>
      <xdr:row>2</xdr:row>
      <xdr:rowOff>91440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BB04150-73F0-473E-99FF-8298DD0DC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437" t="13115" r="5484" b="20111"/>
        <a:stretch/>
      </xdr:blipFill>
      <xdr:spPr>
        <a:xfrm>
          <a:off x="27081" y="266579"/>
          <a:ext cx="1903317" cy="476794"/>
        </a:xfrm>
        <a:prstGeom prst="rect">
          <a:avLst/>
        </a:prstGeom>
      </xdr:spPr>
    </xdr:pic>
    <xdr:clientData/>
  </xdr:twoCellAnchor>
  <xdr:twoCellAnchor editAs="oneCell">
    <xdr:from>
      <xdr:col>6</xdr:col>
      <xdr:colOff>32252</xdr:colOff>
      <xdr:row>1</xdr:row>
      <xdr:rowOff>84545</xdr:rowOff>
    </xdr:from>
    <xdr:to>
      <xdr:col>6</xdr:col>
      <xdr:colOff>618078</xdr:colOff>
      <xdr:row>2</xdr:row>
      <xdr:rowOff>96197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B34D26-4BFD-4D47-A11A-457D0BFC32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0751" b="9818"/>
        <a:stretch/>
      </xdr:blipFill>
      <xdr:spPr>
        <a:xfrm>
          <a:off x="2741585" y="279278"/>
          <a:ext cx="585826" cy="468852"/>
        </a:xfrm>
        <a:prstGeom prst="rect">
          <a:avLst/>
        </a:prstGeom>
      </xdr:spPr>
    </xdr:pic>
    <xdr:clientData/>
  </xdr:twoCellAnchor>
  <xdr:twoCellAnchor editAs="oneCell">
    <xdr:from>
      <xdr:col>5</xdr:col>
      <xdr:colOff>74870</xdr:colOff>
      <xdr:row>1</xdr:row>
      <xdr:rowOff>82732</xdr:rowOff>
    </xdr:from>
    <xdr:to>
      <xdr:col>6</xdr:col>
      <xdr:colOff>45596</xdr:colOff>
      <xdr:row>2</xdr:row>
      <xdr:rowOff>94384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45599F3-0D03-42F3-A0E3-D79E48617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80" t="26074" r="5956" b="25728"/>
        <a:stretch/>
      </xdr:blipFill>
      <xdr:spPr>
        <a:xfrm>
          <a:off x="1962937" y="277465"/>
          <a:ext cx="791992" cy="468852"/>
        </a:xfrm>
        <a:prstGeom prst="rect">
          <a:avLst/>
        </a:prstGeom>
      </xdr:spPr>
    </xdr:pic>
    <xdr:clientData/>
  </xdr:twoCellAnchor>
  <xdr:twoCellAnchor>
    <xdr:from>
      <xdr:col>33</xdr:col>
      <xdr:colOff>661940</xdr:colOff>
      <xdr:row>21</xdr:row>
      <xdr:rowOff>117764</xdr:rowOff>
    </xdr:from>
    <xdr:to>
      <xdr:col>36</xdr:col>
      <xdr:colOff>538140</xdr:colOff>
      <xdr:row>35</xdr:row>
      <xdr:rowOff>110837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D17A6CC-3185-43EA-9A40-988275A31CBE}"/>
            </a:ext>
          </a:extLst>
        </xdr:cNvPr>
        <xdr:cNvSpPr/>
      </xdr:nvSpPr>
      <xdr:spPr>
        <a:xfrm>
          <a:off x="20617873" y="4291831"/>
          <a:ext cx="2340000" cy="2042006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668867</xdr:colOff>
      <xdr:row>21</xdr:row>
      <xdr:rowOff>118530</xdr:rowOff>
    </xdr:from>
    <xdr:to>
      <xdr:col>40</xdr:col>
      <xdr:colOff>545067</xdr:colOff>
      <xdr:row>35</xdr:row>
      <xdr:rowOff>111603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C0CBD4D-DB78-4F04-8979-5AC2A07EB6E6}"/>
            </a:ext>
          </a:extLst>
        </xdr:cNvPr>
        <xdr:cNvSpPr/>
      </xdr:nvSpPr>
      <xdr:spPr>
        <a:xfrm>
          <a:off x="23909867" y="4665130"/>
          <a:ext cx="2340000" cy="2042006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719669</xdr:colOff>
      <xdr:row>28</xdr:row>
      <xdr:rowOff>70908</xdr:rowOff>
    </xdr:from>
    <xdr:to>
      <xdr:col>37</xdr:col>
      <xdr:colOff>550336</xdr:colOff>
      <xdr:row>32</xdr:row>
      <xdr:rowOff>66676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11172B26-9720-1EE7-EA1D-9A8B3BEC6DD3}"/>
            </a:ext>
          </a:extLst>
        </xdr:cNvPr>
        <xdr:cNvSpPr/>
      </xdr:nvSpPr>
      <xdr:spPr>
        <a:xfrm>
          <a:off x="28008794" y="6185958"/>
          <a:ext cx="649817" cy="719668"/>
        </a:xfrm>
        <a:prstGeom prst="righ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609600</xdr:colOff>
      <xdr:row>25</xdr:row>
      <xdr:rowOff>147109</xdr:rowOff>
    </xdr:from>
    <xdr:to>
      <xdr:col>37</xdr:col>
      <xdr:colOff>609600</xdr:colOff>
      <xdr:row>28</xdr:row>
      <xdr:rowOff>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D50603F-8357-E636-5DA6-3A3DF9A2BAF6}"/>
            </a:ext>
          </a:extLst>
        </xdr:cNvPr>
        <xdr:cNvSpPr/>
      </xdr:nvSpPr>
      <xdr:spPr>
        <a:xfrm>
          <a:off x="27898725" y="5719234"/>
          <a:ext cx="819150" cy="39581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  <a:latin typeface="+mj-lt"/>
            </a:rPr>
            <a:t>Cierre Inbound AXO</a:t>
          </a:r>
        </a:p>
      </xdr:txBody>
    </xdr:sp>
    <xdr:clientData/>
  </xdr:twoCellAnchor>
  <xdr:twoCellAnchor>
    <xdr:from>
      <xdr:col>81</xdr:col>
      <xdr:colOff>87086</xdr:colOff>
      <xdr:row>21</xdr:row>
      <xdr:rowOff>19050</xdr:rowOff>
    </xdr:from>
    <xdr:to>
      <xdr:col>202</xdr:col>
      <xdr:colOff>70971</xdr:colOff>
      <xdr:row>44</xdr:row>
      <xdr:rowOff>98784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07CC2-22BB-4F37-BD49-2B774BA1B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21772</xdr:colOff>
      <xdr:row>72</xdr:row>
      <xdr:rowOff>129267</xdr:rowOff>
    </xdr:from>
    <xdr:to>
      <xdr:col>202</xdr:col>
      <xdr:colOff>5657</xdr:colOff>
      <xdr:row>95</xdr:row>
      <xdr:rowOff>30210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8256876-5F5D-49FB-951E-953F3F867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81</xdr:col>
      <xdr:colOff>32656</xdr:colOff>
      <xdr:row>128</xdr:row>
      <xdr:rowOff>0</xdr:rowOff>
    </xdr:from>
    <xdr:to>
      <xdr:col>202</xdr:col>
      <xdr:colOff>16541</xdr:colOff>
      <xdr:row>164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2234AC8-6012-476E-AA24-A9927543F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</xdr:colOff>
      <xdr:row>21</xdr:row>
      <xdr:rowOff>21585</xdr:rowOff>
    </xdr:from>
    <xdr:to>
      <xdr:col>33</xdr:col>
      <xdr:colOff>289303</xdr:colOff>
      <xdr:row>44</xdr:row>
      <xdr:rowOff>101319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4A936-2FBA-44D6-86D2-1C5B0C3B7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3118</xdr:colOff>
      <xdr:row>72</xdr:row>
      <xdr:rowOff>96978</xdr:rowOff>
    </xdr:from>
    <xdr:to>
      <xdr:col>33</xdr:col>
      <xdr:colOff>286918</xdr:colOff>
      <xdr:row>95</xdr:row>
      <xdr:rowOff>2003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09A69-A626-4865-9F07-F2E5E91B3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6348</xdr:colOff>
      <xdr:row>128</xdr:row>
      <xdr:rowOff>5289</xdr:rowOff>
    </xdr:from>
    <xdr:to>
      <xdr:col>33</xdr:col>
      <xdr:colOff>290148</xdr:colOff>
      <xdr:row>147</xdr:row>
      <xdr:rowOff>166764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FDA07-2F9D-41F5-A5E1-09C3639EE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718218</xdr:colOff>
      <xdr:row>0</xdr:row>
      <xdr:rowOff>124548</xdr:rowOff>
    </xdr:from>
    <xdr:to>
      <xdr:col>107</xdr:col>
      <xdr:colOff>813650</xdr:colOff>
      <xdr:row>3</xdr:row>
      <xdr:rowOff>4080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57147F05-7403-446F-BE98-A121BE7B0EF0}"/>
            </a:ext>
          </a:extLst>
        </xdr:cNvPr>
        <xdr:cNvSpPr/>
      </xdr:nvSpPr>
      <xdr:spPr>
        <a:xfrm>
          <a:off x="3430938" y="124548"/>
          <a:ext cx="83214392" cy="778692"/>
        </a:xfrm>
        <a:prstGeom prst="frame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="1" baseline="0">
              <a:solidFill>
                <a:schemeClr val="bg2">
                  <a:lumMod val="50000"/>
                </a:schemeClr>
              </a:solidFill>
              <a:latin typeface="+mj-lt"/>
            </a:rPr>
            <a:t>COMPORTAMIENTO DIARIO || TAF - AXO</a:t>
          </a:r>
          <a:endParaRPr lang="es-MX" sz="2000" b="1">
            <a:solidFill>
              <a:schemeClr val="bg2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109</xdr:col>
      <xdr:colOff>239603</xdr:colOff>
      <xdr:row>0</xdr:row>
      <xdr:rowOff>26446</xdr:rowOff>
    </xdr:from>
    <xdr:to>
      <xdr:col>112</xdr:col>
      <xdr:colOff>79583</xdr:colOff>
      <xdr:row>3</xdr:row>
      <xdr:rowOff>53340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BB7E8D5-3C4F-4DF3-95C2-775E7B97F065}"/>
            </a:ext>
          </a:extLst>
        </xdr:cNvPr>
        <xdr:cNvGrpSpPr/>
      </xdr:nvGrpSpPr>
      <xdr:grpSpPr>
        <a:xfrm>
          <a:off x="87541943" y="26446"/>
          <a:ext cx="1668780" cy="926054"/>
          <a:chOff x="18168264" y="21770"/>
          <a:chExt cx="1986637" cy="1034144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4D35B85-6B2C-648C-13B6-ECE25A8238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6"/>
              </a:ext>
            </a:extLst>
          </a:blip>
          <a:stretch>
            <a:fillRect/>
          </a:stretch>
        </xdr:blipFill>
        <xdr:spPr>
          <a:xfrm>
            <a:off x="18168264" y="21770"/>
            <a:ext cx="1676005" cy="991623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2C50D0B4-03EE-2A78-23E1-2DC2F1AFC5E4}"/>
              </a:ext>
            </a:extLst>
          </xdr:cNvPr>
          <xdr:cNvSpPr txBox="1"/>
        </xdr:nvSpPr>
        <xdr:spPr>
          <a:xfrm>
            <a:off x="19284288" y="604300"/>
            <a:ext cx="870613" cy="45161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000" b="1">
                <a:solidFill>
                  <a:schemeClr val="accent2">
                    <a:lumMod val="75000"/>
                  </a:schemeClr>
                </a:solidFill>
                <a:latin typeface="Microsoft Yi Baiti" panose="03000500000000000000" pitchFamily="66" charset="0"/>
                <a:ea typeface="Microsoft Yi Baiti" panose="03000500000000000000" pitchFamily="66" charset="0"/>
              </a:rPr>
              <a:t>ORH</a:t>
            </a:r>
          </a:p>
        </xdr:txBody>
      </xdr:sp>
    </xdr:grpSp>
    <xdr:clientData/>
  </xdr:twoCellAnchor>
  <xdr:twoCellAnchor editAs="oneCell">
    <xdr:from>
      <xdr:col>0</xdr:col>
      <xdr:colOff>27081</xdr:colOff>
      <xdr:row>1</xdr:row>
      <xdr:rowOff>71846</xdr:rowOff>
    </xdr:from>
    <xdr:to>
      <xdr:col>5</xdr:col>
      <xdr:colOff>42331</xdr:colOff>
      <xdr:row>2</xdr:row>
      <xdr:rowOff>91440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7DC761-1232-41CC-B910-811D08227F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437" t="13115" r="5484" b="20111"/>
        <a:stretch/>
      </xdr:blipFill>
      <xdr:spPr>
        <a:xfrm>
          <a:off x="27081" y="269966"/>
          <a:ext cx="1905010" cy="476794"/>
        </a:xfrm>
        <a:prstGeom prst="rect">
          <a:avLst/>
        </a:prstGeom>
      </xdr:spPr>
    </xdr:pic>
    <xdr:clientData/>
  </xdr:twoCellAnchor>
  <xdr:twoCellAnchor editAs="oneCell">
    <xdr:from>
      <xdr:col>6</xdr:col>
      <xdr:colOff>32252</xdr:colOff>
      <xdr:row>1</xdr:row>
      <xdr:rowOff>84545</xdr:rowOff>
    </xdr:from>
    <xdr:to>
      <xdr:col>6</xdr:col>
      <xdr:colOff>618078</xdr:colOff>
      <xdr:row>2</xdr:row>
      <xdr:rowOff>96197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07067EF-D797-4C70-A6E6-F54F8BE0F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0751" b="9818"/>
        <a:stretch/>
      </xdr:blipFill>
      <xdr:spPr>
        <a:xfrm>
          <a:off x="2744972" y="282665"/>
          <a:ext cx="585826" cy="468852"/>
        </a:xfrm>
        <a:prstGeom prst="rect">
          <a:avLst/>
        </a:prstGeom>
      </xdr:spPr>
    </xdr:pic>
    <xdr:clientData/>
  </xdr:twoCellAnchor>
  <xdr:twoCellAnchor editAs="oneCell">
    <xdr:from>
      <xdr:col>5</xdr:col>
      <xdr:colOff>74870</xdr:colOff>
      <xdr:row>1</xdr:row>
      <xdr:rowOff>82732</xdr:rowOff>
    </xdr:from>
    <xdr:to>
      <xdr:col>6</xdr:col>
      <xdr:colOff>45596</xdr:colOff>
      <xdr:row>2</xdr:row>
      <xdr:rowOff>94384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0D55200-4F7B-49AC-A75D-CF7E7F188D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80" t="26074" r="5956" b="25728"/>
        <a:stretch/>
      </xdr:blipFill>
      <xdr:spPr>
        <a:xfrm>
          <a:off x="1964630" y="280852"/>
          <a:ext cx="793686" cy="468852"/>
        </a:xfrm>
        <a:prstGeom prst="rect">
          <a:avLst/>
        </a:prstGeom>
      </xdr:spPr>
    </xdr:pic>
    <xdr:clientData/>
  </xdr:twoCellAnchor>
  <xdr:twoCellAnchor>
    <xdr:from>
      <xdr:col>33</xdr:col>
      <xdr:colOff>661940</xdr:colOff>
      <xdr:row>21</xdr:row>
      <xdr:rowOff>117764</xdr:rowOff>
    </xdr:from>
    <xdr:to>
      <xdr:col>36</xdr:col>
      <xdr:colOff>538140</xdr:colOff>
      <xdr:row>35</xdr:row>
      <xdr:rowOff>110837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14D641-45B9-4C4B-8200-747687230CAC}"/>
            </a:ext>
          </a:extLst>
        </xdr:cNvPr>
        <xdr:cNvSpPr/>
      </xdr:nvSpPr>
      <xdr:spPr>
        <a:xfrm>
          <a:off x="25594580" y="4986944"/>
          <a:ext cx="2345080" cy="255339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668867</xdr:colOff>
      <xdr:row>21</xdr:row>
      <xdr:rowOff>118530</xdr:rowOff>
    </xdr:from>
    <xdr:to>
      <xdr:col>40</xdr:col>
      <xdr:colOff>545067</xdr:colOff>
      <xdr:row>35</xdr:row>
      <xdr:rowOff>111603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66AB29A-C0BB-4843-B451-DE9F4FCA4514}"/>
            </a:ext>
          </a:extLst>
        </xdr:cNvPr>
        <xdr:cNvSpPr/>
      </xdr:nvSpPr>
      <xdr:spPr>
        <a:xfrm>
          <a:off x="28893347" y="4987710"/>
          <a:ext cx="2345080" cy="2553393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719669</xdr:colOff>
      <xdr:row>28</xdr:row>
      <xdr:rowOff>70908</xdr:rowOff>
    </xdr:from>
    <xdr:to>
      <xdr:col>37</xdr:col>
      <xdr:colOff>550336</xdr:colOff>
      <xdr:row>32</xdr:row>
      <xdr:rowOff>66676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1C28D354-1A6B-42A9-8996-C887281A25CE}"/>
            </a:ext>
          </a:extLst>
        </xdr:cNvPr>
        <xdr:cNvSpPr/>
      </xdr:nvSpPr>
      <xdr:spPr>
        <a:xfrm>
          <a:off x="28121189" y="6220248"/>
          <a:ext cx="653627" cy="727288"/>
        </a:xfrm>
        <a:prstGeom prst="righ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609600</xdr:colOff>
      <xdr:row>25</xdr:row>
      <xdr:rowOff>147109</xdr:rowOff>
    </xdr:from>
    <xdr:to>
      <xdr:col>37</xdr:col>
      <xdr:colOff>609600</xdr:colOff>
      <xdr:row>28</xdr:row>
      <xdr:rowOff>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C762063-F187-426D-8C79-58237D7F9443}"/>
            </a:ext>
          </a:extLst>
        </xdr:cNvPr>
        <xdr:cNvSpPr/>
      </xdr:nvSpPr>
      <xdr:spPr>
        <a:xfrm>
          <a:off x="28011120" y="5747809"/>
          <a:ext cx="822960" cy="40153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  <a:latin typeface="+mj-lt"/>
            </a:rPr>
            <a:t>Cierre Inbound AXO</a:t>
          </a:r>
        </a:p>
      </xdr:txBody>
    </xdr:sp>
    <xdr:clientData/>
  </xdr:twoCellAnchor>
  <xdr:twoCellAnchor>
    <xdr:from>
      <xdr:col>68</xdr:col>
      <xdr:colOff>668654</xdr:colOff>
      <xdr:row>21</xdr:row>
      <xdr:rowOff>19050</xdr:rowOff>
    </xdr:from>
    <xdr:to>
      <xdr:col>108</xdr:col>
      <xdr:colOff>48734</xdr:colOff>
      <xdr:row>44</xdr:row>
      <xdr:rowOff>98784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1106B9-E1AE-4044-9691-B237638F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68</xdr:col>
      <xdr:colOff>638175</xdr:colOff>
      <xdr:row>72</xdr:row>
      <xdr:rowOff>129267</xdr:rowOff>
    </xdr:from>
    <xdr:to>
      <xdr:col>108</xdr:col>
      <xdr:colOff>18255</xdr:colOff>
      <xdr:row>95</xdr:row>
      <xdr:rowOff>30210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9F65429-CF65-413F-BC33-B7088FF56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657225</xdr:colOff>
      <xdr:row>128</xdr:row>
      <xdr:rowOff>0</xdr:rowOff>
    </xdr:from>
    <xdr:to>
      <xdr:col>108</xdr:col>
      <xdr:colOff>37305</xdr:colOff>
      <xdr:row>164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E57E53-1BFB-4FE8-9D95-A0BDE5A97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</xdr:colOff>
      <xdr:row>21</xdr:row>
      <xdr:rowOff>21585</xdr:rowOff>
    </xdr:from>
    <xdr:to>
      <xdr:col>33</xdr:col>
      <xdr:colOff>289303</xdr:colOff>
      <xdr:row>44</xdr:row>
      <xdr:rowOff>101319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B397A-8E17-4415-9829-FE937553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3118</xdr:colOff>
      <xdr:row>72</xdr:row>
      <xdr:rowOff>96978</xdr:rowOff>
    </xdr:from>
    <xdr:to>
      <xdr:col>33</xdr:col>
      <xdr:colOff>286918</xdr:colOff>
      <xdr:row>95</xdr:row>
      <xdr:rowOff>2003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7CCB6-B20B-48B0-B2D7-C583B147E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6348</xdr:colOff>
      <xdr:row>128</xdr:row>
      <xdr:rowOff>5289</xdr:rowOff>
    </xdr:from>
    <xdr:to>
      <xdr:col>33</xdr:col>
      <xdr:colOff>290148</xdr:colOff>
      <xdr:row>147</xdr:row>
      <xdr:rowOff>166764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E881E4-6EB2-4FD1-8B7F-16CA894A3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718218</xdr:colOff>
      <xdr:row>0</xdr:row>
      <xdr:rowOff>124548</xdr:rowOff>
    </xdr:from>
    <xdr:to>
      <xdr:col>89</xdr:col>
      <xdr:colOff>813650</xdr:colOff>
      <xdr:row>3</xdr:row>
      <xdr:rowOff>4080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7D0380FF-2797-4851-B85C-56D2E735DCD8}"/>
            </a:ext>
          </a:extLst>
        </xdr:cNvPr>
        <xdr:cNvSpPr/>
      </xdr:nvSpPr>
      <xdr:spPr>
        <a:xfrm>
          <a:off x="3430938" y="124548"/>
          <a:ext cx="68401112" cy="778692"/>
        </a:xfrm>
        <a:prstGeom prst="frame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="1" baseline="0">
              <a:solidFill>
                <a:schemeClr val="bg2">
                  <a:lumMod val="50000"/>
                </a:schemeClr>
              </a:solidFill>
              <a:latin typeface="+mj-lt"/>
            </a:rPr>
            <a:t>COMPORTAMIENTO BUEN FIN || TAF - AXO</a:t>
          </a:r>
          <a:endParaRPr lang="es-MX" sz="2000" b="1">
            <a:solidFill>
              <a:schemeClr val="bg2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91</xdr:col>
      <xdr:colOff>239603</xdr:colOff>
      <xdr:row>0</xdr:row>
      <xdr:rowOff>26446</xdr:rowOff>
    </xdr:from>
    <xdr:to>
      <xdr:col>94</xdr:col>
      <xdr:colOff>79583</xdr:colOff>
      <xdr:row>3</xdr:row>
      <xdr:rowOff>53340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B2E1CB6-31A2-4CED-AD5C-C80F6B48FA94}"/>
            </a:ext>
          </a:extLst>
        </xdr:cNvPr>
        <xdr:cNvGrpSpPr/>
      </xdr:nvGrpSpPr>
      <xdr:grpSpPr>
        <a:xfrm>
          <a:off x="72587270" y="26446"/>
          <a:ext cx="1668780" cy="924361"/>
          <a:chOff x="18168264" y="21770"/>
          <a:chExt cx="1986637" cy="1034144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30031AB-C207-C869-5ECB-BC2F25E570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6"/>
              </a:ext>
            </a:extLst>
          </a:blip>
          <a:stretch>
            <a:fillRect/>
          </a:stretch>
        </xdr:blipFill>
        <xdr:spPr>
          <a:xfrm>
            <a:off x="18168264" y="21770"/>
            <a:ext cx="1676005" cy="991623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0AB066E-F9AE-A962-2656-AB72C2C8D4AC}"/>
              </a:ext>
            </a:extLst>
          </xdr:cNvPr>
          <xdr:cNvSpPr txBox="1"/>
        </xdr:nvSpPr>
        <xdr:spPr>
          <a:xfrm>
            <a:off x="19284288" y="604300"/>
            <a:ext cx="870613" cy="45161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000" b="1">
                <a:solidFill>
                  <a:schemeClr val="accent2">
                    <a:lumMod val="75000"/>
                  </a:schemeClr>
                </a:solidFill>
                <a:latin typeface="Microsoft Yi Baiti" panose="03000500000000000000" pitchFamily="66" charset="0"/>
                <a:ea typeface="Microsoft Yi Baiti" panose="03000500000000000000" pitchFamily="66" charset="0"/>
              </a:rPr>
              <a:t>ORH</a:t>
            </a:r>
          </a:p>
        </xdr:txBody>
      </xdr:sp>
    </xdr:grpSp>
    <xdr:clientData/>
  </xdr:twoCellAnchor>
  <xdr:twoCellAnchor editAs="oneCell">
    <xdr:from>
      <xdr:col>0</xdr:col>
      <xdr:colOff>27081</xdr:colOff>
      <xdr:row>1</xdr:row>
      <xdr:rowOff>71846</xdr:rowOff>
    </xdr:from>
    <xdr:to>
      <xdr:col>5</xdr:col>
      <xdr:colOff>42331</xdr:colOff>
      <xdr:row>2</xdr:row>
      <xdr:rowOff>91440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9E9164-EEF4-4135-96BB-89594A2A82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437" t="13115" r="5484" b="20111"/>
        <a:stretch/>
      </xdr:blipFill>
      <xdr:spPr>
        <a:xfrm>
          <a:off x="27081" y="269966"/>
          <a:ext cx="1905010" cy="476794"/>
        </a:xfrm>
        <a:prstGeom prst="rect">
          <a:avLst/>
        </a:prstGeom>
      </xdr:spPr>
    </xdr:pic>
    <xdr:clientData/>
  </xdr:twoCellAnchor>
  <xdr:twoCellAnchor editAs="oneCell">
    <xdr:from>
      <xdr:col>6</xdr:col>
      <xdr:colOff>32252</xdr:colOff>
      <xdr:row>1</xdr:row>
      <xdr:rowOff>84545</xdr:rowOff>
    </xdr:from>
    <xdr:to>
      <xdr:col>6</xdr:col>
      <xdr:colOff>618078</xdr:colOff>
      <xdr:row>2</xdr:row>
      <xdr:rowOff>96197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4949988-069C-44C6-B8EE-EA1B0EF646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0751" b="9818"/>
        <a:stretch/>
      </xdr:blipFill>
      <xdr:spPr>
        <a:xfrm>
          <a:off x="2744972" y="282665"/>
          <a:ext cx="585826" cy="468852"/>
        </a:xfrm>
        <a:prstGeom prst="rect">
          <a:avLst/>
        </a:prstGeom>
      </xdr:spPr>
    </xdr:pic>
    <xdr:clientData/>
  </xdr:twoCellAnchor>
  <xdr:twoCellAnchor editAs="oneCell">
    <xdr:from>
      <xdr:col>5</xdr:col>
      <xdr:colOff>74870</xdr:colOff>
      <xdr:row>1</xdr:row>
      <xdr:rowOff>82732</xdr:rowOff>
    </xdr:from>
    <xdr:to>
      <xdr:col>6</xdr:col>
      <xdr:colOff>45596</xdr:colOff>
      <xdr:row>2</xdr:row>
      <xdr:rowOff>94384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EFA2F63-8132-4126-AB77-3AB8A210B3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80" t="26074" r="5956" b="25728"/>
        <a:stretch/>
      </xdr:blipFill>
      <xdr:spPr>
        <a:xfrm>
          <a:off x="1964630" y="280852"/>
          <a:ext cx="793686" cy="468852"/>
        </a:xfrm>
        <a:prstGeom prst="rect">
          <a:avLst/>
        </a:prstGeom>
      </xdr:spPr>
    </xdr:pic>
    <xdr:clientData/>
  </xdr:twoCellAnchor>
  <xdr:twoCellAnchor>
    <xdr:from>
      <xdr:col>33</xdr:col>
      <xdr:colOff>661940</xdr:colOff>
      <xdr:row>21</xdr:row>
      <xdr:rowOff>117764</xdr:rowOff>
    </xdr:from>
    <xdr:to>
      <xdr:col>36</xdr:col>
      <xdr:colOff>538140</xdr:colOff>
      <xdr:row>35</xdr:row>
      <xdr:rowOff>110837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42219A5-80C9-42AE-B6F4-A42652BEB95A}"/>
            </a:ext>
          </a:extLst>
        </xdr:cNvPr>
        <xdr:cNvSpPr/>
      </xdr:nvSpPr>
      <xdr:spPr>
        <a:xfrm>
          <a:off x="25594580" y="4804064"/>
          <a:ext cx="2345080" cy="255339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668867</xdr:colOff>
      <xdr:row>21</xdr:row>
      <xdr:rowOff>118530</xdr:rowOff>
    </xdr:from>
    <xdr:to>
      <xdr:col>40</xdr:col>
      <xdr:colOff>545067</xdr:colOff>
      <xdr:row>35</xdr:row>
      <xdr:rowOff>111603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8680327-8560-40CB-A5CB-C6582C70AF44}"/>
            </a:ext>
          </a:extLst>
        </xdr:cNvPr>
        <xdr:cNvSpPr/>
      </xdr:nvSpPr>
      <xdr:spPr>
        <a:xfrm>
          <a:off x="28893347" y="4804830"/>
          <a:ext cx="2345080" cy="2553393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719669</xdr:colOff>
      <xdr:row>28</xdr:row>
      <xdr:rowOff>70908</xdr:rowOff>
    </xdr:from>
    <xdr:to>
      <xdr:col>37</xdr:col>
      <xdr:colOff>550336</xdr:colOff>
      <xdr:row>32</xdr:row>
      <xdr:rowOff>66676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ED4B520B-864C-4862-8910-1E5B1FBCAADF}"/>
            </a:ext>
          </a:extLst>
        </xdr:cNvPr>
        <xdr:cNvSpPr/>
      </xdr:nvSpPr>
      <xdr:spPr>
        <a:xfrm>
          <a:off x="28121189" y="6037368"/>
          <a:ext cx="653627" cy="727288"/>
        </a:xfrm>
        <a:prstGeom prst="righ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609600</xdr:colOff>
      <xdr:row>25</xdr:row>
      <xdr:rowOff>147109</xdr:rowOff>
    </xdr:from>
    <xdr:to>
      <xdr:col>37</xdr:col>
      <xdr:colOff>609600</xdr:colOff>
      <xdr:row>28</xdr:row>
      <xdr:rowOff>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0451CF4-03CA-4A8A-94D6-D30DA3172A9E}"/>
            </a:ext>
          </a:extLst>
        </xdr:cNvPr>
        <xdr:cNvSpPr/>
      </xdr:nvSpPr>
      <xdr:spPr>
        <a:xfrm>
          <a:off x="28011120" y="5564929"/>
          <a:ext cx="822960" cy="40153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  <a:latin typeface="+mj-lt"/>
            </a:rPr>
            <a:t>Cierre Inbound AXO</a:t>
          </a:r>
        </a:p>
      </xdr:txBody>
    </xdr:sp>
    <xdr:clientData/>
  </xdr:twoCellAnchor>
  <xdr:twoCellAnchor>
    <xdr:from>
      <xdr:col>49</xdr:col>
      <xdr:colOff>790574</xdr:colOff>
      <xdr:row>21</xdr:row>
      <xdr:rowOff>19050</xdr:rowOff>
    </xdr:from>
    <xdr:to>
      <xdr:col>90</xdr:col>
      <xdr:colOff>431074</xdr:colOff>
      <xdr:row>44</xdr:row>
      <xdr:rowOff>98784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EA667FD-B5E6-4479-9101-8C6835782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28575</xdr:colOff>
      <xdr:row>72</xdr:row>
      <xdr:rowOff>129267</xdr:rowOff>
    </xdr:from>
    <xdr:to>
      <xdr:col>90</xdr:col>
      <xdr:colOff>494575</xdr:colOff>
      <xdr:row>95</xdr:row>
      <xdr:rowOff>30210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EC2587-52B1-4371-8104-88990E2E3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47625</xdr:colOff>
      <xdr:row>128</xdr:row>
      <xdr:rowOff>0</xdr:rowOff>
    </xdr:from>
    <xdr:to>
      <xdr:col>90</xdr:col>
      <xdr:colOff>513625</xdr:colOff>
      <xdr:row>164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9CF4C42-725B-4648-8022-84BFE1620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93</xdr:col>
      <xdr:colOff>194734</xdr:colOff>
      <xdr:row>50</xdr:row>
      <xdr:rowOff>84667</xdr:rowOff>
    </xdr:from>
    <xdr:to>
      <xdr:col>111</xdr:col>
      <xdr:colOff>50800</xdr:colOff>
      <xdr:row>70</xdr:row>
      <xdr:rowOff>59266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2DD7-BE24-4E28-93ED-89E698520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DFC1-EC1F-4054-AE30-8029C8425CF3}">
  <dimension ref="A1:HD176"/>
  <sheetViews>
    <sheetView showGridLines="0" tabSelected="1" zoomScale="110" zoomScaleNormal="110" workbookViewId="0">
      <pane xSplit="5" topLeftCell="GF1" activePane="topRight" state="frozen"/>
      <selection pane="topRight" activeCell="GO13" sqref="GO13"/>
    </sheetView>
  </sheetViews>
  <sheetFormatPr defaultRowHeight="14.4" outlineLevelRow="1" x14ac:dyDescent="0.3"/>
  <cols>
    <col min="1" max="1" width="3.21875" style="21" customWidth="1"/>
    <col min="2" max="2" width="5.77734375" style="21" customWidth="1"/>
    <col min="3" max="4" width="1.88671875" style="21" customWidth="1"/>
    <col min="5" max="5" width="14.77734375" style="21" customWidth="1"/>
    <col min="6" max="197" width="12" style="21" customWidth="1"/>
    <col min="198" max="202" width="12" style="21" hidden="1" customWidth="1"/>
    <col min="203" max="203" width="9.44140625" style="21" customWidth="1"/>
    <col min="204" max="205" width="8.88671875" style="21" customWidth="1"/>
    <col min="206" max="16384" width="8.88671875" style="21"/>
  </cols>
  <sheetData>
    <row r="1" spans="1:212" ht="15.6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5"/>
      <c r="GX1" s="25"/>
      <c r="HD1" s="27"/>
    </row>
    <row r="2" spans="1:212" ht="36" customHeight="1" x14ac:dyDescent="0.3">
      <c r="A2" s="24"/>
      <c r="B2" s="24"/>
      <c r="C2" s="24"/>
      <c r="D2" s="24"/>
      <c r="E2" s="24"/>
      <c r="F2" s="24"/>
      <c r="G2" s="24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5"/>
      <c r="GV2" s="25"/>
      <c r="GW2" s="25"/>
      <c r="GX2" s="25"/>
      <c r="HD2" s="27"/>
    </row>
    <row r="3" spans="1:212" ht="19.2" customHeight="1" x14ac:dyDescent="0.3">
      <c r="A3" s="24"/>
      <c r="B3" s="24"/>
      <c r="C3" s="24"/>
      <c r="D3" s="24"/>
      <c r="E3" s="24"/>
      <c r="F3" s="24"/>
      <c r="G3" s="24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5"/>
      <c r="GV3" s="25"/>
      <c r="GW3" s="25"/>
      <c r="GX3" s="25"/>
      <c r="HD3" s="27"/>
    </row>
    <row r="4" spans="1:212" ht="7.8" customHeight="1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5"/>
      <c r="GX4" s="25"/>
      <c r="HD4" s="27"/>
    </row>
    <row r="5" spans="1:212" ht="15.6" x14ac:dyDescent="0.3">
      <c r="GW5" s="28"/>
      <c r="GX5" s="28"/>
      <c r="HD5" s="27"/>
    </row>
    <row r="6" spans="1:212" ht="14.4" customHeight="1" x14ac:dyDescent="0.3">
      <c r="B6" s="75" t="s">
        <v>16</v>
      </c>
    </row>
    <row r="7" spans="1:212" x14ac:dyDescent="0.3">
      <c r="B7" s="75"/>
    </row>
    <row r="8" spans="1:212" x14ac:dyDescent="0.3">
      <c r="B8" s="75"/>
      <c r="GE8" s="30"/>
    </row>
    <row r="9" spans="1:212" x14ac:dyDescent="0.3">
      <c r="B9" s="75"/>
      <c r="E9" s="1"/>
      <c r="F9" s="11">
        <f t="shared" ref="F9:U9" si="0">F10</f>
        <v>45247</v>
      </c>
      <c r="G9" s="11">
        <f t="shared" si="0"/>
        <v>45248</v>
      </c>
      <c r="H9" s="11">
        <f t="shared" si="0"/>
        <v>45249</v>
      </c>
      <c r="I9" s="11">
        <f t="shared" si="0"/>
        <v>45250</v>
      </c>
      <c r="J9" s="11">
        <f t="shared" si="0"/>
        <v>45251</v>
      </c>
      <c r="K9" s="11">
        <f t="shared" si="0"/>
        <v>45252</v>
      </c>
      <c r="L9" s="11">
        <f t="shared" si="0"/>
        <v>45253</v>
      </c>
      <c r="M9" s="11">
        <f t="shared" si="0"/>
        <v>45254</v>
      </c>
      <c r="N9" s="11">
        <f t="shared" si="0"/>
        <v>45255</v>
      </c>
      <c r="O9" s="11">
        <f t="shared" si="0"/>
        <v>45256</v>
      </c>
      <c r="P9" s="11">
        <f t="shared" si="0"/>
        <v>45257</v>
      </c>
      <c r="Q9" s="11">
        <f t="shared" si="0"/>
        <v>45258</v>
      </c>
      <c r="R9" s="11">
        <f t="shared" si="0"/>
        <v>45259</v>
      </c>
      <c r="S9" s="11">
        <f t="shared" si="0"/>
        <v>45260</v>
      </c>
      <c r="T9" s="11">
        <f t="shared" si="0"/>
        <v>45261</v>
      </c>
      <c r="U9" s="11">
        <f t="shared" si="0"/>
        <v>45262</v>
      </c>
      <c r="V9" s="11">
        <f t="shared" ref="V9:ES9" si="1">V10</f>
        <v>45263</v>
      </c>
      <c r="W9" s="11">
        <f t="shared" si="1"/>
        <v>45264</v>
      </c>
      <c r="X9" s="11">
        <f t="shared" si="1"/>
        <v>45265</v>
      </c>
      <c r="Y9" s="11">
        <f t="shared" si="1"/>
        <v>45266</v>
      </c>
      <c r="Z9" s="11">
        <f t="shared" si="1"/>
        <v>45267</v>
      </c>
      <c r="AA9" s="11">
        <f t="shared" si="1"/>
        <v>45268</v>
      </c>
      <c r="AB9" s="11">
        <f t="shared" si="1"/>
        <v>45269</v>
      </c>
      <c r="AC9" s="11">
        <f t="shared" si="1"/>
        <v>45270</v>
      </c>
      <c r="AD9" s="11">
        <f t="shared" si="1"/>
        <v>45271</v>
      </c>
      <c r="AE9" s="11">
        <f t="shared" si="1"/>
        <v>45272</v>
      </c>
      <c r="AF9" s="11">
        <f t="shared" si="1"/>
        <v>45273</v>
      </c>
      <c r="AG9" s="11">
        <f t="shared" si="1"/>
        <v>45274</v>
      </c>
      <c r="AH9" s="11">
        <f t="shared" si="1"/>
        <v>45275</v>
      </c>
      <c r="AI9" s="11">
        <f t="shared" si="1"/>
        <v>45276</v>
      </c>
      <c r="AJ9" s="11">
        <f t="shared" si="1"/>
        <v>45277</v>
      </c>
      <c r="AK9" s="11">
        <f t="shared" si="1"/>
        <v>45278</v>
      </c>
      <c r="AL9" s="11">
        <f t="shared" si="1"/>
        <v>45279</v>
      </c>
      <c r="AM9" s="11">
        <f t="shared" si="1"/>
        <v>45280</v>
      </c>
      <c r="AN9" s="11">
        <f t="shared" si="1"/>
        <v>45281</v>
      </c>
      <c r="AO9" s="11">
        <f t="shared" si="1"/>
        <v>45282</v>
      </c>
      <c r="AP9" s="11">
        <f t="shared" si="1"/>
        <v>45283</v>
      </c>
      <c r="AQ9" s="11">
        <f t="shared" si="1"/>
        <v>45284</v>
      </c>
      <c r="AR9" s="11">
        <f t="shared" si="1"/>
        <v>45285</v>
      </c>
      <c r="AS9" s="11">
        <f t="shared" si="1"/>
        <v>45286</v>
      </c>
      <c r="AT9" s="11">
        <f t="shared" si="1"/>
        <v>45287</v>
      </c>
      <c r="AU9" s="11">
        <f t="shared" si="1"/>
        <v>45288</v>
      </c>
      <c r="AV9" s="11">
        <f t="shared" si="1"/>
        <v>45289</v>
      </c>
      <c r="AW9" s="11">
        <f t="shared" si="1"/>
        <v>45290</v>
      </c>
      <c r="AX9" s="11">
        <f t="shared" si="1"/>
        <v>45291</v>
      </c>
      <c r="AY9" s="11">
        <f t="shared" si="1"/>
        <v>45292</v>
      </c>
      <c r="AZ9" s="11">
        <f t="shared" si="1"/>
        <v>45293</v>
      </c>
      <c r="BA9" s="11">
        <f t="shared" si="1"/>
        <v>45294</v>
      </c>
      <c r="BB9" s="11">
        <f t="shared" si="1"/>
        <v>45295</v>
      </c>
      <c r="BC9" s="11">
        <f t="shared" si="1"/>
        <v>45296</v>
      </c>
      <c r="BD9" s="11">
        <f t="shared" si="1"/>
        <v>45297</v>
      </c>
      <c r="BE9" s="11">
        <f t="shared" si="1"/>
        <v>45298</v>
      </c>
      <c r="BF9" s="11">
        <f t="shared" si="1"/>
        <v>45299</v>
      </c>
      <c r="BG9" s="11">
        <f t="shared" si="1"/>
        <v>45300</v>
      </c>
      <c r="BH9" s="11">
        <f t="shared" si="1"/>
        <v>45301</v>
      </c>
      <c r="BI9" s="11">
        <f t="shared" si="1"/>
        <v>45302</v>
      </c>
      <c r="BJ9" s="11">
        <f t="shared" si="1"/>
        <v>45303</v>
      </c>
      <c r="BK9" s="11">
        <f t="shared" si="1"/>
        <v>45304</v>
      </c>
      <c r="BL9" s="11">
        <f t="shared" si="1"/>
        <v>45305</v>
      </c>
      <c r="BM9" s="11">
        <f t="shared" si="1"/>
        <v>45306</v>
      </c>
      <c r="BN9" s="11">
        <f t="shared" si="1"/>
        <v>45307</v>
      </c>
      <c r="BO9" s="11">
        <f t="shared" si="1"/>
        <v>45308</v>
      </c>
      <c r="BP9" s="11">
        <f t="shared" si="1"/>
        <v>45309</v>
      </c>
      <c r="BQ9" s="11">
        <f t="shared" si="1"/>
        <v>45310</v>
      </c>
      <c r="BR9" s="11">
        <f t="shared" si="1"/>
        <v>45311</v>
      </c>
      <c r="BS9" s="11">
        <f t="shared" si="1"/>
        <v>45312</v>
      </c>
      <c r="BT9" s="11">
        <f t="shared" si="1"/>
        <v>45313</v>
      </c>
      <c r="BU9" s="11">
        <f t="shared" si="1"/>
        <v>45314</v>
      </c>
      <c r="BV9" s="11">
        <f t="shared" si="1"/>
        <v>45315</v>
      </c>
      <c r="BW9" s="11">
        <f t="shared" si="1"/>
        <v>45316</v>
      </c>
      <c r="BX9" s="11">
        <f t="shared" si="1"/>
        <v>45317</v>
      </c>
      <c r="BY9" s="11">
        <f t="shared" si="1"/>
        <v>45318</v>
      </c>
      <c r="BZ9" s="11">
        <f t="shared" si="1"/>
        <v>45319</v>
      </c>
      <c r="CA9" s="11">
        <f t="shared" si="1"/>
        <v>45320</v>
      </c>
      <c r="CB9" s="11">
        <f t="shared" si="1"/>
        <v>45321</v>
      </c>
      <c r="CC9" s="11">
        <f t="shared" si="1"/>
        <v>45322</v>
      </c>
      <c r="CD9" s="11">
        <f t="shared" si="1"/>
        <v>45323</v>
      </c>
      <c r="CE9" s="11">
        <f t="shared" si="1"/>
        <v>45324</v>
      </c>
      <c r="CF9" s="11">
        <f t="shared" si="1"/>
        <v>45325</v>
      </c>
      <c r="CG9" s="11">
        <f t="shared" si="1"/>
        <v>45326</v>
      </c>
      <c r="CH9" s="11">
        <f t="shared" si="1"/>
        <v>45327</v>
      </c>
      <c r="CI9" s="11">
        <f t="shared" si="1"/>
        <v>45328</v>
      </c>
      <c r="CJ9" s="11">
        <f t="shared" si="1"/>
        <v>45329</v>
      </c>
      <c r="CK9" s="11">
        <f t="shared" si="1"/>
        <v>45330</v>
      </c>
      <c r="CL9" s="11">
        <f t="shared" si="1"/>
        <v>45331</v>
      </c>
      <c r="CM9" s="11">
        <f t="shared" si="1"/>
        <v>45332</v>
      </c>
      <c r="CN9" s="11">
        <f t="shared" si="1"/>
        <v>45333</v>
      </c>
      <c r="CO9" s="11">
        <f t="shared" si="1"/>
        <v>45334</v>
      </c>
      <c r="CP9" s="11">
        <f t="shared" si="1"/>
        <v>45335</v>
      </c>
      <c r="CQ9" s="11">
        <f t="shared" si="1"/>
        <v>45336</v>
      </c>
      <c r="CR9" s="11">
        <f t="shared" si="1"/>
        <v>45337</v>
      </c>
      <c r="CS9" s="11">
        <f t="shared" si="1"/>
        <v>45338</v>
      </c>
      <c r="CT9" s="11">
        <f t="shared" si="1"/>
        <v>45339</v>
      </c>
      <c r="CU9" s="11">
        <f t="shared" si="1"/>
        <v>45340</v>
      </c>
      <c r="CV9" s="11">
        <f t="shared" si="1"/>
        <v>45341</v>
      </c>
      <c r="CW9" s="11">
        <f t="shared" si="1"/>
        <v>45342</v>
      </c>
      <c r="CX9" s="11">
        <f t="shared" si="1"/>
        <v>45343</v>
      </c>
      <c r="CY9" s="11">
        <f t="shared" si="1"/>
        <v>45344</v>
      </c>
      <c r="CZ9" s="11">
        <f t="shared" si="1"/>
        <v>45345</v>
      </c>
      <c r="DA9" s="11">
        <f t="shared" si="1"/>
        <v>45346</v>
      </c>
      <c r="DB9" s="11">
        <f t="shared" si="1"/>
        <v>45347</v>
      </c>
      <c r="DC9" s="11">
        <f t="shared" si="1"/>
        <v>45348</v>
      </c>
      <c r="DD9" s="11">
        <f t="shared" si="1"/>
        <v>45349</v>
      </c>
      <c r="DE9" s="11">
        <f t="shared" si="1"/>
        <v>45350</v>
      </c>
      <c r="DF9" s="11">
        <f t="shared" si="1"/>
        <v>45351</v>
      </c>
      <c r="DG9" s="11">
        <f t="shared" si="1"/>
        <v>45352</v>
      </c>
      <c r="DH9" s="11">
        <f t="shared" si="1"/>
        <v>45353</v>
      </c>
      <c r="DI9" s="11">
        <f t="shared" si="1"/>
        <v>45354</v>
      </c>
      <c r="DJ9" s="11">
        <f t="shared" si="1"/>
        <v>45355</v>
      </c>
      <c r="DK9" s="11">
        <f t="shared" si="1"/>
        <v>45356</v>
      </c>
      <c r="DL9" s="11">
        <f t="shared" si="1"/>
        <v>45357</v>
      </c>
      <c r="DM9" s="11">
        <f t="shared" si="1"/>
        <v>45358</v>
      </c>
      <c r="DN9" s="11">
        <f t="shared" si="1"/>
        <v>45359</v>
      </c>
      <c r="DO9" s="11">
        <f t="shared" si="1"/>
        <v>45360</v>
      </c>
      <c r="DP9" s="11">
        <f t="shared" si="1"/>
        <v>45361</v>
      </c>
      <c r="DQ9" s="11">
        <f t="shared" si="1"/>
        <v>45362</v>
      </c>
      <c r="DR9" s="11">
        <f t="shared" si="1"/>
        <v>45363</v>
      </c>
      <c r="DS9" s="11">
        <f t="shared" si="1"/>
        <v>45364</v>
      </c>
      <c r="DT9" s="11">
        <f t="shared" si="1"/>
        <v>45365</v>
      </c>
      <c r="DU9" s="11">
        <f t="shared" si="1"/>
        <v>45366</v>
      </c>
      <c r="DV9" s="11">
        <f t="shared" si="1"/>
        <v>45367</v>
      </c>
      <c r="DW9" s="11">
        <f t="shared" si="1"/>
        <v>45368</v>
      </c>
      <c r="DX9" s="11">
        <f t="shared" si="1"/>
        <v>45369</v>
      </c>
      <c r="DY9" s="11">
        <f t="shared" si="1"/>
        <v>45370</v>
      </c>
      <c r="DZ9" s="11">
        <f t="shared" si="1"/>
        <v>45371</v>
      </c>
      <c r="EA9" s="11">
        <f t="shared" si="1"/>
        <v>45372</v>
      </c>
      <c r="EB9" s="11">
        <f t="shared" si="1"/>
        <v>45373</v>
      </c>
      <c r="EC9" s="11">
        <f t="shared" si="1"/>
        <v>45374</v>
      </c>
      <c r="ED9" s="11">
        <f t="shared" si="1"/>
        <v>45375</v>
      </c>
      <c r="EE9" s="11">
        <f t="shared" si="1"/>
        <v>45376</v>
      </c>
      <c r="EF9" s="11">
        <f t="shared" si="1"/>
        <v>45377</v>
      </c>
      <c r="EG9" s="11">
        <f t="shared" si="1"/>
        <v>45378</v>
      </c>
      <c r="EH9" s="11">
        <f t="shared" si="1"/>
        <v>45379</v>
      </c>
      <c r="EI9" s="11">
        <f t="shared" si="1"/>
        <v>45380</v>
      </c>
      <c r="EJ9" s="11">
        <f t="shared" si="1"/>
        <v>45381</v>
      </c>
      <c r="EK9" s="11">
        <f t="shared" si="1"/>
        <v>45382</v>
      </c>
      <c r="EL9" s="11">
        <f t="shared" si="1"/>
        <v>45383</v>
      </c>
      <c r="EM9" s="11">
        <f t="shared" si="1"/>
        <v>45384</v>
      </c>
      <c r="EN9" s="11">
        <f t="shared" si="1"/>
        <v>45385</v>
      </c>
      <c r="EO9" s="11">
        <f t="shared" si="1"/>
        <v>45386</v>
      </c>
      <c r="EP9" s="11">
        <f t="shared" si="1"/>
        <v>45387</v>
      </c>
      <c r="EQ9" s="11">
        <f t="shared" si="1"/>
        <v>45388</v>
      </c>
      <c r="ER9" s="11">
        <f t="shared" si="1"/>
        <v>45389</v>
      </c>
      <c r="ES9" s="11">
        <f t="shared" si="1"/>
        <v>45390</v>
      </c>
      <c r="ET9" s="11">
        <f t="shared" ref="ET9:GT9" si="2">ET10</f>
        <v>45391</v>
      </c>
      <c r="EU9" s="11">
        <f t="shared" si="2"/>
        <v>45392</v>
      </c>
      <c r="EV9" s="11">
        <f t="shared" si="2"/>
        <v>45393</v>
      </c>
      <c r="EW9" s="11">
        <f t="shared" si="2"/>
        <v>45394</v>
      </c>
      <c r="EX9" s="11">
        <f t="shared" si="2"/>
        <v>45395</v>
      </c>
      <c r="EY9" s="11">
        <f t="shared" si="2"/>
        <v>45396</v>
      </c>
      <c r="EZ9" s="11">
        <f t="shared" si="2"/>
        <v>45397</v>
      </c>
      <c r="FA9" s="11">
        <f t="shared" si="2"/>
        <v>45398</v>
      </c>
      <c r="FB9" s="11">
        <f t="shared" si="2"/>
        <v>45399</v>
      </c>
      <c r="FC9" s="11">
        <f t="shared" si="2"/>
        <v>45400</v>
      </c>
      <c r="FD9" s="11">
        <f t="shared" si="2"/>
        <v>45401</v>
      </c>
      <c r="FE9" s="11">
        <f t="shared" si="2"/>
        <v>45402</v>
      </c>
      <c r="FF9" s="11">
        <f t="shared" si="2"/>
        <v>45403</v>
      </c>
      <c r="FG9" s="11">
        <f t="shared" si="2"/>
        <v>45404</v>
      </c>
      <c r="FH9" s="11">
        <f t="shared" si="2"/>
        <v>45405</v>
      </c>
      <c r="FI9" s="11">
        <f t="shared" si="2"/>
        <v>45406</v>
      </c>
      <c r="FJ9" s="11">
        <f t="shared" si="2"/>
        <v>45407</v>
      </c>
      <c r="FK9" s="11">
        <f t="shared" si="2"/>
        <v>45408</v>
      </c>
      <c r="FL9" s="11">
        <f t="shared" si="2"/>
        <v>45409</v>
      </c>
      <c r="FM9" s="11">
        <f t="shared" si="2"/>
        <v>45410</v>
      </c>
      <c r="FN9" s="11">
        <f t="shared" si="2"/>
        <v>45411</v>
      </c>
      <c r="FO9" s="11">
        <f t="shared" si="2"/>
        <v>45412</v>
      </c>
      <c r="FP9" s="11">
        <f t="shared" si="2"/>
        <v>45413</v>
      </c>
      <c r="FQ9" s="11">
        <f t="shared" si="2"/>
        <v>45414</v>
      </c>
      <c r="FR9" s="11">
        <f t="shared" si="2"/>
        <v>45415</v>
      </c>
      <c r="FS9" s="11">
        <f t="shared" si="2"/>
        <v>45416</v>
      </c>
      <c r="FT9" s="11">
        <f t="shared" si="2"/>
        <v>45417</v>
      </c>
      <c r="FU9" s="11">
        <f t="shared" si="2"/>
        <v>45418</v>
      </c>
      <c r="FV9" s="11">
        <f t="shared" si="2"/>
        <v>45419</v>
      </c>
      <c r="FW9" s="11">
        <f t="shared" si="2"/>
        <v>45420</v>
      </c>
      <c r="FX9" s="11">
        <f t="shared" si="2"/>
        <v>45421</v>
      </c>
      <c r="FY9" s="11">
        <f t="shared" si="2"/>
        <v>45422</v>
      </c>
      <c r="FZ9" s="11">
        <f t="shared" si="2"/>
        <v>45423</v>
      </c>
      <c r="GA9" s="11">
        <f t="shared" si="2"/>
        <v>45424</v>
      </c>
      <c r="GB9" s="11">
        <f t="shared" si="2"/>
        <v>45425</v>
      </c>
      <c r="GC9" s="11">
        <f t="shared" si="2"/>
        <v>45426</v>
      </c>
      <c r="GD9" s="11">
        <f t="shared" si="2"/>
        <v>45427</v>
      </c>
      <c r="GE9" s="11">
        <f t="shared" si="2"/>
        <v>45428</v>
      </c>
      <c r="GF9" s="11">
        <f t="shared" si="2"/>
        <v>45429</v>
      </c>
      <c r="GG9" s="11">
        <f t="shared" si="2"/>
        <v>45430</v>
      </c>
      <c r="GH9" s="11">
        <f t="shared" si="2"/>
        <v>45431</v>
      </c>
      <c r="GI9" s="11">
        <f t="shared" si="2"/>
        <v>45432</v>
      </c>
      <c r="GJ9" s="11">
        <f t="shared" si="2"/>
        <v>45433</v>
      </c>
      <c r="GK9" s="11">
        <f t="shared" si="2"/>
        <v>45434</v>
      </c>
      <c r="GL9" s="11">
        <f t="shared" si="2"/>
        <v>45435</v>
      </c>
      <c r="GM9" s="11">
        <f t="shared" si="2"/>
        <v>45436</v>
      </c>
      <c r="GN9" s="11">
        <f t="shared" si="2"/>
        <v>45437</v>
      </c>
      <c r="GO9" s="11">
        <f t="shared" si="2"/>
        <v>45438</v>
      </c>
      <c r="GP9" s="11">
        <f t="shared" si="2"/>
        <v>45439</v>
      </c>
      <c r="GQ9" s="11">
        <f t="shared" si="2"/>
        <v>45440</v>
      </c>
      <c r="GR9" s="11">
        <f t="shared" si="2"/>
        <v>45441</v>
      </c>
      <c r="GS9" s="11">
        <f t="shared" si="2"/>
        <v>45442</v>
      </c>
      <c r="GT9" s="11">
        <f t="shared" si="2"/>
        <v>45443</v>
      </c>
    </row>
    <row r="10" spans="1:212" x14ac:dyDescent="0.3">
      <c r="B10" s="75"/>
      <c r="E10" s="1"/>
      <c r="F10" s="20">
        <v>45247</v>
      </c>
      <c r="G10" s="20">
        <f t="shared" ref="G10:N10" si="3">F10+1</f>
        <v>45248</v>
      </c>
      <c r="H10" s="20">
        <f t="shared" si="3"/>
        <v>45249</v>
      </c>
      <c r="I10" s="20">
        <f t="shared" si="3"/>
        <v>45250</v>
      </c>
      <c r="J10" s="20">
        <f t="shared" si="3"/>
        <v>45251</v>
      </c>
      <c r="K10" s="20">
        <f t="shared" si="3"/>
        <v>45252</v>
      </c>
      <c r="L10" s="20">
        <f t="shared" si="3"/>
        <v>45253</v>
      </c>
      <c r="M10" s="20">
        <f t="shared" si="3"/>
        <v>45254</v>
      </c>
      <c r="N10" s="20">
        <f t="shared" si="3"/>
        <v>45255</v>
      </c>
      <c r="O10" s="20">
        <f t="shared" ref="O10" si="4">N10+1</f>
        <v>45256</v>
      </c>
      <c r="P10" s="20">
        <f t="shared" ref="P10" si="5">O10+1</f>
        <v>45257</v>
      </c>
      <c r="Q10" s="20">
        <f t="shared" ref="Q10" si="6">P10+1</f>
        <v>45258</v>
      </c>
      <c r="R10" s="20">
        <f t="shared" ref="R10:S10" si="7">Q10+1</f>
        <v>45259</v>
      </c>
      <c r="S10" s="20">
        <f t="shared" si="7"/>
        <v>45260</v>
      </c>
      <c r="T10" s="20">
        <f t="shared" ref="T10:U10" si="8">S10+1</f>
        <v>45261</v>
      </c>
      <c r="U10" s="20">
        <f t="shared" si="8"/>
        <v>45262</v>
      </c>
      <c r="V10" s="20">
        <f t="shared" ref="V10" si="9">U10+1</f>
        <v>45263</v>
      </c>
      <c r="W10" s="20">
        <f t="shared" ref="W10" si="10">V10+1</f>
        <v>45264</v>
      </c>
      <c r="X10" s="20">
        <f t="shared" ref="X10" si="11">W10+1</f>
        <v>45265</v>
      </c>
      <c r="Y10" s="20">
        <f t="shared" ref="Y10" si="12">X10+1</f>
        <v>45266</v>
      </c>
      <c r="Z10" s="20">
        <f t="shared" ref="Z10" si="13">Y10+1</f>
        <v>45267</v>
      </c>
      <c r="AA10" s="20">
        <f t="shared" ref="AA10" si="14">Z10+1</f>
        <v>45268</v>
      </c>
      <c r="AB10" s="20">
        <f t="shared" ref="AB10" si="15">AA10+1</f>
        <v>45269</v>
      </c>
      <c r="AC10" s="20">
        <f t="shared" ref="AC10" si="16">AB10+1</f>
        <v>45270</v>
      </c>
      <c r="AD10" s="20">
        <f t="shared" ref="AD10" si="17">AC10+1</f>
        <v>45271</v>
      </c>
      <c r="AE10" s="20">
        <f t="shared" ref="AE10" si="18">AD10+1</f>
        <v>45272</v>
      </c>
      <c r="AF10" s="20">
        <f t="shared" ref="AF10" si="19">AE10+1</f>
        <v>45273</v>
      </c>
      <c r="AG10" s="20">
        <f t="shared" ref="AG10:AH10" si="20">AF10+1</f>
        <v>45274</v>
      </c>
      <c r="AH10" s="20">
        <f t="shared" si="20"/>
        <v>45275</v>
      </c>
      <c r="AI10" s="20">
        <f t="shared" ref="AI10:AJ10" si="21">AH10+1</f>
        <v>45276</v>
      </c>
      <c r="AJ10" s="20">
        <f t="shared" si="21"/>
        <v>45277</v>
      </c>
      <c r="AK10" s="20">
        <f t="shared" ref="AK10:AL10" si="22">AJ10+1</f>
        <v>45278</v>
      </c>
      <c r="AL10" s="20">
        <f t="shared" si="22"/>
        <v>45279</v>
      </c>
      <c r="AM10" s="20">
        <f t="shared" ref="AM10" si="23">AL10+1</f>
        <v>45280</v>
      </c>
      <c r="AN10" s="20">
        <f t="shared" ref="AN10:AP10" si="24">AM10+1</f>
        <v>45281</v>
      </c>
      <c r="AO10" s="20">
        <f t="shared" si="24"/>
        <v>45282</v>
      </c>
      <c r="AP10" s="20">
        <f t="shared" si="24"/>
        <v>45283</v>
      </c>
      <c r="AQ10" s="20">
        <f t="shared" ref="AQ10:AR10" si="25">AP10+1</f>
        <v>45284</v>
      </c>
      <c r="AR10" s="20">
        <f t="shared" si="25"/>
        <v>45285</v>
      </c>
      <c r="AS10" s="20">
        <f t="shared" ref="AS10:AT10" si="26">AR10+1</f>
        <v>45286</v>
      </c>
      <c r="AT10" s="20">
        <f t="shared" si="26"/>
        <v>45287</v>
      </c>
      <c r="AU10" s="20">
        <f t="shared" ref="AU10:AX10" si="27">AT10+1</f>
        <v>45288</v>
      </c>
      <c r="AV10" s="20">
        <f t="shared" si="27"/>
        <v>45289</v>
      </c>
      <c r="AW10" s="20">
        <f t="shared" si="27"/>
        <v>45290</v>
      </c>
      <c r="AX10" s="20">
        <f t="shared" si="27"/>
        <v>45291</v>
      </c>
      <c r="AY10" s="20">
        <f t="shared" ref="AY10:BB10" si="28">AX10+1</f>
        <v>45292</v>
      </c>
      <c r="AZ10" s="20">
        <f t="shared" si="28"/>
        <v>45293</v>
      </c>
      <c r="BA10" s="20">
        <f t="shared" si="28"/>
        <v>45294</v>
      </c>
      <c r="BB10" s="20">
        <f t="shared" si="28"/>
        <v>45295</v>
      </c>
      <c r="BC10" s="20">
        <f t="shared" ref="BC10:BE10" si="29">BB10+1</f>
        <v>45296</v>
      </c>
      <c r="BD10" s="20">
        <f t="shared" si="29"/>
        <v>45297</v>
      </c>
      <c r="BE10" s="20">
        <f t="shared" si="29"/>
        <v>45298</v>
      </c>
      <c r="BF10" s="20">
        <f t="shared" ref="BF10:BI10" si="30">BE10+1</f>
        <v>45299</v>
      </c>
      <c r="BG10" s="20">
        <f t="shared" si="30"/>
        <v>45300</v>
      </c>
      <c r="BH10" s="20">
        <f t="shared" si="30"/>
        <v>45301</v>
      </c>
      <c r="BI10" s="20">
        <f t="shared" si="30"/>
        <v>45302</v>
      </c>
      <c r="BJ10" s="20">
        <f t="shared" ref="BJ10:BM10" si="31">BI10+1</f>
        <v>45303</v>
      </c>
      <c r="BK10" s="20">
        <f t="shared" si="31"/>
        <v>45304</v>
      </c>
      <c r="BL10" s="20">
        <f t="shared" si="31"/>
        <v>45305</v>
      </c>
      <c r="BM10" s="20">
        <f t="shared" si="31"/>
        <v>45306</v>
      </c>
      <c r="BN10" s="20">
        <f t="shared" ref="BN10" si="32">BM10+1</f>
        <v>45307</v>
      </c>
      <c r="BO10" s="20">
        <f t="shared" ref="BO10:BP10" si="33">BN10+1</f>
        <v>45308</v>
      </c>
      <c r="BP10" s="20">
        <f t="shared" si="33"/>
        <v>45309</v>
      </c>
      <c r="BQ10" s="20">
        <f t="shared" ref="BQ10:BS10" si="34">BP10+1</f>
        <v>45310</v>
      </c>
      <c r="BR10" s="20">
        <f t="shared" si="34"/>
        <v>45311</v>
      </c>
      <c r="BS10" s="20">
        <f t="shared" si="34"/>
        <v>45312</v>
      </c>
      <c r="BT10" s="20">
        <f t="shared" ref="BT10:BW10" si="35">BS10+1</f>
        <v>45313</v>
      </c>
      <c r="BU10" s="20">
        <f t="shared" si="35"/>
        <v>45314</v>
      </c>
      <c r="BV10" s="20">
        <f t="shared" si="35"/>
        <v>45315</v>
      </c>
      <c r="BW10" s="20">
        <f t="shared" si="35"/>
        <v>45316</v>
      </c>
      <c r="BX10" s="20">
        <f t="shared" ref="BX10:BZ10" si="36">BW10+1</f>
        <v>45317</v>
      </c>
      <c r="BY10" s="20">
        <f t="shared" si="36"/>
        <v>45318</v>
      </c>
      <c r="BZ10" s="20">
        <f t="shared" si="36"/>
        <v>45319</v>
      </c>
      <c r="CA10" s="20">
        <f t="shared" ref="CA10:CC10" si="37">BZ10+1</f>
        <v>45320</v>
      </c>
      <c r="CB10" s="20">
        <f t="shared" si="37"/>
        <v>45321</v>
      </c>
      <c r="CC10" s="20">
        <f t="shared" si="37"/>
        <v>45322</v>
      </c>
      <c r="CD10" s="20">
        <f t="shared" ref="CD10:CE10" si="38">CC10+1</f>
        <v>45323</v>
      </c>
      <c r="CE10" s="20">
        <f t="shared" si="38"/>
        <v>45324</v>
      </c>
      <c r="CF10" s="20">
        <f t="shared" ref="CF10:CM10" si="39">CE10+1</f>
        <v>45325</v>
      </c>
      <c r="CG10" s="20">
        <f t="shared" si="39"/>
        <v>45326</v>
      </c>
      <c r="CH10" s="20">
        <f t="shared" si="39"/>
        <v>45327</v>
      </c>
      <c r="CI10" s="20">
        <f t="shared" si="39"/>
        <v>45328</v>
      </c>
      <c r="CJ10" s="20">
        <f t="shared" si="39"/>
        <v>45329</v>
      </c>
      <c r="CK10" s="20">
        <f t="shared" si="39"/>
        <v>45330</v>
      </c>
      <c r="CL10" s="20">
        <f t="shared" si="39"/>
        <v>45331</v>
      </c>
      <c r="CM10" s="20">
        <f t="shared" si="39"/>
        <v>45332</v>
      </c>
      <c r="CN10" s="20">
        <f t="shared" ref="CN10:CP10" si="40">CM10+1</f>
        <v>45333</v>
      </c>
      <c r="CO10" s="20">
        <f t="shared" si="40"/>
        <v>45334</v>
      </c>
      <c r="CP10" s="20">
        <f t="shared" si="40"/>
        <v>45335</v>
      </c>
      <c r="CQ10" s="20">
        <f t="shared" ref="CQ10" si="41">CP10+1</f>
        <v>45336</v>
      </c>
      <c r="CR10" s="20">
        <f t="shared" ref="CR10:CV10" si="42">CQ10+1</f>
        <v>45337</v>
      </c>
      <c r="CS10" s="20">
        <f t="shared" si="42"/>
        <v>45338</v>
      </c>
      <c r="CT10" s="20">
        <f t="shared" si="42"/>
        <v>45339</v>
      </c>
      <c r="CU10" s="20">
        <f t="shared" si="42"/>
        <v>45340</v>
      </c>
      <c r="CV10" s="20">
        <f t="shared" si="42"/>
        <v>45341</v>
      </c>
      <c r="CW10" s="20">
        <f t="shared" ref="CW10" si="43">CV10+1</f>
        <v>45342</v>
      </c>
      <c r="CX10" s="20">
        <f t="shared" ref="CX10:CY10" si="44">CW10+1</f>
        <v>45343</v>
      </c>
      <c r="CY10" s="20">
        <f t="shared" si="44"/>
        <v>45344</v>
      </c>
      <c r="CZ10" s="20">
        <f t="shared" ref="CZ10:DB10" si="45">CY10+1</f>
        <v>45345</v>
      </c>
      <c r="DA10" s="20">
        <f t="shared" si="45"/>
        <v>45346</v>
      </c>
      <c r="DB10" s="20">
        <f t="shared" si="45"/>
        <v>45347</v>
      </c>
      <c r="DC10" s="20">
        <f t="shared" ref="DC10:DD10" si="46">DB10+1</f>
        <v>45348</v>
      </c>
      <c r="DD10" s="20">
        <f t="shared" si="46"/>
        <v>45349</v>
      </c>
      <c r="DE10" s="20">
        <f t="shared" ref="DE10:DI10" si="47">DD10+1</f>
        <v>45350</v>
      </c>
      <c r="DF10" s="20">
        <f t="shared" si="47"/>
        <v>45351</v>
      </c>
      <c r="DG10" s="20">
        <f t="shared" si="47"/>
        <v>45352</v>
      </c>
      <c r="DH10" s="20">
        <f t="shared" si="47"/>
        <v>45353</v>
      </c>
      <c r="DI10" s="20">
        <f t="shared" si="47"/>
        <v>45354</v>
      </c>
      <c r="DJ10" s="20">
        <f t="shared" ref="DJ10" si="48">DI10+1</f>
        <v>45355</v>
      </c>
      <c r="DK10" s="20">
        <f t="shared" ref="DK10" si="49">DJ10+1</f>
        <v>45356</v>
      </c>
      <c r="DL10" s="20">
        <f t="shared" ref="DL10:DO10" si="50">DK10+1</f>
        <v>45357</v>
      </c>
      <c r="DM10" s="20">
        <f t="shared" si="50"/>
        <v>45358</v>
      </c>
      <c r="DN10" s="20">
        <f t="shared" si="50"/>
        <v>45359</v>
      </c>
      <c r="DO10" s="20">
        <f t="shared" si="50"/>
        <v>45360</v>
      </c>
      <c r="DP10" s="20">
        <f t="shared" ref="DP10:DR10" si="51">DO10+1</f>
        <v>45361</v>
      </c>
      <c r="DQ10" s="20">
        <f t="shared" si="51"/>
        <v>45362</v>
      </c>
      <c r="DR10" s="20">
        <f t="shared" si="51"/>
        <v>45363</v>
      </c>
      <c r="DS10" s="20">
        <f t="shared" ref="DS10" si="52">DR10+1</f>
        <v>45364</v>
      </c>
      <c r="DT10" s="20">
        <f t="shared" ref="DT10:DV10" si="53">DS10+1</f>
        <v>45365</v>
      </c>
      <c r="DU10" s="20">
        <f t="shared" si="53"/>
        <v>45366</v>
      </c>
      <c r="DV10" s="20">
        <f t="shared" si="53"/>
        <v>45367</v>
      </c>
      <c r="DW10" s="20">
        <f t="shared" ref="DW10:DX10" si="54">DV10+1</f>
        <v>45368</v>
      </c>
      <c r="DX10" s="20">
        <f t="shared" si="54"/>
        <v>45369</v>
      </c>
      <c r="DY10" s="20">
        <f t="shared" ref="DY10:EA10" si="55">DX10+1</f>
        <v>45370</v>
      </c>
      <c r="DZ10" s="20">
        <f t="shared" si="55"/>
        <v>45371</v>
      </c>
      <c r="EA10" s="20">
        <f t="shared" si="55"/>
        <v>45372</v>
      </c>
      <c r="EB10" s="20">
        <f t="shared" ref="EB10:EJ10" si="56">EA10+1</f>
        <v>45373</v>
      </c>
      <c r="EC10" s="20">
        <f t="shared" si="56"/>
        <v>45374</v>
      </c>
      <c r="ED10" s="20">
        <f t="shared" si="56"/>
        <v>45375</v>
      </c>
      <c r="EE10" s="20">
        <f t="shared" si="56"/>
        <v>45376</v>
      </c>
      <c r="EF10" s="20">
        <f t="shared" si="56"/>
        <v>45377</v>
      </c>
      <c r="EG10" s="20">
        <f t="shared" si="56"/>
        <v>45378</v>
      </c>
      <c r="EH10" s="20">
        <f t="shared" si="56"/>
        <v>45379</v>
      </c>
      <c r="EI10" s="20">
        <f t="shared" si="56"/>
        <v>45380</v>
      </c>
      <c r="EJ10" s="20">
        <f t="shared" si="56"/>
        <v>45381</v>
      </c>
      <c r="EK10" s="20">
        <f t="shared" ref="EK10:EP10" si="57">EJ10+1</f>
        <v>45382</v>
      </c>
      <c r="EL10" s="20">
        <f t="shared" si="57"/>
        <v>45383</v>
      </c>
      <c r="EM10" s="20">
        <f t="shared" si="57"/>
        <v>45384</v>
      </c>
      <c r="EN10" s="20">
        <f t="shared" si="57"/>
        <v>45385</v>
      </c>
      <c r="EO10" s="20">
        <f t="shared" si="57"/>
        <v>45386</v>
      </c>
      <c r="EP10" s="20">
        <f t="shared" si="57"/>
        <v>45387</v>
      </c>
      <c r="EQ10" s="20">
        <f t="shared" ref="EQ10:ES10" si="58">EP10+1</f>
        <v>45388</v>
      </c>
      <c r="ER10" s="20">
        <f t="shared" si="58"/>
        <v>45389</v>
      </c>
      <c r="ES10" s="20">
        <f t="shared" si="58"/>
        <v>45390</v>
      </c>
      <c r="ET10" s="20">
        <f t="shared" ref="ET10:EW10" si="59">ES10+1</f>
        <v>45391</v>
      </c>
      <c r="EU10" s="20">
        <f t="shared" si="59"/>
        <v>45392</v>
      </c>
      <c r="EV10" s="20">
        <f t="shared" si="59"/>
        <v>45393</v>
      </c>
      <c r="EW10" s="20">
        <f t="shared" si="59"/>
        <v>45394</v>
      </c>
      <c r="EX10" s="20">
        <f t="shared" ref="EX10" si="60">EW10+1</f>
        <v>45395</v>
      </c>
      <c r="EY10" s="20">
        <f t="shared" ref="EY10" si="61">EX10+1</f>
        <v>45396</v>
      </c>
      <c r="EZ10" s="20">
        <f t="shared" ref="EZ10" si="62">EY10+1</f>
        <v>45397</v>
      </c>
      <c r="FA10" s="20">
        <f t="shared" ref="FA10:FB10" si="63">EZ10+1</f>
        <v>45398</v>
      </c>
      <c r="FB10" s="20">
        <f t="shared" si="63"/>
        <v>45399</v>
      </c>
      <c r="FC10" s="20">
        <f t="shared" ref="FC10" si="64">FB10+1</f>
        <v>45400</v>
      </c>
      <c r="FD10" s="20">
        <f t="shared" ref="FD10:FG10" si="65">FC10+1</f>
        <v>45401</v>
      </c>
      <c r="FE10" s="20">
        <f t="shared" si="65"/>
        <v>45402</v>
      </c>
      <c r="FF10" s="20">
        <f t="shared" si="65"/>
        <v>45403</v>
      </c>
      <c r="FG10" s="20">
        <f t="shared" si="65"/>
        <v>45404</v>
      </c>
      <c r="FH10" s="20">
        <f t="shared" ref="FH10:FK10" si="66">FG10+1</f>
        <v>45405</v>
      </c>
      <c r="FI10" s="20">
        <f t="shared" si="66"/>
        <v>45406</v>
      </c>
      <c r="FJ10" s="20">
        <f t="shared" si="66"/>
        <v>45407</v>
      </c>
      <c r="FK10" s="20">
        <f t="shared" si="66"/>
        <v>45408</v>
      </c>
      <c r="FL10" s="20">
        <f t="shared" ref="FL10:FN10" si="67">FK10+1</f>
        <v>45409</v>
      </c>
      <c r="FM10" s="20">
        <f t="shared" si="67"/>
        <v>45410</v>
      </c>
      <c r="FN10" s="20">
        <f t="shared" si="67"/>
        <v>45411</v>
      </c>
      <c r="FO10" s="20">
        <f t="shared" ref="FO10:FS10" si="68">FN10+1</f>
        <v>45412</v>
      </c>
      <c r="FP10" s="20">
        <f t="shared" si="68"/>
        <v>45413</v>
      </c>
      <c r="FQ10" s="20">
        <f t="shared" si="68"/>
        <v>45414</v>
      </c>
      <c r="FR10" s="20">
        <f t="shared" si="68"/>
        <v>45415</v>
      </c>
      <c r="FS10" s="20">
        <f t="shared" si="68"/>
        <v>45416</v>
      </c>
      <c r="FT10" s="20">
        <f t="shared" ref="FT10:FV10" si="69">FS10+1</f>
        <v>45417</v>
      </c>
      <c r="FU10" s="20">
        <f t="shared" si="69"/>
        <v>45418</v>
      </c>
      <c r="FV10" s="20">
        <f t="shared" si="69"/>
        <v>45419</v>
      </c>
      <c r="FW10" s="20">
        <f t="shared" ref="FW10:FZ10" si="70">FV10+1</f>
        <v>45420</v>
      </c>
      <c r="FX10" s="20">
        <f t="shared" si="70"/>
        <v>45421</v>
      </c>
      <c r="FY10" s="20">
        <f t="shared" si="70"/>
        <v>45422</v>
      </c>
      <c r="FZ10" s="20">
        <f t="shared" si="70"/>
        <v>45423</v>
      </c>
      <c r="GA10" s="20">
        <f t="shared" ref="GA10:GD10" si="71">FZ10+1</f>
        <v>45424</v>
      </c>
      <c r="GB10" s="20">
        <f t="shared" si="71"/>
        <v>45425</v>
      </c>
      <c r="GC10" s="20">
        <f t="shared" si="71"/>
        <v>45426</v>
      </c>
      <c r="GD10" s="20">
        <f t="shared" si="71"/>
        <v>45427</v>
      </c>
      <c r="GE10" s="20">
        <f t="shared" ref="GE10:GI10" si="72">GD10+1</f>
        <v>45428</v>
      </c>
      <c r="GF10" s="20">
        <f t="shared" si="72"/>
        <v>45429</v>
      </c>
      <c r="GG10" s="20">
        <f t="shared" si="72"/>
        <v>45430</v>
      </c>
      <c r="GH10" s="20">
        <f t="shared" si="72"/>
        <v>45431</v>
      </c>
      <c r="GI10" s="20">
        <f t="shared" si="72"/>
        <v>45432</v>
      </c>
      <c r="GJ10" s="20">
        <f t="shared" ref="GJ10:GT10" si="73">GI10+1</f>
        <v>45433</v>
      </c>
      <c r="GK10" s="20">
        <f t="shared" si="73"/>
        <v>45434</v>
      </c>
      <c r="GL10" s="20">
        <f t="shared" si="73"/>
        <v>45435</v>
      </c>
      <c r="GM10" s="20">
        <f t="shared" si="73"/>
        <v>45436</v>
      </c>
      <c r="GN10" s="20">
        <f t="shared" si="73"/>
        <v>45437</v>
      </c>
      <c r="GO10" s="20">
        <f t="shared" si="73"/>
        <v>45438</v>
      </c>
      <c r="GP10" s="20">
        <f t="shared" si="73"/>
        <v>45439</v>
      </c>
      <c r="GQ10" s="20">
        <f t="shared" si="73"/>
        <v>45440</v>
      </c>
      <c r="GR10" s="20">
        <f t="shared" si="73"/>
        <v>45441</v>
      </c>
      <c r="GS10" s="20">
        <f t="shared" si="73"/>
        <v>45442</v>
      </c>
      <c r="GT10" s="20">
        <f t="shared" si="73"/>
        <v>45443</v>
      </c>
    </row>
    <row r="11" spans="1:212" x14ac:dyDescent="0.3">
      <c r="B11" s="75"/>
      <c r="E11" s="13" t="s">
        <v>1</v>
      </c>
      <c r="F11" s="3">
        <v>1502</v>
      </c>
      <c r="G11" s="3">
        <v>1204</v>
      </c>
      <c r="H11" s="3">
        <v>1206</v>
      </c>
      <c r="I11" s="3">
        <v>1981</v>
      </c>
      <c r="J11" s="3">
        <v>2637</v>
      </c>
      <c r="K11" s="3">
        <v>2588</v>
      </c>
      <c r="L11" s="3">
        <v>2473</v>
      </c>
      <c r="M11" s="3">
        <v>2807</v>
      </c>
      <c r="N11" s="3">
        <v>2011</v>
      </c>
      <c r="O11" s="3">
        <v>1341</v>
      </c>
      <c r="P11" s="3">
        <v>4687</v>
      </c>
      <c r="Q11" s="3">
        <v>4393</v>
      </c>
      <c r="R11" s="3">
        <v>4367</v>
      </c>
      <c r="S11" s="3">
        <v>3683</v>
      </c>
      <c r="T11" s="3">
        <v>3052</v>
      </c>
      <c r="U11" s="3">
        <v>2182</v>
      </c>
      <c r="V11" s="3">
        <v>1052</v>
      </c>
      <c r="W11" s="3">
        <v>2947</v>
      </c>
      <c r="X11" s="3">
        <v>3012</v>
      </c>
      <c r="Y11" s="3">
        <v>2264</v>
      </c>
      <c r="Z11" s="3">
        <v>1919</v>
      </c>
      <c r="AA11" s="3">
        <v>1917</v>
      </c>
      <c r="AB11" s="3">
        <v>1264</v>
      </c>
      <c r="AC11" s="3">
        <v>1082</v>
      </c>
      <c r="AD11" s="3">
        <v>2672</v>
      </c>
      <c r="AE11" s="3">
        <v>2452</v>
      </c>
      <c r="AF11" s="3">
        <v>2522</v>
      </c>
      <c r="AG11" s="3">
        <v>2304</v>
      </c>
      <c r="AH11" s="3">
        <v>2232</v>
      </c>
      <c r="AI11" s="3">
        <v>1460</v>
      </c>
      <c r="AJ11" s="3">
        <v>1223</v>
      </c>
      <c r="AK11" s="3">
        <v>3463</v>
      </c>
      <c r="AL11" s="3">
        <v>2831</v>
      </c>
      <c r="AM11" s="3">
        <v>2531</v>
      </c>
      <c r="AN11" s="3">
        <v>2362</v>
      </c>
      <c r="AO11" s="3">
        <v>2204</v>
      </c>
      <c r="AP11" s="3">
        <v>1384</v>
      </c>
      <c r="AQ11" s="3">
        <v>738</v>
      </c>
      <c r="AR11" s="3">
        <v>640</v>
      </c>
      <c r="AS11" s="3">
        <v>2553</v>
      </c>
      <c r="AT11" s="3">
        <v>1888</v>
      </c>
      <c r="AU11" s="3">
        <v>2029</v>
      </c>
      <c r="AV11" s="3">
        <v>1611</v>
      </c>
      <c r="AW11" s="3">
        <v>1072</v>
      </c>
      <c r="AX11" s="3">
        <v>548</v>
      </c>
      <c r="AY11" s="3">
        <v>474</v>
      </c>
      <c r="AZ11" s="3">
        <v>2331</v>
      </c>
      <c r="BA11" s="3">
        <v>2206</v>
      </c>
      <c r="BB11" s="3">
        <v>1940</v>
      </c>
      <c r="BC11" s="3">
        <v>1893</v>
      </c>
      <c r="BD11" s="3">
        <v>1138</v>
      </c>
      <c r="BE11" s="3">
        <v>785</v>
      </c>
      <c r="BF11" s="3">
        <v>2134</v>
      </c>
      <c r="BG11" s="3">
        <v>2286</v>
      </c>
      <c r="BH11" s="3">
        <v>2473</v>
      </c>
      <c r="BI11" s="3">
        <v>2452</v>
      </c>
      <c r="BJ11" s="3">
        <v>2147</v>
      </c>
      <c r="BK11" s="3">
        <v>1090</v>
      </c>
      <c r="BL11" s="3">
        <v>709</v>
      </c>
      <c r="BM11" s="3">
        <v>3193</v>
      </c>
      <c r="BN11" s="3">
        <v>3019</v>
      </c>
      <c r="BO11" s="3">
        <v>2646</v>
      </c>
      <c r="BP11" s="3">
        <v>2167</v>
      </c>
      <c r="BQ11" s="3">
        <v>1892</v>
      </c>
      <c r="BR11" s="3">
        <v>918</v>
      </c>
      <c r="BS11" s="3">
        <v>568</v>
      </c>
      <c r="BT11" s="3">
        <v>2441</v>
      </c>
      <c r="BU11" s="3">
        <v>2220</v>
      </c>
      <c r="BV11" s="3">
        <v>1330</v>
      </c>
      <c r="BW11" s="3">
        <v>1320</v>
      </c>
      <c r="BX11" s="3">
        <v>920</v>
      </c>
      <c r="BY11" s="3">
        <v>518</v>
      </c>
      <c r="BZ11" s="3">
        <v>359</v>
      </c>
      <c r="CA11" s="3">
        <v>1244</v>
      </c>
      <c r="CB11" s="3">
        <v>1193</v>
      </c>
      <c r="CC11" s="3">
        <v>1206</v>
      </c>
      <c r="CD11" s="3">
        <v>1038</v>
      </c>
      <c r="CE11" s="3">
        <v>868</v>
      </c>
      <c r="CF11" s="3">
        <v>576</v>
      </c>
      <c r="CG11" s="3">
        <v>399</v>
      </c>
      <c r="CH11" s="3">
        <v>613</v>
      </c>
      <c r="CI11" s="3">
        <v>1090</v>
      </c>
      <c r="CJ11" s="3">
        <v>981</v>
      </c>
      <c r="CK11" s="3">
        <v>968</v>
      </c>
      <c r="CL11" s="3">
        <v>788</v>
      </c>
      <c r="CM11" s="3">
        <v>529</v>
      </c>
      <c r="CN11" s="3">
        <v>336</v>
      </c>
      <c r="CO11" s="3">
        <v>998</v>
      </c>
      <c r="CP11" s="3">
        <v>1020</v>
      </c>
      <c r="CQ11" s="3">
        <v>748</v>
      </c>
      <c r="CR11" s="3">
        <v>947</v>
      </c>
      <c r="CS11" s="3">
        <v>817</v>
      </c>
      <c r="CT11" s="3">
        <v>486</v>
      </c>
      <c r="CU11" s="3">
        <v>361</v>
      </c>
      <c r="CV11" s="3">
        <v>1019</v>
      </c>
      <c r="CW11" s="3">
        <v>1125</v>
      </c>
      <c r="CX11" s="3">
        <v>1007</v>
      </c>
      <c r="CY11" s="3">
        <v>835</v>
      </c>
      <c r="CZ11" s="3">
        <v>774</v>
      </c>
      <c r="DA11" s="3">
        <v>425</v>
      </c>
      <c r="DB11" s="3">
        <v>335</v>
      </c>
      <c r="DC11" s="3">
        <v>912</v>
      </c>
      <c r="DD11" s="3">
        <v>883</v>
      </c>
      <c r="DE11" s="3">
        <v>742</v>
      </c>
      <c r="DF11" s="3">
        <v>711</v>
      </c>
      <c r="DG11" s="3">
        <v>797</v>
      </c>
      <c r="DH11" s="3">
        <v>550</v>
      </c>
      <c r="DI11" s="3">
        <v>380</v>
      </c>
      <c r="DJ11" s="3">
        <v>895</v>
      </c>
      <c r="DK11" s="3">
        <v>833</v>
      </c>
      <c r="DL11" s="3">
        <v>823</v>
      </c>
      <c r="DM11" s="3">
        <v>678</v>
      </c>
      <c r="DN11" s="3">
        <v>531</v>
      </c>
      <c r="DO11" s="3">
        <v>389</v>
      </c>
      <c r="DP11" s="3">
        <v>250</v>
      </c>
      <c r="DQ11" s="3">
        <v>870</v>
      </c>
      <c r="DR11" s="3">
        <v>763</v>
      </c>
      <c r="DS11" s="3">
        <v>758</v>
      </c>
      <c r="DT11" s="3">
        <v>638</v>
      </c>
      <c r="DU11" s="3">
        <v>654</v>
      </c>
      <c r="DV11" s="3">
        <v>467</v>
      </c>
      <c r="DW11" s="3">
        <v>333</v>
      </c>
      <c r="DX11" s="3">
        <v>357</v>
      </c>
      <c r="DY11" s="3">
        <v>877</v>
      </c>
      <c r="DZ11" s="3">
        <v>806</v>
      </c>
      <c r="EA11" s="3">
        <v>794</v>
      </c>
      <c r="EB11" s="3">
        <v>710</v>
      </c>
      <c r="EC11" s="3">
        <v>415</v>
      </c>
      <c r="ED11" s="3">
        <v>318</v>
      </c>
      <c r="EE11" s="3">
        <v>814</v>
      </c>
      <c r="EF11" s="3">
        <v>661</v>
      </c>
      <c r="EG11" s="3">
        <v>696</v>
      </c>
      <c r="EH11" s="3">
        <v>375</v>
      </c>
      <c r="EI11" s="3">
        <v>357</v>
      </c>
      <c r="EJ11" s="3">
        <v>256</v>
      </c>
      <c r="EK11" s="3">
        <v>229</v>
      </c>
      <c r="EL11" s="3">
        <v>837</v>
      </c>
      <c r="EM11" s="3">
        <v>605</v>
      </c>
      <c r="EN11" s="3">
        <v>650</v>
      </c>
      <c r="EO11" s="3">
        <v>592</v>
      </c>
      <c r="EP11" s="3">
        <v>545</v>
      </c>
      <c r="EQ11" s="3">
        <v>363</v>
      </c>
      <c r="ER11" s="3">
        <v>276</v>
      </c>
      <c r="ES11" s="3">
        <v>690</v>
      </c>
      <c r="ET11" s="3">
        <v>625</v>
      </c>
      <c r="EU11" s="3">
        <v>608</v>
      </c>
      <c r="EV11" s="3">
        <v>526</v>
      </c>
      <c r="EW11" s="3">
        <v>535</v>
      </c>
      <c r="EX11" s="3">
        <v>336</v>
      </c>
      <c r="EY11" s="3">
        <v>296</v>
      </c>
      <c r="EZ11" s="3">
        <v>624</v>
      </c>
      <c r="FA11" s="3">
        <v>623</v>
      </c>
      <c r="FB11" s="3">
        <v>660</v>
      </c>
      <c r="FC11" s="3">
        <v>677</v>
      </c>
      <c r="FD11" s="3">
        <v>783</v>
      </c>
      <c r="FE11" s="3">
        <v>506</v>
      </c>
      <c r="FF11" s="3">
        <v>460</v>
      </c>
      <c r="FG11" s="3">
        <v>1134</v>
      </c>
      <c r="FH11" s="3">
        <v>839</v>
      </c>
      <c r="FI11" s="3">
        <v>781</v>
      </c>
      <c r="FJ11" s="3">
        <v>765</v>
      </c>
      <c r="FK11" s="3">
        <v>860</v>
      </c>
      <c r="FL11" s="3">
        <v>654</v>
      </c>
      <c r="FM11" s="3">
        <v>548</v>
      </c>
      <c r="FN11" s="3">
        <v>1895</v>
      </c>
      <c r="FO11" s="3">
        <v>1724</v>
      </c>
      <c r="FP11" s="3">
        <v>1048</v>
      </c>
      <c r="FQ11" s="3">
        <v>2409</v>
      </c>
      <c r="FR11" s="3">
        <v>1932</v>
      </c>
      <c r="FS11" s="3">
        <v>1030</v>
      </c>
      <c r="FT11" s="3">
        <v>684</v>
      </c>
      <c r="FU11" s="3">
        <v>2556</v>
      </c>
      <c r="FV11" s="3">
        <v>2355</v>
      </c>
      <c r="FW11" s="3">
        <v>2084</v>
      </c>
      <c r="FX11" s="3">
        <v>2315</v>
      </c>
      <c r="FY11" s="3">
        <v>2039</v>
      </c>
      <c r="FZ11" s="3">
        <v>1320</v>
      </c>
      <c r="GA11" s="3">
        <v>572</v>
      </c>
      <c r="GB11" s="3">
        <v>2911</v>
      </c>
      <c r="GC11" s="3">
        <v>2893</v>
      </c>
      <c r="GD11" s="3">
        <v>3305</v>
      </c>
      <c r="GE11" s="3">
        <v>2939</v>
      </c>
      <c r="GF11" s="3">
        <v>2776</v>
      </c>
      <c r="GG11" s="3">
        <v>1619</v>
      </c>
      <c r="GH11" s="3">
        <v>1013</v>
      </c>
      <c r="GI11" s="3">
        <v>3185</v>
      </c>
      <c r="GJ11" s="3">
        <v>3733</v>
      </c>
      <c r="GK11" s="3">
        <v>3648</v>
      </c>
      <c r="GL11" s="3">
        <v>3423</v>
      </c>
      <c r="GM11" s="3">
        <v>2902</v>
      </c>
      <c r="GN11" s="3">
        <v>1396</v>
      </c>
      <c r="GO11" s="3">
        <v>836</v>
      </c>
      <c r="GP11" s="3"/>
      <c r="GQ11" s="3"/>
      <c r="GR11" s="3"/>
      <c r="GS11" s="3"/>
      <c r="GT11" s="3"/>
      <c r="GU11" s="29">
        <f>SUM(F11:GT11)</f>
        <v>268047</v>
      </c>
      <c r="GX11" s="70">
        <f>SUM(DG11:EK11)</f>
        <v>18274</v>
      </c>
    </row>
    <row r="12" spans="1:212" ht="15" thickBot="1" x14ac:dyDescent="0.35">
      <c r="B12" s="75"/>
      <c r="E12" s="2" t="s">
        <v>2</v>
      </c>
      <c r="F12" s="4">
        <v>1748</v>
      </c>
      <c r="G12" s="12">
        <v>846</v>
      </c>
      <c r="H12" s="12">
        <v>702</v>
      </c>
      <c r="I12" s="4">
        <v>1091</v>
      </c>
      <c r="J12" s="4">
        <v>1748</v>
      </c>
      <c r="K12" s="4">
        <v>1748</v>
      </c>
      <c r="L12" s="4">
        <v>1748</v>
      </c>
      <c r="M12" s="4">
        <v>1748</v>
      </c>
      <c r="N12" s="12">
        <v>960</v>
      </c>
      <c r="O12" s="12">
        <v>774</v>
      </c>
      <c r="P12" s="4">
        <v>1748</v>
      </c>
      <c r="Q12" s="4">
        <v>1614.3333333333301</v>
      </c>
      <c r="R12" s="4">
        <v>1764</v>
      </c>
      <c r="S12" s="4">
        <v>1764</v>
      </c>
      <c r="T12" s="4">
        <v>1764</v>
      </c>
      <c r="U12" s="4">
        <v>945</v>
      </c>
      <c r="V12" s="4">
        <v>976</v>
      </c>
      <c r="W12" s="4">
        <v>1764</v>
      </c>
      <c r="X12" s="4">
        <v>1764</v>
      </c>
      <c r="Y12" s="4">
        <v>1764</v>
      </c>
      <c r="Z12" s="4">
        <v>2297</v>
      </c>
      <c r="AA12" s="4">
        <v>2297</v>
      </c>
      <c r="AB12" s="4">
        <v>1122</v>
      </c>
      <c r="AC12" s="4">
        <v>1117</v>
      </c>
      <c r="AD12" s="4">
        <v>2141</v>
      </c>
      <c r="AE12" s="4">
        <f t="shared" ref="AE12" si="74">AD12</f>
        <v>2141</v>
      </c>
      <c r="AF12" s="4">
        <f t="shared" ref="AF12:AH12" si="75">AE12</f>
        <v>2141</v>
      </c>
      <c r="AG12" s="4">
        <f t="shared" si="75"/>
        <v>2141</v>
      </c>
      <c r="AH12" s="4">
        <f t="shared" si="75"/>
        <v>2141</v>
      </c>
      <c r="AI12" s="4">
        <v>1141</v>
      </c>
      <c r="AJ12" s="4">
        <v>877</v>
      </c>
      <c r="AK12" s="4">
        <v>2398</v>
      </c>
      <c r="AL12" s="4">
        <f t="shared" ref="AL12" si="76">AK12</f>
        <v>2398</v>
      </c>
      <c r="AM12" s="4">
        <v>2256</v>
      </c>
      <c r="AN12" s="4">
        <f t="shared" ref="AN12:AO12" si="77">AM12</f>
        <v>2256</v>
      </c>
      <c r="AO12" s="4">
        <f t="shared" si="77"/>
        <v>2256</v>
      </c>
      <c r="AP12" s="4">
        <v>1174.125</v>
      </c>
      <c r="AQ12" s="4">
        <v>1046</v>
      </c>
      <c r="AR12" s="4">
        <v>1475.25</v>
      </c>
      <c r="AS12" s="4">
        <f>AO12</f>
        <v>2256</v>
      </c>
      <c r="AT12" s="4">
        <f t="shared" ref="AT12" si="78">AS12</f>
        <v>2256</v>
      </c>
      <c r="AU12" s="4">
        <f t="shared" ref="AU12:AV12" si="79">AN12</f>
        <v>2256</v>
      </c>
      <c r="AV12" s="4">
        <f t="shared" si="79"/>
        <v>2256</v>
      </c>
      <c r="AW12" s="4">
        <v>1166</v>
      </c>
      <c r="AX12" s="4">
        <v>1135</v>
      </c>
      <c r="AY12" s="4">
        <v>1573</v>
      </c>
      <c r="AZ12" s="4">
        <v>1920</v>
      </c>
      <c r="BA12" s="4">
        <f t="shared" ref="BA12" si="80">AZ12</f>
        <v>1920</v>
      </c>
      <c r="BB12" s="4">
        <f t="shared" ref="BB12:BC12" si="81">BA12</f>
        <v>1920</v>
      </c>
      <c r="BC12" s="4">
        <f t="shared" si="81"/>
        <v>1920</v>
      </c>
      <c r="BD12" s="4">
        <v>975</v>
      </c>
      <c r="BE12" s="4">
        <v>871</v>
      </c>
      <c r="BF12" s="4">
        <f>BC12</f>
        <v>1920</v>
      </c>
      <c r="BG12" s="4">
        <v>1881</v>
      </c>
      <c r="BH12" s="4">
        <f t="shared" ref="BH12:BJ12" si="82">BG12</f>
        <v>1881</v>
      </c>
      <c r="BI12" s="4">
        <f t="shared" si="82"/>
        <v>1881</v>
      </c>
      <c r="BJ12" s="4">
        <f t="shared" si="82"/>
        <v>1881</v>
      </c>
      <c r="BK12" s="4">
        <v>956</v>
      </c>
      <c r="BL12" s="4">
        <v>803</v>
      </c>
      <c r="BM12" s="4">
        <f>BJ12</f>
        <v>1881</v>
      </c>
      <c r="BN12" s="4">
        <f>1881-54</f>
        <v>1827</v>
      </c>
      <c r="BO12" s="4">
        <v>1971</v>
      </c>
      <c r="BP12" s="4">
        <f t="shared" ref="BP12" si="83">BO12</f>
        <v>1971</v>
      </c>
      <c r="BQ12" s="4">
        <f t="shared" ref="BQ12" si="84">BP12</f>
        <v>1971</v>
      </c>
      <c r="BR12" s="4">
        <v>1013</v>
      </c>
      <c r="BS12" s="4">
        <v>918</v>
      </c>
      <c r="BT12" s="4">
        <f>BQ12</f>
        <v>1971</v>
      </c>
      <c r="BU12" s="4">
        <f t="shared" ref="BU12:BW12" si="85">BT12</f>
        <v>1971</v>
      </c>
      <c r="BV12" s="4">
        <f t="shared" si="85"/>
        <v>1971</v>
      </c>
      <c r="BW12" s="4">
        <f t="shared" si="85"/>
        <v>1971</v>
      </c>
      <c r="BX12" s="4">
        <f t="shared" ref="BX12" si="86">BW12</f>
        <v>1971</v>
      </c>
      <c r="BY12" s="4">
        <v>956</v>
      </c>
      <c r="BZ12" s="4">
        <v>932</v>
      </c>
      <c r="CA12" s="4">
        <f>BX12</f>
        <v>1971</v>
      </c>
      <c r="CB12" s="4">
        <f t="shared" ref="CB12:CC12" si="87">CA12</f>
        <v>1971</v>
      </c>
      <c r="CC12" s="4">
        <f t="shared" si="87"/>
        <v>1971</v>
      </c>
      <c r="CD12" s="4">
        <f t="shared" ref="CD12:CE12" si="88">CC12</f>
        <v>1971</v>
      </c>
      <c r="CE12" s="4">
        <f t="shared" si="88"/>
        <v>1971</v>
      </c>
      <c r="CF12" s="4">
        <v>969</v>
      </c>
      <c r="CG12" s="4">
        <v>762</v>
      </c>
      <c r="CH12" s="4">
        <v>759</v>
      </c>
      <c r="CI12" s="4">
        <v>1860</v>
      </c>
      <c r="CJ12" s="4">
        <f t="shared" ref="CJ12:CL12" si="89">CI12</f>
        <v>1860</v>
      </c>
      <c r="CK12" s="4">
        <f t="shared" si="89"/>
        <v>1860</v>
      </c>
      <c r="CL12" s="4">
        <f t="shared" si="89"/>
        <v>1860</v>
      </c>
      <c r="CM12" s="4">
        <v>969</v>
      </c>
      <c r="CN12" s="4">
        <v>767</v>
      </c>
      <c r="CO12" s="4">
        <f>CL12</f>
        <v>1860</v>
      </c>
      <c r="CP12" s="4">
        <f t="shared" ref="CP12" si="90">CO12</f>
        <v>1860</v>
      </c>
      <c r="CQ12" s="4">
        <v>1633</v>
      </c>
      <c r="CR12" s="4">
        <f t="shared" ref="CR12:CS12" si="91">CQ12</f>
        <v>1633</v>
      </c>
      <c r="CS12" s="4">
        <f t="shared" si="91"/>
        <v>1633</v>
      </c>
      <c r="CT12" s="4">
        <v>822</v>
      </c>
      <c r="CU12" s="4">
        <v>688</v>
      </c>
      <c r="CV12" s="4">
        <f>CS12</f>
        <v>1633</v>
      </c>
      <c r="CW12" s="4">
        <f t="shared" ref="CW12" si="92">CV12</f>
        <v>1633</v>
      </c>
      <c r="CX12" s="4">
        <f t="shared" ref="CX12" si="93">CW12</f>
        <v>1633</v>
      </c>
      <c r="CY12" s="4">
        <f t="shared" ref="CY12:CZ12" si="94">CX12</f>
        <v>1633</v>
      </c>
      <c r="CZ12" s="4">
        <f t="shared" si="94"/>
        <v>1633</v>
      </c>
      <c r="DA12" s="4">
        <v>894</v>
      </c>
      <c r="DB12" s="4">
        <v>822</v>
      </c>
      <c r="DC12" s="4">
        <f>CZ12</f>
        <v>1633</v>
      </c>
      <c r="DD12" s="4">
        <f t="shared" ref="DD12:DF12" si="95">DC12</f>
        <v>1633</v>
      </c>
      <c r="DE12" s="4">
        <f t="shared" si="95"/>
        <v>1633</v>
      </c>
      <c r="DF12" s="4">
        <f t="shared" si="95"/>
        <v>1633</v>
      </c>
      <c r="DG12" s="4">
        <f t="shared" ref="DG12" si="96">DF12</f>
        <v>1633</v>
      </c>
      <c r="DH12" s="4">
        <v>822</v>
      </c>
      <c r="DI12" s="4">
        <v>822</v>
      </c>
      <c r="DJ12" s="4">
        <f>DG12</f>
        <v>1633</v>
      </c>
      <c r="DK12" s="4">
        <f>DJ12</f>
        <v>1633</v>
      </c>
      <c r="DL12" s="4">
        <f t="shared" ref="DL12:DN12" si="97">DK12</f>
        <v>1633</v>
      </c>
      <c r="DM12" s="4">
        <v>1565</v>
      </c>
      <c r="DN12" s="4">
        <f t="shared" si="97"/>
        <v>1565</v>
      </c>
      <c r="DO12" s="4">
        <v>827</v>
      </c>
      <c r="DP12" s="4">
        <v>751</v>
      </c>
      <c r="DQ12" s="4">
        <v>1373</v>
      </c>
      <c r="DR12" s="4">
        <f t="shared" ref="DR12:DS12" si="98">DQ12</f>
        <v>1373</v>
      </c>
      <c r="DS12" s="4">
        <f t="shared" si="98"/>
        <v>1373</v>
      </c>
      <c r="DT12" s="4">
        <f t="shared" ref="DT12" si="99">DS12</f>
        <v>1373</v>
      </c>
      <c r="DU12" s="4">
        <f t="shared" ref="DU12" si="100">DT12</f>
        <v>1373</v>
      </c>
      <c r="DV12" s="4">
        <v>827</v>
      </c>
      <c r="DW12" s="4">
        <v>755</v>
      </c>
      <c r="DX12" s="4">
        <v>692</v>
      </c>
      <c r="DY12" s="4">
        <f>DU12</f>
        <v>1373</v>
      </c>
      <c r="DZ12" s="4">
        <f t="shared" ref="DZ12:EA12" si="101">DY12</f>
        <v>1373</v>
      </c>
      <c r="EA12" s="4">
        <f t="shared" si="101"/>
        <v>1373</v>
      </c>
      <c r="EB12" s="4">
        <f t="shared" ref="EB12:EI12" si="102">EA12</f>
        <v>1373</v>
      </c>
      <c r="EC12" s="4">
        <v>827</v>
      </c>
      <c r="ED12" s="4">
        <v>753</v>
      </c>
      <c r="EE12" s="4">
        <f>EB12</f>
        <v>1373</v>
      </c>
      <c r="EF12" s="4">
        <f t="shared" si="102"/>
        <v>1373</v>
      </c>
      <c r="EG12" s="4">
        <f t="shared" si="102"/>
        <v>1373</v>
      </c>
      <c r="EH12" s="4">
        <f t="shared" si="102"/>
        <v>1373</v>
      </c>
      <c r="EI12" s="4">
        <f t="shared" si="102"/>
        <v>1373</v>
      </c>
      <c r="EJ12" s="4">
        <v>761</v>
      </c>
      <c r="EK12" s="4">
        <v>688</v>
      </c>
      <c r="EL12" s="4">
        <f>EI12</f>
        <v>1373</v>
      </c>
      <c r="EM12" s="4">
        <f t="shared" ref="EM12:EP12" si="103">EL12</f>
        <v>1373</v>
      </c>
      <c r="EN12" s="4">
        <f t="shared" si="103"/>
        <v>1373</v>
      </c>
      <c r="EO12" s="4">
        <f t="shared" si="103"/>
        <v>1373</v>
      </c>
      <c r="EP12" s="4">
        <f t="shared" si="103"/>
        <v>1373</v>
      </c>
      <c r="EQ12" s="4">
        <v>791</v>
      </c>
      <c r="ER12" s="4">
        <v>688</v>
      </c>
      <c r="ES12" s="4">
        <v>1463</v>
      </c>
      <c r="ET12" s="4">
        <f t="shared" ref="ET12:EW12" si="104">ES12</f>
        <v>1463</v>
      </c>
      <c r="EU12" s="4">
        <f t="shared" si="104"/>
        <v>1463</v>
      </c>
      <c r="EV12" s="4">
        <f t="shared" si="104"/>
        <v>1463</v>
      </c>
      <c r="EW12" s="4">
        <f t="shared" si="104"/>
        <v>1463</v>
      </c>
      <c r="EX12" s="4">
        <v>791</v>
      </c>
      <c r="EY12" s="4">
        <v>688</v>
      </c>
      <c r="EZ12" s="4">
        <f>EW12</f>
        <v>1463</v>
      </c>
      <c r="FA12" s="4">
        <f t="shared" ref="FA12" si="105">EZ12</f>
        <v>1463</v>
      </c>
      <c r="FB12" s="4">
        <f t="shared" ref="FB12:FD12" si="106">FA12</f>
        <v>1463</v>
      </c>
      <c r="FC12" s="4">
        <f t="shared" si="106"/>
        <v>1463</v>
      </c>
      <c r="FD12" s="4">
        <f t="shared" si="106"/>
        <v>1463</v>
      </c>
      <c r="FE12" s="4">
        <v>791</v>
      </c>
      <c r="FF12" s="4">
        <v>688</v>
      </c>
      <c r="FG12" s="4">
        <f>FD12</f>
        <v>1463</v>
      </c>
      <c r="FH12" s="4">
        <f t="shared" ref="FH12:FK12" si="107">FG12</f>
        <v>1463</v>
      </c>
      <c r="FI12" s="4">
        <f t="shared" si="107"/>
        <v>1463</v>
      </c>
      <c r="FJ12" s="4">
        <f t="shared" si="107"/>
        <v>1463</v>
      </c>
      <c r="FK12" s="4">
        <f t="shared" si="107"/>
        <v>1463</v>
      </c>
      <c r="FL12" s="4">
        <v>613</v>
      </c>
      <c r="FM12" s="4">
        <v>692</v>
      </c>
      <c r="FN12" s="4">
        <f>FK12</f>
        <v>1463</v>
      </c>
      <c r="FO12" s="4">
        <f t="shared" ref="FO12" si="108">FN12</f>
        <v>1463</v>
      </c>
      <c r="FP12" s="4">
        <v>692</v>
      </c>
      <c r="FQ12" s="4">
        <f>FO12</f>
        <v>1463</v>
      </c>
      <c r="FR12" s="4">
        <f t="shared" ref="FR12" si="109">FQ12</f>
        <v>1463</v>
      </c>
      <c r="FS12" s="4">
        <v>688</v>
      </c>
      <c r="FT12" s="4">
        <v>553</v>
      </c>
      <c r="FU12" s="4">
        <f>FR12</f>
        <v>1463</v>
      </c>
      <c r="FV12" s="4">
        <f t="shared" ref="FV12:FY12" si="110">FU12</f>
        <v>1463</v>
      </c>
      <c r="FW12" s="4">
        <f t="shared" si="110"/>
        <v>1463</v>
      </c>
      <c r="FX12" s="4">
        <f t="shared" si="110"/>
        <v>1463</v>
      </c>
      <c r="FY12" s="4">
        <f t="shared" si="110"/>
        <v>1463</v>
      </c>
      <c r="FZ12" s="4">
        <v>692</v>
      </c>
      <c r="GA12" s="4">
        <v>545</v>
      </c>
      <c r="GB12" s="4">
        <f>FY12</f>
        <v>1463</v>
      </c>
      <c r="GC12" s="4">
        <f t="shared" ref="GC12:GD12" si="111">GB12</f>
        <v>1463</v>
      </c>
      <c r="GD12" s="4">
        <f t="shared" si="111"/>
        <v>1463</v>
      </c>
      <c r="GE12" s="4">
        <f t="shared" ref="GE12" si="112">GD12</f>
        <v>1463</v>
      </c>
      <c r="GF12" s="4">
        <v>1851</v>
      </c>
      <c r="GG12" s="4">
        <v>862</v>
      </c>
      <c r="GH12" s="4">
        <v>947</v>
      </c>
      <c r="GI12" s="4">
        <f>GF12</f>
        <v>1851</v>
      </c>
      <c r="GJ12" s="4">
        <f t="shared" ref="GJ12:GT12" si="113">GI12</f>
        <v>1851</v>
      </c>
      <c r="GK12" s="4">
        <f t="shared" si="113"/>
        <v>1851</v>
      </c>
      <c r="GL12" s="4">
        <f t="shared" si="113"/>
        <v>1851</v>
      </c>
      <c r="GM12" s="4">
        <f t="shared" si="113"/>
        <v>1851</v>
      </c>
      <c r="GN12" s="4">
        <v>910</v>
      </c>
      <c r="GO12" s="4">
        <v>755</v>
      </c>
      <c r="GP12" s="4">
        <f>GM12</f>
        <v>1851</v>
      </c>
      <c r="GQ12" s="4">
        <f t="shared" si="113"/>
        <v>1851</v>
      </c>
      <c r="GR12" s="4">
        <f t="shared" si="113"/>
        <v>1851</v>
      </c>
      <c r="GS12" s="4">
        <f t="shared" si="113"/>
        <v>1851</v>
      </c>
      <c r="GT12" s="4">
        <f t="shared" si="113"/>
        <v>1851</v>
      </c>
      <c r="GU12" s="30">
        <f>SUM(F12:GT12)</f>
        <v>286765.70833333331</v>
      </c>
    </row>
    <row r="13" spans="1:212" ht="15" thickBot="1" x14ac:dyDescent="0.35">
      <c r="B13" s="75"/>
      <c r="E13" s="23" t="s">
        <v>5</v>
      </c>
      <c r="F13" s="8">
        <v>593</v>
      </c>
      <c r="G13" s="8">
        <v>892</v>
      </c>
      <c r="H13" s="8">
        <v>1015</v>
      </c>
      <c r="I13" s="8">
        <v>1368</v>
      </c>
      <c r="J13" s="8">
        <v>1888</v>
      </c>
      <c r="K13" s="8">
        <v>1903</v>
      </c>
      <c r="L13" s="8">
        <v>2088</v>
      </c>
      <c r="M13" s="8">
        <v>2093</v>
      </c>
      <c r="N13" s="8">
        <v>1360</v>
      </c>
      <c r="O13" s="8">
        <v>842</v>
      </c>
      <c r="P13" s="8">
        <v>1944</v>
      </c>
      <c r="Q13" s="8">
        <v>1801</v>
      </c>
      <c r="R13" s="8">
        <v>1970</v>
      </c>
      <c r="S13" s="8">
        <v>1666</v>
      </c>
      <c r="T13" s="8">
        <v>1565</v>
      </c>
      <c r="U13" s="8">
        <v>724</v>
      </c>
      <c r="V13" s="8">
        <v>1130</v>
      </c>
      <c r="W13" s="8">
        <v>1860</v>
      </c>
      <c r="X13" s="8">
        <v>1969</v>
      </c>
      <c r="Y13" s="8">
        <v>1761</v>
      </c>
      <c r="Z13" s="8">
        <v>2028</v>
      </c>
      <c r="AA13" s="8">
        <v>2339</v>
      </c>
      <c r="AB13" s="8">
        <v>1123</v>
      </c>
      <c r="AC13" s="8">
        <v>1365</v>
      </c>
      <c r="AD13" s="8">
        <v>2332</v>
      </c>
      <c r="AE13" s="8">
        <v>2284</v>
      </c>
      <c r="AF13" s="8">
        <v>2499</v>
      </c>
      <c r="AG13" s="8">
        <v>2357</v>
      </c>
      <c r="AH13" s="8">
        <v>2201</v>
      </c>
      <c r="AI13" s="8">
        <v>1290</v>
      </c>
      <c r="AJ13" s="8">
        <v>838</v>
      </c>
      <c r="AK13" s="8">
        <v>2195</v>
      </c>
      <c r="AL13" s="8">
        <v>2041</v>
      </c>
      <c r="AM13" s="8">
        <v>2015</v>
      </c>
      <c r="AN13" s="8">
        <v>2145</v>
      </c>
      <c r="AO13" s="8">
        <v>2256</v>
      </c>
      <c r="AP13" s="8">
        <v>1201</v>
      </c>
      <c r="AQ13" s="8">
        <v>1192</v>
      </c>
      <c r="AR13" s="8">
        <v>1494</v>
      </c>
      <c r="AS13" s="8">
        <v>2242</v>
      </c>
      <c r="AT13" s="8">
        <v>2382</v>
      </c>
      <c r="AU13" s="8">
        <v>2475</v>
      </c>
      <c r="AV13" s="8">
        <v>2594</v>
      </c>
      <c r="AW13" s="8">
        <v>1295</v>
      </c>
      <c r="AX13" s="8">
        <v>1193</v>
      </c>
      <c r="AY13" s="8">
        <v>1029</v>
      </c>
      <c r="AZ13" s="8">
        <v>2153</v>
      </c>
      <c r="BA13" s="8">
        <v>2165</v>
      </c>
      <c r="BB13" s="8">
        <v>2101</v>
      </c>
      <c r="BC13" s="8">
        <v>2041</v>
      </c>
      <c r="BD13" s="8">
        <v>1082</v>
      </c>
      <c r="BE13" s="8">
        <v>883</v>
      </c>
      <c r="BF13" s="8">
        <v>2027</v>
      </c>
      <c r="BG13" s="8">
        <v>2032</v>
      </c>
      <c r="BH13" s="8">
        <v>1885</v>
      </c>
      <c r="BI13" s="8">
        <v>1969</v>
      </c>
      <c r="BJ13" s="8">
        <v>1795</v>
      </c>
      <c r="BK13" s="8">
        <v>1022</v>
      </c>
      <c r="BL13" s="8">
        <v>685</v>
      </c>
      <c r="BM13" s="8">
        <v>1788</v>
      </c>
      <c r="BN13" s="8">
        <v>1792</v>
      </c>
      <c r="BO13" s="8">
        <v>1774</v>
      </c>
      <c r="BP13" s="8">
        <v>1958</v>
      </c>
      <c r="BQ13" s="8">
        <v>1916</v>
      </c>
      <c r="BR13" s="8">
        <v>1136</v>
      </c>
      <c r="BS13" s="8">
        <v>784</v>
      </c>
      <c r="BT13" s="8">
        <v>1907</v>
      </c>
      <c r="BU13" s="8">
        <v>2097</v>
      </c>
      <c r="BV13" s="8">
        <v>1803</v>
      </c>
      <c r="BW13" s="8">
        <v>1461</v>
      </c>
      <c r="BX13" s="8">
        <v>1810</v>
      </c>
      <c r="BY13" s="8">
        <v>629</v>
      </c>
      <c r="BZ13" s="8">
        <v>728</v>
      </c>
      <c r="CA13" s="8">
        <v>1523</v>
      </c>
      <c r="CB13" s="8">
        <v>1665</v>
      </c>
      <c r="CC13" s="8">
        <v>1881</v>
      </c>
      <c r="CD13" s="8">
        <v>1608</v>
      </c>
      <c r="CE13" s="8">
        <v>1339</v>
      </c>
      <c r="CF13" s="8">
        <v>872</v>
      </c>
      <c r="CG13" s="8">
        <v>554</v>
      </c>
      <c r="CH13" s="8">
        <v>755</v>
      </c>
      <c r="CI13" s="8">
        <v>2035</v>
      </c>
      <c r="CJ13" s="8">
        <v>1583</v>
      </c>
      <c r="CK13" s="8">
        <v>1642</v>
      </c>
      <c r="CL13" s="8">
        <v>1422</v>
      </c>
      <c r="CM13" s="8">
        <v>840</v>
      </c>
      <c r="CN13" s="8">
        <v>690</v>
      </c>
      <c r="CO13" s="9">
        <v>1595</v>
      </c>
      <c r="CP13" s="9">
        <v>1607</v>
      </c>
      <c r="CQ13" s="9">
        <v>1589</v>
      </c>
      <c r="CR13" s="9">
        <v>1395</v>
      </c>
      <c r="CS13" s="9">
        <v>1359</v>
      </c>
      <c r="CT13" s="9">
        <v>778</v>
      </c>
      <c r="CU13" s="9">
        <v>812</v>
      </c>
      <c r="CV13" s="9">
        <v>1516</v>
      </c>
      <c r="CW13" s="9">
        <v>1681</v>
      </c>
      <c r="CX13" s="9">
        <v>1712</v>
      </c>
      <c r="CY13" s="9">
        <v>1301</v>
      </c>
      <c r="CZ13" s="9">
        <v>1349</v>
      </c>
      <c r="DA13" s="9">
        <v>1095</v>
      </c>
      <c r="DB13" s="9">
        <v>391</v>
      </c>
      <c r="DC13" s="9">
        <v>1502</v>
      </c>
      <c r="DD13" s="9">
        <v>1201</v>
      </c>
      <c r="DE13" s="9">
        <v>1110</v>
      </c>
      <c r="DF13" s="9">
        <v>1040</v>
      </c>
      <c r="DG13" s="9">
        <v>1039</v>
      </c>
      <c r="DH13" s="9">
        <v>864</v>
      </c>
      <c r="DI13" s="9">
        <v>499</v>
      </c>
      <c r="DJ13" s="9">
        <v>1094</v>
      </c>
      <c r="DK13" s="9">
        <v>1021</v>
      </c>
      <c r="DL13" s="9">
        <v>1249</v>
      </c>
      <c r="DM13" s="9">
        <v>974</v>
      </c>
      <c r="DN13" s="9">
        <v>838</v>
      </c>
      <c r="DO13" s="9">
        <v>482</v>
      </c>
      <c r="DP13" s="9">
        <v>291</v>
      </c>
      <c r="DQ13" s="9">
        <v>1027</v>
      </c>
      <c r="DR13" s="9">
        <v>981</v>
      </c>
      <c r="DS13" s="9">
        <v>1190</v>
      </c>
      <c r="DT13" s="9">
        <v>941</v>
      </c>
      <c r="DU13" s="9">
        <v>862</v>
      </c>
      <c r="DV13" s="9">
        <v>660</v>
      </c>
      <c r="DW13" s="9">
        <v>427</v>
      </c>
      <c r="DX13" s="9">
        <v>505</v>
      </c>
      <c r="DY13" s="9">
        <v>1178</v>
      </c>
      <c r="DZ13" s="9">
        <v>943</v>
      </c>
      <c r="EA13" s="9">
        <v>986</v>
      </c>
      <c r="EB13" s="9">
        <v>911</v>
      </c>
      <c r="EC13" s="9">
        <v>604</v>
      </c>
      <c r="ED13" s="9">
        <v>283</v>
      </c>
      <c r="EE13" s="9">
        <v>1052</v>
      </c>
      <c r="EF13" s="9">
        <v>949</v>
      </c>
      <c r="EG13" s="9">
        <v>940</v>
      </c>
      <c r="EH13" s="9">
        <v>671</v>
      </c>
      <c r="EI13" s="9">
        <v>567</v>
      </c>
      <c r="EJ13" s="9">
        <v>332</v>
      </c>
      <c r="EK13" s="9">
        <v>269</v>
      </c>
      <c r="EL13" s="9">
        <v>1042</v>
      </c>
      <c r="EM13" s="9">
        <v>873</v>
      </c>
      <c r="EN13" s="9">
        <v>864</v>
      </c>
      <c r="EO13" s="9">
        <v>891</v>
      </c>
      <c r="EP13" s="9">
        <v>781</v>
      </c>
      <c r="EQ13" s="9">
        <v>467</v>
      </c>
      <c r="ER13" s="9">
        <v>452</v>
      </c>
      <c r="ES13" s="9">
        <v>1032</v>
      </c>
      <c r="ET13" s="9">
        <v>958</v>
      </c>
      <c r="EU13" s="9">
        <v>973</v>
      </c>
      <c r="EV13" s="9">
        <v>886</v>
      </c>
      <c r="EW13" s="9">
        <v>826</v>
      </c>
      <c r="EX13" s="9">
        <v>540</v>
      </c>
      <c r="EY13" s="9">
        <v>432</v>
      </c>
      <c r="EZ13" s="9">
        <v>922</v>
      </c>
      <c r="FA13" s="9">
        <v>894</v>
      </c>
      <c r="FB13" s="9">
        <v>1032</v>
      </c>
      <c r="FC13" s="9">
        <v>1087</v>
      </c>
      <c r="FD13" s="9">
        <v>1057</v>
      </c>
      <c r="FE13" s="9">
        <v>581</v>
      </c>
      <c r="FF13" s="9">
        <v>558</v>
      </c>
      <c r="FG13" s="9">
        <v>1319</v>
      </c>
      <c r="FH13" s="9">
        <v>1119</v>
      </c>
      <c r="FI13" s="9">
        <v>1030</v>
      </c>
      <c r="FJ13" s="9">
        <v>1103</v>
      </c>
      <c r="FK13" s="9">
        <v>883</v>
      </c>
      <c r="FL13" s="9">
        <v>829</v>
      </c>
      <c r="FM13" s="9">
        <v>550</v>
      </c>
      <c r="FN13" s="9">
        <v>1256</v>
      </c>
      <c r="FO13" s="9">
        <v>1347</v>
      </c>
      <c r="FP13" s="9">
        <v>928</v>
      </c>
      <c r="FQ13" s="9">
        <v>1420</v>
      </c>
      <c r="FR13" s="9">
        <v>1374</v>
      </c>
      <c r="FS13" s="9">
        <v>1033</v>
      </c>
      <c r="FT13" s="9">
        <v>774</v>
      </c>
      <c r="FU13" s="9">
        <v>1667</v>
      </c>
      <c r="FV13" s="9">
        <v>1437</v>
      </c>
      <c r="FW13" s="9">
        <v>1411</v>
      </c>
      <c r="FX13" s="9">
        <v>1638</v>
      </c>
      <c r="FY13" s="9">
        <v>1502</v>
      </c>
      <c r="FZ13" s="9">
        <v>673</v>
      </c>
      <c r="GA13" s="9">
        <v>692</v>
      </c>
      <c r="GB13" s="9">
        <v>1210</v>
      </c>
      <c r="GC13" s="9">
        <v>1354</v>
      </c>
      <c r="GD13" s="9">
        <v>1546</v>
      </c>
      <c r="GE13" s="9">
        <v>1430</v>
      </c>
      <c r="GF13" s="9">
        <v>1354</v>
      </c>
      <c r="GG13" s="9">
        <v>1546</v>
      </c>
      <c r="GH13" s="9">
        <v>1430</v>
      </c>
      <c r="GI13" s="9">
        <v>1390</v>
      </c>
      <c r="GJ13" s="9">
        <v>1590</v>
      </c>
      <c r="GK13" s="9">
        <v>1928</v>
      </c>
      <c r="GL13" s="9">
        <v>1991</v>
      </c>
      <c r="GM13" s="9">
        <v>1897</v>
      </c>
      <c r="GN13" s="9">
        <v>1356</v>
      </c>
      <c r="GO13" s="9">
        <v>694</v>
      </c>
      <c r="GP13" s="9"/>
      <c r="GQ13" s="9"/>
      <c r="GR13" s="9"/>
      <c r="GS13" s="9"/>
      <c r="GT13" s="9"/>
      <c r="GU13" s="29">
        <f>SUM(F13:GT13)</f>
        <v>250180</v>
      </c>
      <c r="GV13" s="33">
        <f>GU13-GU11</f>
        <v>-17867</v>
      </c>
      <c r="GX13" s="70">
        <f>SUM(DG13:EK13)</f>
        <v>24629</v>
      </c>
      <c r="GY13" s="71">
        <f>GX13/GX11</f>
        <v>1.347761847433512</v>
      </c>
    </row>
    <row r="14" spans="1:212" x14ac:dyDescent="0.3">
      <c r="B14" s="75"/>
      <c r="E14" s="2" t="s">
        <v>110</v>
      </c>
      <c r="F14" s="31">
        <f t="shared" ref="F14:AK14" si="114">IFERROR((F12-F11)/F11,"")</f>
        <v>0.16378162450066577</v>
      </c>
      <c r="G14" s="31">
        <f t="shared" si="114"/>
        <v>-0.29734219269102991</v>
      </c>
      <c r="H14" s="31">
        <f t="shared" si="114"/>
        <v>-0.41791044776119401</v>
      </c>
      <c r="I14" s="31">
        <f t="shared" si="114"/>
        <v>-0.44926804644119134</v>
      </c>
      <c r="J14" s="31">
        <f t="shared" si="114"/>
        <v>-0.33712552142586272</v>
      </c>
      <c r="K14" s="31">
        <f t="shared" si="114"/>
        <v>-0.32457496136012365</v>
      </c>
      <c r="L14" s="31">
        <f t="shared" si="114"/>
        <v>-0.2931661949049737</v>
      </c>
      <c r="M14" s="31">
        <f t="shared" si="114"/>
        <v>-0.37727110794442464</v>
      </c>
      <c r="N14" s="31">
        <f t="shared" si="114"/>
        <v>-0.52262555942317257</v>
      </c>
      <c r="O14" s="31">
        <f t="shared" si="114"/>
        <v>-0.42281879194630873</v>
      </c>
      <c r="P14" s="31">
        <f t="shared" si="114"/>
        <v>-0.62705355237892046</v>
      </c>
      <c r="Q14" s="31">
        <f t="shared" si="114"/>
        <v>-0.63252143561727059</v>
      </c>
      <c r="R14" s="31">
        <f t="shared" si="114"/>
        <v>-0.59606136936111742</v>
      </c>
      <c r="S14" s="31">
        <f t="shared" si="114"/>
        <v>-0.52104262829215309</v>
      </c>
      <c r="T14" s="31">
        <f t="shared" si="114"/>
        <v>-0.42201834862385323</v>
      </c>
      <c r="U14" s="31">
        <f t="shared" si="114"/>
        <v>-0.56691109074243817</v>
      </c>
      <c r="V14" s="31">
        <f t="shared" si="114"/>
        <v>-7.2243346007604556E-2</v>
      </c>
      <c r="W14" s="31">
        <f t="shared" si="114"/>
        <v>-0.40142517814726841</v>
      </c>
      <c r="X14" s="31">
        <f t="shared" si="114"/>
        <v>-0.41434262948207173</v>
      </c>
      <c r="Y14" s="31">
        <f t="shared" si="114"/>
        <v>-0.22084805653710246</v>
      </c>
      <c r="Z14" s="31">
        <f t="shared" si="114"/>
        <v>0.1969775924960917</v>
      </c>
      <c r="AA14" s="31">
        <f t="shared" si="114"/>
        <v>0.19822639540949399</v>
      </c>
      <c r="AB14" s="31">
        <f t="shared" si="114"/>
        <v>-0.11234177215189874</v>
      </c>
      <c r="AC14" s="31">
        <f t="shared" si="114"/>
        <v>3.2347504621072089E-2</v>
      </c>
      <c r="AD14" s="31">
        <f t="shared" si="114"/>
        <v>-0.19872754491017963</v>
      </c>
      <c r="AE14" s="31">
        <f t="shared" si="114"/>
        <v>-0.1268352365415987</v>
      </c>
      <c r="AF14" s="31">
        <f t="shared" si="114"/>
        <v>-0.15107057890563044</v>
      </c>
      <c r="AG14" s="31">
        <f t="shared" si="114"/>
        <v>-7.0746527777777776E-2</v>
      </c>
      <c r="AH14" s="31">
        <f t="shared" si="114"/>
        <v>-4.0770609318996419E-2</v>
      </c>
      <c r="AI14" s="31">
        <f t="shared" si="114"/>
        <v>-0.2184931506849315</v>
      </c>
      <c r="AJ14" s="31">
        <f t="shared" si="114"/>
        <v>-0.28291087489779232</v>
      </c>
      <c r="AK14" s="31">
        <f t="shared" si="114"/>
        <v>-0.30753681778804504</v>
      </c>
      <c r="AL14" s="31">
        <f t="shared" ref="AL14:BQ14" si="115">IFERROR((AL12-AL11)/AL11,"")</f>
        <v>-0.15294948781349346</v>
      </c>
      <c r="AM14" s="31">
        <f t="shared" si="115"/>
        <v>-0.10865270644014223</v>
      </c>
      <c r="AN14" s="31">
        <f t="shared" si="115"/>
        <v>-4.4877222692633362E-2</v>
      </c>
      <c r="AO14" s="31">
        <f t="shared" si="115"/>
        <v>2.3593466424682397E-2</v>
      </c>
      <c r="AP14" s="31">
        <f t="shared" si="115"/>
        <v>-0.15164378612716764</v>
      </c>
      <c r="AQ14" s="31">
        <f t="shared" si="115"/>
        <v>0.41734417344173441</v>
      </c>
      <c r="AR14" s="31">
        <f t="shared" si="115"/>
        <v>1.3050781250000001</v>
      </c>
      <c r="AS14" s="31">
        <f t="shared" si="115"/>
        <v>-0.11633372502937721</v>
      </c>
      <c r="AT14" s="31">
        <f t="shared" si="115"/>
        <v>0.19491525423728814</v>
      </c>
      <c r="AU14" s="31">
        <f t="shared" si="115"/>
        <v>0.11187777230162642</v>
      </c>
      <c r="AV14" s="31">
        <f t="shared" si="115"/>
        <v>0.40037243947858475</v>
      </c>
      <c r="AW14" s="31">
        <f t="shared" si="115"/>
        <v>8.7686567164179108E-2</v>
      </c>
      <c r="AX14" s="31">
        <f t="shared" si="115"/>
        <v>1.0711678832116789</v>
      </c>
      <c r="AY14" s="31">
        <f t="shared" si="115"/>
        <v>2.3185654008438821</v>
      </c>
      <c r="AZ14" s="31">
        <f t="shared" si="115"/>
        <v>-0.17631917631917632</v>
      </c>
      <c r="BA14" s="31">
        <f t="shared" si="115"/>
        <v>-0.12964641885766093</v>
      </c>
      <c r="BB14" s="31">
        <f t="shared" si="115"/>
        <v>-1.0309278350515464E-2</v>
      </c>
      <c r="BC14" s="31">
        <f t="shared" si="115"/>
        <v>1.4263074484944533E-2</v>
      </c>
      <c r="BD14" s="31">
        <f t="shared" si="115"/>
        <v>-0.14323374340949033</v>
      </c>
      <c r="BE14" s="31">
        <f t="shared" si="115"/>
        <v>0.10955414012738854</v>
      </c>
      <c r="BF14" s="31">
        <f t="shared" si="115"/>
        <v>-0.10028116213683223</v>
      </c>
      <c r="BG14" s="31">
        <f t="shared" si="115"/>
        <v>-0.17716535433070865</v>
      </c>
      <c r="BH14" s="31">
        <f t="shared" si="115"/>
        <v>-0.23938536190861301</v>
      </c>
      <c r="BI14" s="31">
        <f t="shared" si="115"/>
        <v>-0.23287112561174553</v>
      </c>
      <c r="BJ14" s="31">
        <f t="shared" si="115"/>
        <v>-0.12389380530973451</v>
      </c>
      <c r="BK14" s="31">
        <f t="shared" si="115"/>
        <v>-0.12293577981651377</v>
      </c>
      <c r="BL14" s="31">
        <f t="shared" si="115"/>
        <v>0.13258110014104371</v>
      </c>
      <c r="BM14" s="31">
        <f t="shared" si="115"/>
        <v>-0.41089884121515818</v>
      </c>
      <c r="BN14" s="31">
        <f t="shared" si="115"/>
        <v>-0.3948327260682345</v>
      </c>
      <c r="BO14" s="31">
        <f t="shared" si="115"/>
        <v>-0.25510204081632654</v>
      </c>
      <c r="BP14" s="31">
        <f t="shared" si="115"/>
        <v>-9.0447623442547295E-2</v>
      </c>
      <c r="BQ14" s="31">
        <f t="shared" si="115"/>
        <v>4.1754756871035942E-2</v>
      </c>
      <c r="BR14" s="31">
        <f t="shared" ref="BR14:CW14" si="116">IFERROR((BR12-BR11)/BR11,"")</f>
        <v>0.10348583877995643</v>
      </c>
      <c r="BS14" s="31">
        <f t="shared" si="116"/>
        <v>0.61619718309859151</v>
      </c>
      <c r="BT14" s="31">
        <f t="shared" si="116"/>
        <v>-0.19254403932814421</v>
      </c>
      <c r="BU14" s="31">
        <f t="shared" si="116"/>
        <v>-0.11216216216216217</v>
      </c>
      <c r="BV14" s="31">
        <f t="shared" si="116"/>
        <v>0.48195488721804514</v>
      </c>
      <c r="BW14" s="31">
        <f t="shared" si="116"/>
        <v>0.49318181818181817</v>
      </c>
      <c r="BX14" s="31">
        <f t="shared" si="116"/>
        <v>1.142391304347826</v>
      </c>
      <c r="BY14" s="31">
        <f t="shared" si="116"/>
        <v>0.84555984555984554</v>
      </c>
      <c r="BZ14" s="31">
        <f t="shared" si="116"/>
        <v>1.5961002785515321</v>
      </c>
      <c r="CA14" s="31">
        <f t="shared" si="116"/>
        <v>0.58440514469453375</v>
      </c>
      <c r="CB14" s="31">
        <f t="shared" si="116"/>
        <v>0.65213746856663868</v>
      </c>
      <c r="CC14" s="31">
        <f t="shared" si="116"/>
        <v>0.63432835820895528</v>
      </c>
      <c r="CD14" s="31">
        <f t="shared" si="116"/>
        <v>0.89884393063583812</v>
      </c>
      <c r="CE14" s="31">
        <f t="shared" si="116"/>
        <v>1.2707373271889402</v>
      </c>
      <c r="CF14" s="31">
        <f t="shared" si="116"/>
        <v>0.68229166666666663</v>
      </c>
      <c r="CG14" s="31">
        <f t="shared" si="116"/>
        <v>0.90977443609022557</v>
      </c>
      <c r="CH14" s="31">
        <f t="shared" si="116"/>
        <v>0.23817292006525284</v>
      </c>
      <c r="CI14" s="31">
        <f t="shared" si="116"/>
        <v>0.70642201834862384</v>
      </c>
      <c r="CJ14" s="31">
        <f t="shared" si="116"/>
        <v>0.89602446483180431</v>
      </c>
      <c r="CK14" s="31">
        <f t="shared" si="116"/>
        <v>0.92148760330578516</v>
      </c>
      <c r="CL14" s="31">
        <f t="shared" si="116"/>
        <v>1.3604060913705585</v>
      </c>
      <c r="CM14" s="31">
        <f t="shared" si="116"/>
        <v>0.83175803402646498</v>
      </c>
      <c r="CN14" s="31">
        <f t="shared" si="116"/>
        <v>1.2827380952380953</v>
      </c>
      <c r="CO14" s="31">
        <f t="shared" si="116"/>
        <v>0.86372745490981961</v>
      </c>
      <c r="CP14" s="31">
        <f t="shared" si="116"/>
        <v>0.82352941176470584</v>
      </c>
      <c r="CQ14" s="31">
        <f t="shared" si="116"/>
        <v>1.1831550802139037</v>
      </c>
      <c r="CR14" s="31">
        <f t="shared" si="116"/>
        <v>0.72439281942977829</v>
      </c>
      <c r="CS14" s="31">
        <f t="shared" si="116"/>
        <v>0.99877600979192172</v>
      </c>
      <c r="CT14" s="31">
        <f t="shared" si="116"/>
        <v>0.69135802469135799</v>
      </c>
      <c r="CU14" s="31">
        <f t="shared" si="116"/>
        <v>0.90581717451523547</v>
      </c>
      <c r="CV14" s="31">
        <f t="shared" si="116"/>
        <v>0.6025515210991168</v>
      </c>
      <c r="CW14" s="31">
        <f t="shared" si="116"/>
        <v>0.45155555555555554</v>
      </c>
      <c r="CX14" s="31">
        <f t="shared" ref="CX14:EA14" si="117">IFERROR((CX12-CX11)/CX11,"")</f>
        <v>0.62164846077457792</v>
      </c>
      <c r="CY14" s="31">
        <f t="shared" si="117"/>
        <v>0.95568862275449107</v>
      </c>
      <c r="CZ14" s="31">
        <f t="shared" si="117"/>
        <v>1.1098191214470283</v>
      </c>
      <c r="DA14" s="31">
        <f t="shared" si="117"/>
        <v>1.1035294117647059</v>
      </c>
      <c r="DB14" s="31">
        <f t="shared" si="117"/>
        <v>1.4537313432835821</v>
      </c>
      <c r="DC14" s="31">
        <f t="shared" si="117"/>
        <v>0.79057017543859653</v>
      </c>
      <c r="DD14" s="31">
        <f t="shared" si="117"/>
        <v>0.84937712344280858</v>
      </c>
      <c r="DE14" s="31">
        <f t="shared" ref="DE14:DZ14" si="118">IFERROR((DE12-DE11)/DE11,"")</f>
        <v>1.2008086253369272</v>
      </c>
      <c r="DF14" s="31">
        <f t="shared" si="118"/>
        <v>1.2967651195499297</v>
      </c>
      <c r="DG14" s="31">
        <f t="shared" si="118"/>
        <v>1.0489335006273526</v>
      </c>
      <c r="DH14" s="31">
        <f t="shared" ref="DH14:DI14" si="119">IFERROR((DH12-DH11)/DH11,"")</f>
        <v>0.49454545454545457</v>
      </c>
      <c r="DI14" s="31">
        <f t="shared" si="119"/>
        <v>1.1631578947368422</v>
      </c>
      <c r="DJ14" s="31">
        <f t="shared" si="118"/>
        <v>0.8245810055865922</v>
      </c>
      <c r="DK14" s="31">
        <f>IFERROR((DK12-DK11)/DK11,"")</f>
        <v>0.96038415366146457</v>
      </c>
      <c r="DL14" s="31">
        <f t="shared" ref="DL14:DQ14" si="120">IFERROR((DL12-DL11)/DL11,"")</f>
        <v>0.9842041312272175</v>
      </c>
      <c r="DM14" s="31">
        <f t="shared" si="120"/>
        <v>1.308259587020649</v>
      </c>
      <c r="DN14" s="31">
        <f t="shared" ref="DN14:DP14" si="121">IFERROR((DN12-DN11)/DN11,"")</f>
        <v>1.9472693032015065</v>
      </c>
      <c r="DO14" s="31">
        <f t="shared" ref="DO14" si="122">IFERROR((DO12-DO11)/DO11,"")</f>
        <v>1.1259640102827764</v>
      </c>
      <c r="DP14" s="31">
        <f t="shared" si="121"/>
        <v>2.004</v>
      </c>
      <c r="DQ14" s="31">
        <f t="shared" si="120"/>
        <v>0.57816091954022986</v>
      </c>
      <c r="DR14" s="31">
        <f t="shared" si="118"/>
        <v>0.79947575360419398</v>
      </c>
      <c r="DS14" s="31">
        <f t="shared" ref="DS14" si="123">IFERROR((DS12-DS11)/DS11,"")</f>
        <v>0.81134564643799467</v>
      </c>
      <c r="DT14" s="31">
        <f t="shared" si="118"/>
        <v>1.152037617554859</v>
      </c>
      <c r="DU14" s="31">
        <f t="shared" ref="DU14:DV14" si="124">IFERROR((DU12-DU11)/DU11,"")</f>
        <v>1.0993883792048931</v>
      </c>
      <c r="DV14" s="31">
        <f t="shared" si="124"/>
        <v>0.77087794432548185</v>
      </c>
      <c r="DW14" s="31">
        <f t="shared" si="118"/>
        <v>1.2672672672672673</v>
      </c>
      <c r="DX14" s="31">
        <f t="shared" ref="DX14:DY14" si="125">IFERROR((DX12-DX11)/DX11,"")</f>
        <v>0.93837535014005602</v>
      </c>
      <c r="DY14" s="31">
        <f t="shared" si="125"/>
        <v>0.56556442417331809</v>
      </c>
      <c r="DZ14" s="31">
        <f t="shared" si="118"/>
        <v>0.70347394540942931</v>
      </c>
      <c r="EA14" s="31">
        <f t="shared" si="117"/>
        <v>0.72921914357682616</v>
      </c>
      <c r="EB14" s="31">
        <f t="shared" ref="EB14:FT14" si="126">IFERROR((EB12-EB11)/EB11,"")</f>
        <v>0.93380281690140843</v>
      </c>
      <c r="EC14" s="31">
        <f t="shared" ref="EC14:ED14" si="127">IFERROR((EC12-EC11)/EC11,"")</f>
        <v>0.9927710843373494</v>
      </c>
      <c r="ED14" s="31">
        <f t="shared" si="127"/>
        <v>1.3679245283018868</v>
      </c>
      <c r="EE14" s="31">
        <f t="shared" si="126"/>
        <v>0.68673218673218672</v>
      </c>
      <c r="EF14" s="31">
        <f t="shared" ref="EF14" si="128">IFERROR((EF12-EF11)/EF11,"")</f>
        <v>1.0771558245083208</v>
      </c>
      <c r="EG14" s="31">
        <f t="shared" si="126"/>
        <v>0.9727011494252874</v>
      </c>
      <c r="EH14" s="31">
        <f t="shared" ref="EH14:EI14" si="129">IFERROR((EH12-EH11)/EH11,"")</f>
        <v>2.6613333333333333</v>
      </c>
      <c r="EI14" s="31">
        <f t="shared" si="129"/>
        <v>2.8459383753501402</v>
      </c>
      <c r="EJ14" s="31">
        <f t="shared" si="126"/>
        <v>1.97265625</v>
      </c>
      <c r="EK14" s="31">
        <f t="shared" ref="EK14:EL14" si="130">IFERROR((EK12-EK11)/EK11,"")</f>
        <v>2.0043668122270741</v>
      </c>
      <c r="EL14" s="31">
        <f t="shared" si="130"/>
        <v>0.64038231780167265</v>
      </c>
      <c r="EM14" s="31">
        <f t="shared" si="126"/>
        <v>1.2694214876033059</v>
      </c>
      <c r="EN14" s="31">
        <f t="shared" si="126"/>
        <v>1.1123076923076922</v>
      </c>
      <c r="EO14" s="31">
        <f t="shared" si="126"/>
        <v>1.3192567567567568</v>
      </c>
      <c r="EP14" s="31">
        <f t="shared" ref="EP14" si="131">IFERROR((EP12-EP11)/EP11,"")</f>
        <v>1.5192660550458716</v>
      </c>
      <c r="EQ14" s="31">
        <f t="shared" ref="EQ14:ER14" si="132">IFERROR((EQ12-EQ11)/EQ11,"")</f>
        <v>1.1790633608815426</v>
      </c>
      <c r="ER14" s="31">
        <f t="shared" si="132"/>
        <v>1.4927536231884058</v>
      </c>
      <c r="ES14" s="31">
        <f t="shared" si="126"/>
        <v>1.1202898550724638</v>
      </c>
      <c r="ET14" s="31">
        <f t="shared" ref="ET14:EW14" si="133">IFERROR((ET12-ET11)/ET11,"")</f>
        <v>1.3408</v>
      </c>
      <c r="EU14" s="31">
        <f t="shared" ref="EU14:EV14" si="134">IFERROR((EU12-EU11)/EU11,"")</f>
        <v>1.40625</v>
      </c>
      <c r="EV14" s="31">
        <f t="shared" si="134"/>
        <v>1.7813688212927756</v>
      </c>
      <c r="EW14" s="31">
        <f t="shared" si="133"/>
        <v>1.7345794392523364</v>
      </c>
      <c r="EX14" s="31">
        <f t="shared" si="126"/>
        <v>1.3541666666666667</v>
      </c>
      <c r="EY14" s="31">
        <f t="shared" si="126"/>
        <v>1.3243243243243243</v>
      </c>
      <c r="EZ14" s="31">
        <f t="shared" si="126"/>
        <v>1.3445512820512822</v>
      </c>
      <c r="FA14" s="31">
        <f t="shared" si="126"/>
        <v>1.348314606741573</v>
      </c>
      <c r="FB14" s="31">
        <f t="shared" ref="FB14:FD14" si="135">IFERROR((FB12-FB11)/FB11,"")</f>
        <v>1.2166666666666666</v>
      </c>
      <c r="FC14" s="31">
        <f t="shared" si="135"/>
        <v>1.1610044313146233</v>
      </c>
      <c r="FD14" s="31">
        <f t="shared" si="135"/>
        <v>0.8684546615581098</v>
      </c>
      <c r="FE14" s="31">
        <f t="shared" si="126"/>
        <v>0.56324110671936756</v>
      </c>
      <c r="FF14" s="31">
        <f t="shared" si="126"/>
        <v>0.4956521739130435</v>
      </c>
      <c r="FG14" s="31">
        <f t="shared" si="126"/>
        <v>0.29012345679012347</v>
      </c>
      <c r="FH14" s="31">
        <f t="shared" si="126"/>
        <v>0.74374255065554229</v>
      </c>
      <c r="FI14" s="31">
        <f t="shared" si="126"/>
        <v>0.87323943661971826</v>
      </c>
      <c r="FJ14" s="31">
        <f t="shared" ref="FJ14:FK14" si="136">IFERROR((FJ12-FJ11)/FJ11,"")</f>
        <v>0.91241830065359475</v>
      </c>
      <c r="FK14" s="31">
        <f t="shared" si="136"/>
        <v>0.7011627906976744</v>
      </c>
      <c r="FL14" s="31">
        <f t="shared" ref="FL14" si="137">IFERROR((FL12-FL11)/FL11,"")</f>
        <v>-6.2691131498470942E-2</v>
      </c>
      <c r="FM14" s="31">
        <f t="shared" si="126"/>
        <v>0.26277372262773724</v>
      </c>
      <c r="FN14" s="31">
        <f t="shared" si="126"/>
        <v>-0.22796833773087072</v>
      </c>
      <c r="FO14" s="31">
        <f t="shared" ref="FO14:FS14" si="138">IFERROR((FO12-FO11)/FO11,"")</f>
        <v>-0.15139211136890951</v>
      </c>
      <c r="FP14" s="31">
        <f t="shared" si="138"/>
        <v>-0.33969465648854963</v>
      </c>
      <c r="FQ14" s="31">
        <f t="shared" ref="FQ14:FR14" si="139">IFERROR((FQ12-FQ11)/FQ11,"")</f>
        <v>-0.39269406392694062</v>
      </c>
      <c r="FR14" s="31">
        <f t="shared" si="139"/>
        <v>-0.24275362318840579</v>
      </c>
      <c r="FS14" s="31">
        <f t="shared" si="138"/>
        <v>-0.33203883495145631</v>
      </c>
      <c r="FT14" s="31">
        <f t="shared" si="126"/>
        <v>-0.19152046783625731</v>
      </c>
      <c r="FU14" s="31">
        <f t="shared" ref="FU14" si="140">IFERROR((FU12-FU11)/FU11,"")</f>
        <v>-0.42762128325508608</v>
      </c>
      <c r="FV14" s="31">
        <f t="shared" ref="FV14:GT14" si="141">IFERROR((FV12-FV11)/FV11,"")</f>
        <v>-0.37876857749469217</v>
      </c>
      <c r="FW14" s="31">
        <f t="shared" si="141"/>
        <v>-0.29798464491362764</v>
      </c>
      <c r="FX14" s="31">
        <f t="shared" si="141"/>
        <v>-0.36803455723542117</v>
      </c>
      <c r="FY14" s="31">
        <f t="shared" si="141"/>
        <v>-0.28249141736145167</v>
      </c>
      <c r="FZ14" s="31">
        <f t="shared" si="141"/>
        <v>-0.47575757575757577</v>
      </c>
      <c r="GA14" s="31">
        <f t="shared" si="141"/>
        <v>-4.72027972027972E-2</v>
      </c>
      <c r="GB14" s="31">
        <f t="shared" si="141"/>
        <v>-0.49742356578495361</v>
      </c>
      <c r="GC14" s="31">
        <f t="shared" si="141"/>
        <v>-0.49429657794676807</v>
      </c>
      <c r="GD14" s="31">
        <f t="shared" si="141"/>
        <v>-0.5573373676248109</v>
      </c>
      <c r="GE14" s="31">
        <f t="shared" ref="GE14:GS14" si="142">IFERROR((GE12-GE11)/GE11,"")</f>
        <v>-0.50221163661109225</v>
      </c>
      <c r="GF14" s="31">
        <f t="shared" ref="GF14:GJ14" si="143">IFERROR((GF12-GF11)/GF11,"")</f>
        <v>-0.33321325648414984</v>
      </c>
      <c r="GG14" s="31">
        <f t="shared" si="143"/>
        <v>-0.46757257566399013</v>
      </c>
      <c r="GH14" s="31">
        <f t="shared" ref="GH14:GI14" si="144">IFERROR((GH12-GH11)/GH11,"")</f>
        <v>-6.5153010858835139E-2</v>
      </c>
      <c r="GI14" s="31">
        <f t="shared" si="144"/>
        <v>-0.41883830455259025</v>
      </c>
      <c r="GJ14" s="31">
        <f t="shared" si="143"/>
        <v>-0.50415215644253952</v>
      </c>
      <c r="GK14" s="31">
        <f t="shared" si="142"/>
        <v>-0.49259868421052633</v>
      </c>
      <c r="GL14" s="31">
        <f t="shared" ref="GL14" si="145">IFERROR((GL12-GL11)/GL11,"")</f>
        <v>-0.45924627519719546</v>
      </c>
      <c r="GM14" s="31">
        <f t="shared" si="142"/>
        <v>-0.36216402481047555</v>
      </c>
      <c r="GN14" s="31">
        <f t="shared" ref="GN14:GR14" si="146">IFERROR((GN12-GN11)/GN11,"")</f>
        <v>-0.34813753581661894</v>
      </c>
      <c r="GO14" s="31">
        <f t="shared" si="146"/>
        <v>-9.6889952153110054E-2</v>
      </c>
      <c r="GP14" s="31" t="str">
        <f t="shared" ref="GP14:GQ14" si="147">IFERROR((GP12-GP11)/GP11,"")</f>
        <v/>
      </c>
      <c r="GQ14" s="31" t="str">
        <f t="shared" si="147"/>
        <v/>
      </c>
      <c r="GR14" s="31" t="str">
        <f t="shared" si="146"/>
        <v/>
      </c>
      <c r="GS14" s="31" t="str">
        <f t="shared" si="142"/>
        <v/>
      </c>
      <c r="GT14" s="31" t="str">
        <f t="shared" si="141"/>
        <v/>
      </c>
    </row>
    <row r="15" spans="1:212" x14ac:dyDescent="0.3">
      <c r="B15" s="75"/>
      <c r="E15" s="2" t="s">
        <v>111</v>
      </c>
      <c r="F15" s="5">
        <f t="shared" ref="F15:AK15" si="148">F12-F11</f>
        <v>246</v>
      </c>
      <c r="G15" s="5">
        <f t="shared" si="148"/>
        <v>-358</v>
      </c>
      <c r="H15" s="5">
        <f t="shared" si="148"/>
        <v>-504</v>
      </c>
      <c r="I15" s="5">
        <f t="shared" si="148"/>
        <v>-890</v>
      </c>
      <c r="J15" s="5">
        <f t="shared" si="148"/>
        <v>-889</v>
      </c>
      <c r="K15" s="5">
        <f t="shared" si="148"/>
        <v>-840</v>
      </c>
      <c r="L15" s="5">
        <f t="shared" si="148"/>
        <v>-725</v>
      </c>
      <c r="M15" s="5">
        <f t="shared" si="148"/>
        <v>-1059</v>
      </c>
      <c r="N15" s="5">
        <f t="shared" si="148"/>
        <v>-1051</v>
      </c>
      <c r="O15" s="5">
        <f t="shared" si="148"/>
        <v>-567</v>
      </c>
      <c r="P15" s="5">
        <f t="shared" si="148"/>
        <v>-2939</v>
      </c>
      <c r="Q15" s="5">
        <f t="shared" si="148"/>
        <v>-2778.6666666666697</v>
      </c>
      <c r="R15" s="5">
        <f t="shared" si="148"/>
        <v>-2603</v>
      </c>
      <c r="S15" s="5">
        <f t="shared" si="148"/>
        <v>-1919</v>
      </c>
      <c r="T15" s="5">
        <f t="shared" si="148"/>
        <v>-1288</v>
      </c>
      <c r="U15" s="5">
        <f t="shared" si="148"/>
        <v>-1237</v>
      </c>
      <c r="V15" s="5">
        <f t="shared" si="148"/>
        <v>-76</v>
      </c>
      <c r="W15" s="5">
        <f t="shared" si="148"/>
        <v>-1183</v>
      </c>
      <c r="X15" s="5">
        <f t="shared" si="148"/>
        <v>-1248</v>
      </c>
      <c r="Y15" s="5">
        <f t="shared" si="148"/>
        <v>-500</v>
      </c>
      <c r="Z15" s="5">
        <f t="shared" si="148"/>
        <v>378</v>
      </c>
      <c r="AA15" s="5">
        <f t="shared" si="148"/>
        <v>380</v>
      </c>
      <c r="AB15" s="5">
        <f t="shared" si="148"/>
        <v>-142</v>
      </c>
      <c r="AC15" s="5">
        <f t="shared" si="148"/>
        <v>35</v>
      </c>
      <c r="AD15" s="5">
        <f t="shared" si="148"/>
        <v>-531</v>
      </c>
      <c r="AE15" s="5">
        <f t="shared" si="148"/>
        <v>-311</v>
      </c>
      <c r="AF15" s="5">
        <f t="shared" si="148"/>
        <v>-381</v>
      </c>
      <c r="AG15" s="5">
        <f t="shared" si="148"/>
        <v>-163</v>
      </c>
      <c r="AH15" s="5">
        <f t="shared" si="148"/>
        <v>-91</v>
      </c>
      <c r="AI15" s="5">
        <f t="shared" si="148"/>
        <v>-319</v>
      </c>
      <c r="AJ15" s="5">
        <f t="shared" si="148"/>
        <v>-346</v>
      </c>
      <c r="AK15" s="5">
        <f t="shared" si="148"/>
        <v>-1065</v>
      </c>
      <c r="AL15" s="5">
        <f t="shared" ref="AL15:BQ15" si="149">AL12-AL11</f>
        <v>-433</v>
      </c>
      <c r="AM15" s="5">
        <f t="shared" si="149"/>
        <v>-275</v>
      </c>
      <c r="AN15" s="5">
        <f t="shared" si="149"/>
        <v>-106</v>
      </c>
      <c r="AO15" s="5">
        <f t="shared" si="149"/>
        <v>52</v>
      </c>
      <c r="AP15" s="5">
        <f t="shared" si="149"/>
        <v>-209.875</v>
      </c>
      <c r="AQ15" s="5">
        <f t="shared" si="149"/>
        <v>308</v>
      </c>
      <c r="AR15" s="5">
        <f t="shared" si="149"/>
        <v>835.25</v>
      </c>
      <c r="AS15" s="5">
        <f t="shared" si="149"/>
        <v>-297</v>
      </c>
      <c r="AT15" s="5">
        <f t="shared" si="149"/>
        <v>368</v>
      </c>
      <c r="AU15" s="5">
        <f t="shared" si="149"/>
        <v>227</v>
      </c>
      <c r="AV15" s="5">
        <f t="shared" si="149"/>
        <v>645</v>
      </c>
      <c r="AW15" s="5">
        <f t="shared" si="149"/>
        <v>94</v>
      </c>
      <c r="AX15" s="5">
        <f t="shared" si="149"/>
        <v>587</v>
      </c>
      <c r="AY15" s="5">
        <f t="shared" si="149"/>
        <v>1099</v>
      </c>
      <c r="AZ15" s="5">
        <f t="shared" si="149"/>
        <v>-411</v>
      </c>
      <c r="BA15" s="5">
        <f t="shared" si="149"/>
        <v>-286</v>
      </c>
      <c r="BB15" s="5">
        <f t="shared" si="149"/>
        <v>-20</v>
      </c>
      <c r="BC15" s="5">
        <f t="shared" si="149"/>
        <v>27</v>
      </c>
      <c r="BD15" s="5">
        <f t="shared" si="149"/>
        <v>-163</v>
      </c>
      <c r="BE15" s="5">
        <f t="shared" si="149"/>
        <v>86</v>
      </c>
      <c r="BF15" s="5">
        <f t="shared" si="149"/>
        <v>-214</v>
      </c>
      <c r="BG15" s="5">
        <f t="shared" si="149"/>
        <v>-405</v>
      </c>
      <c r="BH15" s="5">
        <f t="shared" si="149"/>
        <v>-592</v>
      </c>
      <c r="BI15" s="5">
        <f t="shared" si="149"/>
        <v>-571</v>
      </c>
      <c r="BJ15" s="5">
        <f t="shared" si="149"/>
        <v>-266</v>
      </c>
      <c r="BK15" s="5">
        <f t="shared" si="149"/>
        <v>-134</v>
      </c>
      <c r="BL15" s="5">
        <f t="shared" si="149"/>
        <v>94</v>
      </c>
      <c r="BM15" s="5">
        <f t="shared" si="149"/>
        <v>-1312</v>
      </c>
      <c r="BN15" s="5">
        <f t="shared" si="149"/>
        <v>-1192</v>
      </c>
      <c r="BO15" s="5">
        <f t="shared" si="149"/>
        <v>-675</v>
      </c>
      <c r="BP15" s="5">
        <f t="shared" si="149"/>
        <v>-196</v>
      </c>
      <c r="BQ15" s="5">
        <f t="shared" si="149"/>
        <v>79</v>
      </c>
      <c r="BR15" s="5">
        <f t="shared" ref="BR15:CW15" si="150">BR12-BR11</f>
        <v>95</v>
      </c>
      <c r="BS15" s="5">
        <f t="shared" si="150"/>
        <v>350</v>
      </c>
      <c r="BT15" s="5">
        <f t="shared" si="150"/>
        <v>-470</v>
      </c>
      <c r="BU15" s="5">
        <f t="shared" si="150"/>
        <v>-249</v>
      </c>
      <c r="BV15" s="5">
        <f t="shared" si="150"/>
        <v>641</v>
      </c>
      <c r="BW15" s="5">
        <f t="shared" si="150"/>
        <v>651</v>
      </c>
      <c r="BX15" s="5">
        <f t="shared" si="150"/>
        <v>1051</v>
      </c>
      <c r="BY15" s="5">
        <f t="shared" si="150"/>
        <v>438</v>
      </c>
      <c r="BZ15" s="5">
        <f t="shared" si="150"/>
        <v>573</v>
      </c>
      <c r="CA15" s="5">
        <f t="shared" si="150"/>
        <v>727</v>
      </c>
      <c r="CB15" s="5">
        <f t="shared" si="150"/>
        <v>778</v>
      </c>
      <c r="CC15" s="5">
        <f t="shared" si="150"/>
        <v>765</v>
      </c>
      <c r="CD15" s="5">
        <f t="shared" si="150"/>
        <v>933</v>
      </c>
      <c r="CE15" s="5">
        <f t="shared" si="150"/>
        <v>1103</v>
      </c>
      <c r="CF15" s="5">
        <f t="shared" si="150"/>
        <v>393</v>
      </c>
      <c r="CG15" s="5">
        <f t="shared" si="150"/>
        <v>363</v>
      </c>
      <c r="CH15" s="5">
        <f t="shared" si="150"/>
        <v>146</v>
      </c>
      <c r="CI15" s="5">
        <f t="shared" si="150"/>
        <v>770</v>
      </c>
      <c r="CJ15" s="5">
        <f t="shared" si="150"/>
        <v>879</v>
      </c>
      <c r="CK15" s="5">
        <f t="shared" si="150"/>
        <v>892</v>
      </c>
      <c r="CL15" s="5">
        <f t="shared" si="150"/>
        <v>1072</v>
      </c>
      <c r="CM15" s="5">
        <f t="shared" si="150"/>
        <v>440</v>
      </c>
      <c r="CN15" s="5">
        <f t="shared" si="150"/>
        <v>431</v>
      </c>
      <c r="CO15" s="5">
        <f t="shared" si="150"/>
        <v>862</v>
      </c>
      <c r="CP15" s="5">
        <f t="shared" si="150"/>
        <v>840</v>
      </c>
      <c r="CQ15" s="5">
        <f t="shared" si="150"/>
        <v>885</v>
      </c>
      <c r="CR15" s="5">
        <f t="shared" si="150"/>
        <v>686</v>
      </c>
      <c r="CS15" s="5">
        <f t="shared" si="150"/>
        <v>816</v>
      </c>
      <c r="CT15" s="5">
        <f t="shared" si="150"/>
        <v>336</v>
      </c>
      <c r="CU15" s="5">
        <f t="shared" si="150"/>
        <v>327</v>
      </c>
      <c r="CV15" s="5">
        <f t="shared" si="150"/>
        <v>614</v>
      </c>
      <c r="CW15" s="5">
        <f t="shared" si="150"/>
        <v>508</v>
      </c>
      <c r="CX15" s="5">
        <f t="shared" ref="CX15:EA15" si="151">CX12-CX11</f>
        <v>626</v>
      </c>
      <c r="CY15" s="5">
        <f t="shared" si="151"/>
        <v>798</v>
      </c>
      <c r="CZ15" s="5">
        <f t="shared" si="151"/>
        <v>859</v>
      </c>
      <c r="DA15" s="5">
        <f t="shared" si="151"/>
        <v>469</v>
      </c>
      <c r="DB15" s="5">
        <f t="shared" si="151"/>
        <v>487</v>
      </c>
      <c r="DC15" s="5">
        <f t="shared" si="151"/>
        <v>721</v>
      </c>
      <c r="DD15" s="5">
        <f t="shared" si="151"/>
        <v>750</v>
      </c>
      <c r="DE15" s="5">
        <f t="shared" ref="DE15:DZ15" si="152">DE12-DE11</f>
        <v>891</v>
      </c>
      <c r="DF15" s="5">
        <f t="shared" si="152"/>
        <v>922</v>
      </c>
      <c r="DG15" s="5">
        <f t="shared" si="152"/>
        <v>836</v>
      </c>
      <c r="DH15" s="5">
        <f t="shared" ref="DH15:DI15" si="153">DH12-DH11</f>
        <v>272</v>
      </c>
      <c r="DI15" s="5">
        <f t="shared" si="153"/>
        <v>442</v>
      </c>
      <c r="DJ15" s="5">
        <f t="shared" si="152"/>
        <v>738</v>
      </c>
      <c r="DK15" s="5">
        <f t="shared" si="152"/>
        <v>800</v>
      </c>
      <c r="DL15" s="5">
        <f t="shared" ref="DL15:DQ15" si="154">DL12-DL11</f>
        <v>810</v>
      </c>
      <c r="DM15" s="5">
        <f t="shared" si="154"/>
        <v>887</v>
      </c>
      <c r="DN15" s="5">
        <f t="shared" ref="DN15:DP15" si="155">DN12-DN11</f>
        <v>1034</v>
      </c>
      <c r="DO15" s="5">
        <f t="shared" ref="DO15" si="156">DO12-DO11</f>
        <v>438</v>
      </c>
      <c r="DP15" s="5">
        <f t="shared" si="155"/>
        <v>501</v>
      </c>
      <c r="DQ15" s="5">
        <f t="shared" si="154"/>
        <v>503</v>
      </c>
      <c r="DR15" s="5">
        <f t="shared" si="152"/>
        <v>610</v>
      </c>
      <c r="DS15" s="5">
        <f t="shared" ref="DS15" si="157">DS12-DS11</f>
        <v>615</v>
      </c>
      <c r="DT15" s="5">
        <f t="shared" si="152"/>
        <v>735</v>
      </c>
      <c r="DU15" s="5">
        <f t="shared" ref="DU15:DV15" si="158">DU12-DU11</f>
        <v>719</v>
      </c>
      <c r="DV15" s="5">
        <f t="shared" si="158"/>
        <v>360</v>
      </c>
      <c r="DW15" s="5">
        <f t="shared" si="152"/>
        <v>422</v>
      </c>
      <c r="DX15" s="5">
        <f t="shared" ref="DX15:DY15" si="159">DX12-DX11</f>
        <v>335</v>
      </c>
      <c r="DY15" s="5">
        <f t="shared" si="159"/>
        <v>496</v>
      </c>
      <c r="DZ15" s="5">
        <f t="shared" si="152"/>
        <v>567</v>
      </c>
      <c r="EA15" s="5">
        <f t="shared" si="151"/>
        <v>579</v>
      </c>
      <c r="EB15" s="5">
        <f t="shared" ref="EB15:EZ15" si="160">EB12-EB11</f>
        <v>663</v>
      </c>
      <c r="EC15" s="5">
        <f t="shared" ref="EC15:ED15" si="161">EC12-EC11</f>
        <v>412</v>
      </c>
      <c r="ED15" s="5">
        <f t="shared" si="161"/>
        <v>435</v>
      </c>
      <c r="EE15" s="5">
        <f t="shared" si="160"/>
        <v>559</v>
      </c>
      <c r="EF15" s="5">
        <f t="shared" ref="EF15" si="162">EF12-EF11</f>
        <v>712</v>
      </c>
      <c r="EG15" s="5">
        <f t="shared" si="160"/>
        <v>677</v>
      </c>
      <c r="EH15" s="5">
        <f t="shared" ref="EH15:EI15" si="163">EH12-EH11</f>
        <v>998</v>
      </c>
      <c r="EI15" s="5">
        <f t="shared" si="163"/>
        <v>1016</v>
      </c>
      <c r="EJ15" s="5">
        <f t="shared" si="160"/>
        <v>505</v>
      </c>
      <c r="EK15" s="5">
        <f t="shared" ref="EK15:EL15" si="164">EK12-EK11</f>
        <v>459</v>
      </c>
      <c r="EL15" s="5">
        <f t="shared" si="164"/>
        <v>536</v>
      </c>
      <c r="EM15" s="5">
        <f t="shared" si="160"/>
        <v>768</v>
      </c>
      <c r="EN15" s="5">
        <f t="shared" si="160"/>
        <v>723</v>
      </c>
      <c r="EO15" s="5">
        <f t="shared" si="160"/>
        <v>781</v>
      </c>
      <c r="EP15" s="5">
        <f t="shared" ref="EP15" si="165">EP12-EP11</f>
        <v>828</v>
      </c>
      <c r="EQ15" s="5">
        <f t="shared" ref="EQ15:ER15" si="166">EQ12-EQ11</f>
        <v>428</v>
      </c>
      <c r="ER15" s="5">
        <f t="shared" si="166"/>
        <v>412</v>
      </c>
      <c r="ES15" s="5">
        <f t="shared" si="160"/>
        <v>773</v>
      </c>
      <c r="ET15" s="5">
        <f t="shared" ref="ET15:EW15" si="167">ET12-ET11</f>
        <v>838</v>
      </c>
      <c r="EU15" s="5">
        <f t="shared" ref="EU15:EV15" si="168">EU12-EU11</f>
        <v>855</v>
      </c>
      <c r="EV15" s="5">
        <f t="shared" si="168"/>
        <v>937</v>
      </c>
      <c r="EW15" s="5">
        <f t="shared" si="167"/>
        <v>928</v>
      </c>
      <c r="EX15" s="5">
        <f t="shared" si="160"/>
        <v>455</v>
      </c>
      <c r="EY15" s="5">
        <f t="shared" si="160"/>
        <v>392</v>
      </c>
      <c r="EZ15" s="5">
        <f t="shared" si="160"/>
        <v>839</v>
      </c>
      <c r="FA15" s="5">
        <f t="shared" ref="FA15:FE15" si="169">FA12-FA11</f>
        <v>840</v>
      </c>
      <c r="FB15" s="5">
        <f t="shared" si="169"/>
        <v>803</v>
      </c>
      <c r="FC15" s="5">
        <f t="shared" si="169"/>
        <v>786</v>
      </c>
      <c r="FD15" s="5">
        <f t="shared" ref="FD15" si="170">FD12-FD11</f>
        <v>680</v>
      </c>
      <c r="FE15" s="5">
        <f t="shared" si="169"/>
        <v>285</v>
      </c>
      <c r="FF15" s="5">
        <f t="shared" ref="FF15:FT15" si="171">FF12-FF11</f>
        <v>228</v>
      </c>
      <c r="FG15" s="5">
        <f t="shared" si="171"/>
        <v>329</v>
      </c>
      <c r="FH15" s="5">
        <f t="shared" si="171"/>
        <v>624</v>
      </c>
      <c r="FI15" s="5">
        <f t="shared" si="171"/>
        <v>682</v>
      </c>
      <c r="FJ15" s="5">
        <f t="shared" ref="FJ15:FK15" si="172">FJ12-FJ11</f>
        <v>698</v>
      </c>
      <c r="FK15" s="5">
        <f t="shared" si="172"/>
        <v>603</v>
      </c>
      <c r="FL15" s="5">
        <f t="shared" ref="FL15" si="173">FL12-FL11</f>
        <v>-41</v>
      </c>
      <c r="FM15" s="5">
        <f t="shared" si="171"/>
        <v>144</v>
      </c>
      <c r="FN15" s="5">
        <f t="shared" si="171"/>
        <v>-432</v>
      </c>
      <c r="FO15" s="5">
        <f t="shared" ref="FO15:FS15" si="174">FO12-FO11</f>
        <v>-261</v>
      </c>
      <c r="FP15" s="5">
        <f t="shared" si="174"/>
        <v>-356</v>
      </c>
      <c r="FQ15" s="5">
        <f t="shared" ref="FQ15:FR15" si="175">FQ12-FQ11</f>
        <v>-946</v>
      </c>
      <c r="FR15" s="5">
        <f t="shared" si="175"/>
        <v>-469</v>
      </c>
      <c r="FS15" s="5">
        <f t="shared" si="174"/>
        <v>-342</v>
      </c>
      <c r="FT15" s="5">
        <f t="shared" si="171"/>
        <v>-131</v>
      </c>
      <c r="FU15" s="5">
        <f t="shared" ref="FU15" si="176">FU12-FU11</f>
        <v>-1093</v>
      </c>
      <c r="FV15" s="5">
        <f t="shared" ref="FV15:GT15" si="177">FV12-FV11</f>
        <v>-892</v>
      </c>
      <c r="FW15" s="5">
        <f t="shared" si="177"/>
        <v>-621</v>
      </c>
      <c r="FX15" s="5">
        <f t="shared" si="177"/>
        <v>-852</v>
      </c>
      <c r="FY15" s="5">
        <f t="shared" si="177"/>
        <v>-576</v>
      </c>
      <c r="FZ15" s="5">
        <f t="shared" si="177"/>
        <v>-628</v>
      </c>
      <c r="GA15" s="5">
        <f t="shared" si="177"/>
        <v>-27</v>
      </c>
      <c r="GB15" s="5">
        <f t="shared" si="177"/>
        <v>-1448</v>
      </c>
      <c r="GC15" s="5">
        <f t="shared" si="177"/>
        <v>-1430</v>
      </c>
      <c r="GD15" s="5">
        <f t="shared" si="177"/>
        <v>-1842</v>
      </c>
      <c r="GE15" s="5">
        <f t="shared" ref="GE15:GS15" si="178">GE12-GE11</f>
        <v>-1476</v>
      </c>
      <c r="GF15" s="5">
        <f t="shared" ref="GF15:GJ15" si="179">GF12-GF11</f>
        <v>-925</v>
      </c>
      <c r="GG15" s="5">
        <f t="shared" si="179"/>
        <v>-757</v>
      </c>
      <c r="GH15" s="5">
        <f t="shared" ref="GH15:GI15" si="180">GH12-GH11</f>
        <v>-66</v>
      </c>
      <c r="GI15" s="5">
        <f t="shared" si="180"/>
        <v>-1334</v>
      </c>
      <c r="GJ15" s="5">
        <f t="shared" si="179"/>
        <v>-1882</v>
      </c>
      <c r="GK15" s="5">
        <f t="shared" si="178"/>
        <v>-1797</v>
      </c>
      <c r="GL15" s="5">
        <f t="shared" ref="GL15" si="181">GL12-GL11</f>
        <v>-1572</v>
      </c>
      <c r="GM15" s="5">
        <f t="shared" si="178"/>
        <v>-1051</v>
      </c>
      <c r="GN15" s="5">
        <f t="shared" ref="GN15:GR15" si="182">GN12-GN11</f>
        <v>-486</v>
      </c>
      <c r="GO15" s="5">
        <f t="shared" si="182"/>
        <v>-81</v>
      </c>
      <c r="GP15" s="5">
        <f t="shared" ref="GP15:GQ15" si="183">GP12-GP11</f>
        <v>1851</v>
      </c>
      <c r="GQ15" s="5">
        <f t="shared" si="183"/>
        <v>1851</v>
      </c>
      <c r="GR15" s="5">
        <f t="shared" si="182"/>
        <v>1851</v>
      </c>
      <c r="GS15" s="5">
        <f t="shared" si="178"/>
        <v>1851</v>
      </c>
      <c r="GT15" s="5">
        <f t="shared" si="177"/>
        <v>1851</v>
      </c>
    </row>
    <row r="16" spans="1:212" x14ac:dyDescent="0.3">
      <c r="B16" s="75"/>
      <c r="E16" s="50" t="s">
        <v>66</v>
      </c>
      <c r="F16" s="3"/>
      <c r="G16" s="3"/>
      <c r="H16" s="3"/>
      <c r="I16" s="3"/>
      <c r="J16" s="3"/>
      <c r="K16" s="56">
        <f>421+478+84+26</f>
        <v>1009</v>
      </c>
      <c r="L16" s="56">
        <f>499+698+145+54</f>
        <v>1396</v>
      </c>
      <c r="M16" s="56">
        <f>587+915+175+13</f>
        <v>1690</v>
      </c>
      <c r="N16" s="56">
        <f>912+1064+200+8</f>
        <v>2184</v>
      </c>
      <c r="O16" s="56">
        <f>1093+1136+231+8</f>
        <v>2468</v>
      </c>
      <c r="P16" s="56">
        <f>1290+1297+245+27</f>
        <v>2859</v>
      </c>
      <c r="Q16" s="56">
        <f>2051+1596+318+46</f>
        <v>4011</v>
      </c>
      <c r="R16" s="56">
        <f>1663+751+274+44</f>
        <v>2732</v>
      </c>
      <c r="S16" s="56">
        <f t="shared" ref="S16" si="184">2185+990+354+71</f>
        <v>3600</v>
      </c>
      <c r="T16" s="56">
        <f>2308+797+389+116</f>
        <v>3610</v>
      </c>
      <c r="U16" s="56">
        <f>2800+1006+468+48</f>
        <v>4322</v>
      </c>
      <c r="V16" s="56">
        <f>3346+1220+470+19</f>
        <v>5055</v>
      </c>
      <c r="W16" s="56">
        <f>3248+962+423+19</f>
        <v>4652</v>
      </c>
      <c r="X16" s="56">
        <f>3037+854+469+44</f>
        <v>4404</v>
      </c>
      <c r="Y16" s="56">
        <f>2867+637+377+6</f>
        <v>3887</v>
      </c>
      <c r="Z16" s="56">
        <f>2920+781+424+24</f>
        <v>4149</v>
      </c>
      <c r="AA16" s="56">
        <f>2662+879+436+7</f>
        <v>3984</v>
      </c>
      <c r="AB16" s="56">
        <f>2311+783+471+13</f>
        <v>3578</v>
      </c>
      <c r="AC16" s="56">
        <f>2507+840+408+17</f>
        <v>3772</v>
      </c>
      <c r="AD16" s="56">
        <f>2030+709+324+18</f>
        <v>3081</v>
      </c>
      <c r="AE16" s="56">
        <f>2175+823+383+25</f>
        <v>3406</v>
      </c>
      <c r="AF16" s="56">
        <f>2163+882+448+19</f>
        <v>3512</v>
      </c>
      <c r="AG16" s="56">
        <f>2282+855+429+8</f>
        <v>3574</v>
      </c>
      <c r="AH16" s="56">
        <f>2059+566+405+10</f>
        <v>3040</v>
      </c>
      <c r="AI16" s="56">
        <f>2251+585+344+10</f>
        <v>3190</v>
      </c>
      <c r="AJ16" s="56">
        <f>2413+564+313+8</f>
        <v>3298</v>
      </c>
      <c r="AK16" s="3">
        <f>2516+678+282+28+656</f>
        <v>4160</v>
      </c>
      <c r="AL16" s="3">
        <f>3163+905+334+19+689</f>
        <v>5110</v>
      </c>
      <c r="AM16" s="3">
        <f>3056+778+348+17+820</f>
        <v>5019</v>
      </c>
      <c r="AN16" s="3">
        <f>2970+621+355+16+532</f>
        <v>4494</v>
      </c>
      <c r="AO16" s="3">
        <f>3031+802+263+30+583</f>
        <v>4709</v>
      </c>
      <c r="AP16" s="3">
        <f>2877+773+240+7+762</f>
        <v>4659</v>
      </c>
      <c r="AQ16" s="3">
        <f>2882+794+209+19+667</f>
        <v>4571</v>
      </c>
      <c r="AR16" s="3">
        <f>2721+559+156+10+633</f>
        <v>4079</v>
      </c>
      <c r="AS16" s="3">
        <f>2030+286+104+32+706</f>
        <v>3158</v>
      </c>
      <c r="AT16" s="3">
        <f>2153+342+142+60+732</f>
        <v>3429</v>
      </c>
      <c r="AU16" s="3">
        <f>1655+172+62+40+493</f>
        <v>2422</v>
      </c>
      <c r="AV16" s="3">
        <f>1116+80+26+40+395</f>
        <v>1657</v>
      </c>
      <c r="AW16" s="3">
        <f>876+82+28+38+381</f>
        <v>1405</v>
      </c>
      <c r="AX16" s="3">
        <f>852+54+23+46+326</f>
        <v>1301</v>
      </c>
      <c r="AY16" s="3">
        <f>350+32+14+65+201</f>
        <v>662</v>
      </c>
      <c r="AZ16" s="3">
        <f>12+32+17+60+189</f>
        <v>310</v>
      </c>
      <c r="BA16" s="3">
        <f>328+75+21+36+242</f>
        <v>702</v>
      </c>
      <c r="BB16" s="3">
        <f>489+101+53+28+260</f>
        <v>931</v>
      </c>
      <c r="BC16" s="3">
        <f>585+29+20+15+286</f>
        <v>935</v>
      </c>
      <c r="BD16" s="3">
        <f>787+68+37+14+306</f>
        <v>1212</v>
      </c>
      <c r="BE16" s="3">
        <f>967+40+21+2+287</f>
        <v>1317</v>
      </c>
      <c r="BF16" s="3">
        <f>653+58+23+18+339</f>
        <v>1091</v>
      </c>
      <c r="BG16" s="3">
        <f>775+51+24+22+411</f>
        <v>1283</v>
      </c>
      <c r="BH16" s="3">
        <f>1097+62+28+18+332</f>
        <v>1537</v>
      </c>
      <c r="BI16" s="3">
        <f>1358+95+41+3+286</f>
        <v>1783</v>
      </c>
      <c r="BJ16" s="3">
        <f>1522+108+42+9+262</f>
        <v>1943</v>
      </c>
      <c r="BK16" s="3">
        <f>1324+47+26+5+233</f>
        <v>1635</v>
      </c>
      <c r="BL16" s="3">
        <f>1501+25+3+1+198</f>
        <v>1728</v>
      </c>
      <c r="BM16" s="3">
        <f>1534+48+16+9+241</f>
        <v>1848</v>
      </c>
      <c r="BN16" s="3">
        <f>1759+47+26+10+247</f>
        <v>2089</v>
      </c>
      <c r="BO16" s="3">
        <f>1696+51+15+7+286</f>
        <v>2055</v>
      </c>
      <c r="BP16" s="3">
        <f>1519+62+21+7+297</f>
        <v>1906</v>
      </c>
      <c r="BQ16" s="3">
        <f>1058+47+23+0+342</f>
        <v>1470</v>
      </c>
      <c r="BR16" s="3">
        <f>753+57+17+10+283</f>
        <v>1120</v>
      </c>
      <c r="BS16" s="3">
        <f>572+58+10+6+201</f>
        <v>847</v>
      </c>
      <c r="BT16" s="3">
        <f>483+19+10+13+144</f>
        <v>669</v>
      </c>
      <c r="BU16" s="3">
        <f>233+76+35+6+103</f>
        <v>453</v>
      </c>
      <c r="BV16" s="3">
        <f>27+3+3+6+69</f>
        <v>108</v>
      </c>
      <c r="BW16" s="3">
        <f>112+15+8+6+52</f>
        <v>193</v>
      </c>
      <c r="BX16" s="3">
        <f>131+32+13+2+68</f>
        <v>246</v>
      </c>
      <c r="BY16" s="3">
        <f>124+45+10+5+74</f>
        <v>258</v>
      </c>
      <c r="BZ16" s="3">
        <f>213+51+31+15+96</f>
        <v>406</v>
      </c>
      <c r="CA16" s="3">
        <f>76+33+14+13+90</f>
        <v>226</v>
      </c>
      <c r="CB16" s="3">
        <f>85+18+18+9+75</f>
        <v>205</v>
      </c>
      <c r="CC16" s="3">
        <f>107+28+16+4+68</f>
        <v>223</v>
      </c>
      <c r="CD16" s="3">
        <f>86+19+21+12+65</f>
        <v>203</v>
      </c>
      <c r="CE16" s="3">
        <f t="shared" ref="CE16" si="185">48+7+11+3+7</f>
        <v>76</v>
      </c>
      <c r="CF16" s="3">
        <f>56+30+10+3+8</f>
        <v>107</v>
      </c>
      <c r="CG16" s="3">
        <f>18+5+2+18+5</f>
        <v>48</v>
      </c>
      <c r="CH16" s="3">
        <f>16+3+2+60+4</f>
        <v>85</v>
      </c>
      <c r="CI16" s="3">
        <f>19+6+2+66+14</f>
        <v>107</v>
      </c>
      <c r="CJ16" s="3">
        <f>126+37+25+22+17</f>
        <v>227</v>
      </c>
      <c r="CK16" s="3">
        <f>10+4+4+9+14</f>
        <v>41</v>
      </c>
      <c r="CL16" s="3">
        <f>69+28+13+7+8</f>
        <v>125</v>
      </c>
      <c r="CM16" s="3">
        <f>9+4+3+2+8</f>
        <v>26</v>
      </c>
      <c r="CN16" s="3">
        <f>30+16+5+3+10</f>
        <v>64</v>
      </c>
      <c r="CO16" s="3">
        <f>7+1+0+5+4</f>
        <v>17</v>
      </c>
      <c r="CP16" s="3">
        <f>55+13+8+7+8</f>
        <v>91</v>
      </c>
      <c r="CQ16" s="3">
        <f>75+24+8+7+11</f>
        <v>125</v>
      </c>
      <c r="CR16" s="3">
        <f>19+7+4+6+10</f>
        <v>46</v>
      </c>
      <c r="CS16" s="3">
        <f>58+21+6+3+10</f>
        <v>98</v>
      </c>
      <c r="CT16" s="3">
        <f>58+13+8+5+8</f>
        <v>92</v>
      </c>
      <c r="CU16" s="3">
        <f>28+7+4+5+6</f>
        <v>50</v>
      </c>
      <c r="CV16" s="3">
        <f>17+8+3+21+10</f>
        <v>59</v>
      </c>
      <c r="CW16" s="3">
        <f>61+24+11+8+11</f>
        <v>115</v>
      </c>
      <c r="CX16" s="3">
        <f>156+77+33+10+18</f>
        <v>294</v>
      </c>
      <c r="CY16" s="3">
        <f>167+63+26+4+23</f>
        <v>283</v>
      </c>
      <c r="CZ16" s="3">
        <f>109+29+23+7+24</f>
        <v>192</v>
      </c>
      <c r="DA16" s="3">
        <f>32+7+7+1+21</f>
        <v>68</v>
      </c>
      <c r="DB16" s="3">
        <f>38+4+5+8+12</f>
        <v>67</v>
      </c>
      <c r="DC16" s="3">
        <f>2+1+3+7+1</f>
        <v>14</v>
      </c>
      <c r="DD16" s="3">
        <f>21+3+4+4+16</f>
        <v>48</v>
      </c>
      <c r="DE16" s="3">
        <f>49+19+10+10+3</f>
        <v>91</v>
      </c>
      <c r="DF16" s="3">
        <f>8+3+1+2+8</f>
        <v>22</v>
      </c>
      <c r="DG16" s="3">
        <f>15+3+2+7+2</f>
        <v>29</v>
      </c>
      <c r="DH16" s="3">
        <f>52+16+8+0+4</f>
        <v>80</v>
      </c>
      <c r="DI16" s="3">
        <f>26+22+0+2+2</f>
        <v>52</v>
      </c>
      <c r="DJ16" s="3">
        <f>5+0+0+6+1</f>
        <v>12</v>
      </c>
      <c r="DK16" s="3">
        <f>18+9+2+2+8</f>
        <v>39</v>
      </c>
      <c r="DL16" s="3">
        <f>19+10+2+1+5</f>
        <v>37</v>
      </c>
      <c r="DM16" s="3">
        <f>9+2+3+2+3</f>
        <v>19</v>
      </c>
      <c r="DN16" s="3">
        <f>4+0+0+2+4</f>
        <v>10</v>
      </c>
      <c r="DO16" s="3">
        <f>4+21+7+10+2</f>
        <v>44</v>
      </c>
      <c r="DP16" s="3">
        <f>28+13+8+8+4</f>
        <v>61</v>
      </c>
      <c r="DQ16" s="3">
        <f>5+2+5+0+7</f>
        <v>19</v>
      </c>
      <c r="DR16" s="3">
        <f>26+13+10+2+9</f>
        <v>60</v>
      </c>
      <c r="DS16" s="3">
        <f>10+1+1+6+5</f>
        <v>23</v>
      </c>
      <c r="DT16" s="3">
        <f>52+18+10+4+4</f>
        <v>88</v>
      </c>
      <c r="DU16" s="3">
        <f>1+0+0+5+5+6</f>
        <v>17</v>
      </c>
      <c r="DV16" s="3">
        <f>36+18+4+3+8</f>
        <v>69</v>
      </c>
      <c r="DW16" s="3">
        <f>26+11+2+3+6</f>
        <v>48</v>
      </c>
      <c r="DX16" s="3">
        <f>34+22+6+7+7</f>
        <v>76</v>
      </c>
      <c r="DY16" s="3">
        <f>8+2+1+28+9</f>
        <v>48</v>
      </c>
      <c r="DZ16" s="3">
        <f>1+2+0+9+2</f>
        <v>14</v>
      </c>
      <c r="EA16" s="3">
        <f>1+0+3+4+8</f>
        <v>16</v>
      </c>
      <c r="EB16" s="3">
        <f>40+31+6+5+1</f>
        <v>83</v>
      </c>
      <c r="EC16" s="3">
        <f>26+5+5+3+3</f>
        <v>42</v>
      </c>
      <c r="ED16" s="3">
        <f>13+5+3+9+1</f>
        <v>31</v>
      </c>
      <c r="EE16" s="3">
        <f>42+20+3+7+5</f>
        <v>77</v>
      </c>
      <c r="EF16" s="3">
        <f>8+2+1+2+1</f>
        <v>14</v>
      </c>
      <c r="EG16" s="3">
        <f>6+1+4+1+5</f>
        <v>17</v>
      </c>
      <c r="EH16" s="3">
        <f>7+3+3+1+4</f>
        <v>18</v>
      </c>
      <c r="EI16" s="3">
        <f>10+7+2+0+2</f>
        <v>21</v>
      </c>
      <c r="EJ16" s="3">
        <f>26+8+3+6+2</f>
        <v>45</v>
      </c>
      <c r="EK16" s="3">
        <f>22+5+4+11+2</f>
        <v>44</v>
      </c>
      <c r="EL16" s="3">
        <f>3+3+0+0+1</f>
        <v>7</v>
      </c>
      <c r="EM16" s="3">
        <f>14+7+3+4+1</f>
        <v>29</v>
      </c>
      <c r="EN16" s="3">
        <f>6+1+3+10+2</f>
        <v>22</v>
      </c>
      <c r="EO16" s="3">
        <f>16+2+2+4+1</f>
        <v>25</v>
      </c>
      <c r="EP16" s="3">
        <f>8+0+1+7+0</f>
        <v>16</v>
      </c>
      <c r="EQ16" s="3">
        <f>32+25+10+1+3</f>
        <v>71</v>
      </c>
      <c r="ER16" s="3">
        <f>18+11+3+4+2</f>
        <v>38</v>
      </c>
      <c r="ES16" s="3">
        <f>5+4+1+10+1</f>
        <v>21</v>
      </c>
      <c r="ET16" s="3">
        <f>6+7+3+5+2</f>
        <v>23</v>
      </c>
      <c r="EU16" s="3">
        <f>6+6+5+1+0</f>
        <v>18</v>
      </c>
      <c r="EV16" s="3">
        <f>4+1+1+7+2</f>
        <v>15</v>
      </c>
      <c r="EW16" s="3">
        <f>2+1+1+1+1</f>
        <v>6</v>
      </c>
      <c r="EX16" s="3">
        <f>7+13+5+0+1</f>
        <v>26</v>
      </c>
      <c r="EY16" s="3">
        <f>3+0+1+5+2</f>
        <v>11</v>
      </c>
      <c r="EZ16" s="3">
        <f>6+1+0+2+1</f>
        <v>10</v>
      </c>
      <c r="FA16" s="3">
        <f>8+7+3+2+1</f>
        <v>21</v>
      </c>
      <c r="FB16" s="3">
        <f>20+14+1+4+3</f>
        <v>42</v>
      </c>
      <c r="FC16" s="3">
        <f>7+6+1+4+2</f>
        <v>20</v>
      </c>
      <c r="FD16" s="3">
        <f>12+11+7+4+2</f>
        <v>36</v>
      </c>
      <c r="FE16" s="3">
        <f>47+32+5+1+3</f>
        <v>88</v>
      </c>
      <c r="FF16" s="3">
        <f>41+30+7+5+3</f>
        <v>86</v>
      </c>
      <c r="FG16" s="3">
        <f>43+18+8+1+14</f>
        <v>84</v>
      </c>
      <c r="FH16" s="3">
        <f>43+18+8+1+2</f>
        <v>72</v>
      </c>
      <c r="FI16" s="3">
        <f>186+32+12+4+3</f>
        <v>237</v>
      </c>
      <c r="FJ16" s="3">
        <f>93+48+21+17+9</f>
        <v>188</v>
      </c>
      <c r="FK16" s="3">
        <f>83+48+18+5+9</f>
        <v>163</v>
      </c>
      <c r="FL16" s="3">
        <f>209+55+10+5+22</f>
        <v>301</v>
      </c>
      <c r="FM16" s="3">
        <f>84+34+8+1+34</f>
        <v>161</v>
      </c>
      <c r="FN16" s="3">
        <f>447+96+25+16+291</f>
        <v>875</v>
      </c>
      <c r="FO16" s="3">
        <f>447+96+25+16+324</f>
        <v>908</v>
      </c>
      <c r="FP16" s="3">
        <f>787+84+34+48+406</f>
        <v>1359</v>
      </c>
      <c r="FQ16" s="3">
        <f>1244+93+9+11+632</f>
        <v>1989</v>
      </c>
      <c r="FR16" s="3">
        <f>1244+93+9+11+721</f>
        <v>2078</v>
      </c>
      <c r="FS16" s="3">
        <f>1223+59+14+3+890</f>
        <v>2189</v>
      </c>
      <c r="FT16" s="3">
        <f>1190+71+18+1+810</f>
        <v>2090</v>
      </c>
      <c r="FU16" s="3">
        <f>1146+42+10+4+780</f>
        <v>1982</v>
      </c>
      <c r="FV16" s="3">
        <f>1383+59+10+17+768</f>
        <v>2237</v>
      </c>
      <c r="FW16" s="3">
        <f>1639+57+9+20+824</f>
        <v>2549</v>
      </c>
      <c r="FX16" s="3">
        <f>1692+62+15+7+526</f>
        <v>2302</v>
      </c>
      <c r="FY16" s="3">
        <f>1200+12+11+6+590</f>
        <v>1819</v>
      </c>
      <c r="FZ16" s="3">
        <f>1389+37+15+3+506</f>
        <v>1950</v>
      </c>
      <c r="GA16" s="3">
        <f>1497+18+1+6+467</f>
        <v>1989</v>
      </c>
      <c r="GB16" s="3">
        <f>1335+29+8+16+373</f>
        <v>1761</v>
      </c>
      <c r="GC16" s="3">
        <f>1627+75+24+9+216</f>
        <v>1951</v>
      </c>
      <c r="GD16" s="3">
        <f>1599+125+32+11+337</f>
        <v>2104</v>
      </c>
      <c r="GE16" s="3">
        <f>1712+155+28+11+469</f>
        <v>2375</v>
      </c>
      <c r="GF16" s="3">
        <f>1686+117+23+15+533</f>
        <v>2374</v>
      </c>
      <c r="GG16" s="3">
        <f>1568+136+39+8+651</f>
        <v>2402</v>
      </c>
      <c r="GH16" s="3">
        <f>1565+143+46+25+668</f>
        <v>2447</v>
      </c>
      <c r="GI16" s="3">
        <f>1230+216+57+13+736</f>
        <v>2252</v>
      </c>
      <c r="GJ16" s="3">
        <f>1332+364+115+23+547</f>
        <v>2381</v>
      </c>
      <c r="GK16" s="3">
        <f>1452+223+120+8+588</f>
        <v>2391</v>
      </c>
      <c r="GL16" s="3">
        <f>1452+223+120+8+501</f>
        <v>2304</v>
      </c>
      <c r="GM16" s="3">
        <f>1673+299+180+3+410</f>
        <v>2565</v>
      </c>
      <c r="GN16" s="3">
        <f>1636+234+182+7+436</f>
        <v>2495</v>
      </c>
      <c r="GO16" s="3">
        <f>1476+176+182+7+587</f>
        <v>2428</v>
      </c>
      <c r="GP16" s="3"/>
      <c r="GQ16" s="3"/>
      <c r="GR16" s="3"/>
      <c r="GS16" s="3"/>
      <c r="GT16" s="3"/>
    </row>
    <row r="17" spans="2:203" hidden="1" x14ac:dyDescent="0.3">
      <c r="B17" s="75"/>
      <c r="E17" s="50" t="s">
        <v>67</v>
      </c>
      <c r="F17" s="49"/>
      <c r="G17" s="49" t="str">
        <f t="shared" ref="G17:L17" si="186">IFERROR((G16-F16)/F16,"")</f>
        <v/>
      </c>
      <c r="H17" s="49" t="str">
        <f t="shared" si="186"/>
        <v/>
      </c>
      <c r="I17" s="49" t="str">
        <f t="shared" si="186"/>
        <v/>
      </c>
      <c r="J17" s="49" t="str">
        <f t="shared" si="186"/>
        <v/>
      </c>
      <c r="K17" s="49" t="str">
        <f t="shared" si="186"/>
        <v/>
      </c>
      <c r="L17" s="49">
        <f t="shared" si="186"/>
        <v>0.38354806739345887</v>
      </c>
      <c r="M17" s="49">
        <f t="shared" ref="M17:AR17" si="187">IFERROR((M16-L16)/L16,"")</f>
        <v>0.21060171919770773</v>
      </c>
      <c r="N17" s="49">
        <f t="shared" si="187"/>
        <v>0.29230769230769232</v>
      </c>
      <c r="O17" s="49">
        <f t="shared" si="187"/>
        <v>0.13003663003663005</v>
      </c>
      <c r="P17" s="49">
        <f t="shared" si="187"/>
        <v>0.15842787682333873</v>
      </c>
      <c r="Q17" s="49">
        <f t="shared" si="187"/>
        <v>0.40293809024134314</v>
      </c>
      <c r="R17" s="49">
        <f t="shared" si="187"/>
        <v>-0.31887309897781102</v>
      </c>
      <c r="S17" s="49">
        <f t="shared" si="187"/>
        <v>0.31771595900439237</v>
      </c>
      <c r="T17" s="49">
        <f t="shared" si="187"/>
        <v>2.7777777777777779E-3</v>
      </c>
      <c r="U17" s="49">
        <f t="shared" si="187"/>
        <v>0.19722991689750694</v>
      </c>
      <c r="V17" s="49">
        <f t="shared" si="187"/>
        <v>0.16959740860712633</v>
      </c>
      <c r="W17" s="49">
        <f t="shared" si="187"/>
        <v>-7.9723046488625118E-2</v>
      </c>
      <c r="X17" s="49">
        <f t="shared" si="187"/>
        <v>-5.3310404127257092E-2</v>
      </c>
      <c r="Y17" s="49">
        <f t="shared" si="187"/>
        <v>-0.11739327883742053</v>
      </c>
      <c r="Z17" s="49">
        <f t="shared" si="187"/>
        <v>6.7404167738615905E-2</v>
      </c>
      <c r="AA17" s="49">
        <f t="shared" si="187"/>
        <v>-3.976861894432393E-2</v>
      </c>
      <c r="AB17" s="49">
        <f t="shared" si="187"/>
        <v>-0.10190763052208836</v>
      </c>
      <c r="AC17" s="49">
        <f t="shared" si="187"/>
        <v>5.4220234768026829E-2</v>
      </c>
      <c r="AD17" s="49">
        <f t="shared" si="187"/>
        <v>-0.18319194061505834</v>
      </c>
      <c r="AE17" s="49">
        <f t="shared" si="187"/>
        <v>0.10548523206751055</v>
      </c>
      <c r="AF17" s="49">
        <f t="shared" si="187"/>
        <v>3.1121550205519672E-2</v>
      </c>
      <c r="AG17" s="49">
        <f t="shared" si="187"/>
        <v>1.765375854214123E-2</v>
      </c>
      <c r="AH17" s="49">
        <f t="shared" si="187"/>
        <v>-0.14941242305540012</v>
      </c>
      <c r="AI17" s="49">
        <f t="shared" si="187"/>
        <v>4.9342105263157895E-2</v>
      </c>
      <c r="AJ17" s="49">
        <f t="shared" si="187"/>
        <v>3.385579937304075E-2</v>
      </c>
      <c r="AK17" s="49">
        <f t="shared" si="187"/>
        <v>0.26137052759248031</v>
      </c>
      <c r="AL17" s="49">
        <f t="shared" si="187"/>
        <v>0.22836538461538461</v>
      </c>
      <c r="AM17" s="49">
        <f t="shared" si="187"/>
        <v>-1.7808219178082191E-2</v>
      </c>
      <c r="AN17" s="49">
        <f t="shared" si="187"/>
        <v>-0.10460251046025104</v>
      </c>
      <c r="AO17" s="49">
        <f t="shared" si="187"/>
        <v>4.7841566533155321E-2</v>
      </c>
      <c r="AP17" s="49">
        <f t="shared" si="187"/>
        <v>-1.0617965597791464E-2</v>
      </c>
      <c r="AQ17" s="49">
        <f t="shared" si="187"/>
        <v>-1.8888173427774199E-2</v>
      </c>
      <c r="AR17" s="49">
        <f t="shared" si="187"/>
        <v>-0.10763509078976154</v>
      </c>
      <c r="AS17" s="49">
        <f t="shared" ref="AS17:BX17" si="188">IFERROR((AS16-AR16)/AR16,"")</f>
        <v>-0.2257906349595489</v>
      </c>
      <c r="AT17" s="49">
        <f t="shared" si="188"/>
        <v>8.5813806206459786E-2</v>
      </c>
      <c r="AU17" s="49">
        <f t="shared" si="188"/>
        <v>-0.29367162438028582</v>
      </c>
      <c r="AV17" s="49">
        <f t="shared" si="188"/>
        <v>-0.31585466556564823</v>
      </c>
      <c r="AW17" s="49">
        <f t="shared" si="188"/>
        <v>-0.15208207604103802</v>
      </c>
      <c r="AX17" s="49">
        <f t="shared" si="188"/>
        <v>-7.4021352313167255E-2</v>
      </c>
      <c r="AY17" s="49">
        <f t="shared" si="188"/>
        <v>-0.49116064565718676</v>
      </c>
      <c r="AZ17" s="49">
        <f t="shared" si="188"/>
        <v>-0.53172205438066467</v>
      </c>
      <c r="BA17" s="49">
        <f t="shared" si="188"/>
        <v>1.264516129032258</v>
      </c>
      <c r="BB17" s="49">
        <f t="shared" si="188"/>
        <v>0.3262108262108262</v>
      </c>
      <c r="BC17" s="49">
        <f t="shared" si="188"/>
        <v>4.296455424274973E-3</v>
      </c>
      <c r="BD17" s="49">
        <f t="shared" si="188"/>
        <v>0.29625668449197862</v>
      </c>
      <c r="BE17" s="49">
        <f t="shared" si="188"/>
        <v>8.6633663366336627E-2</v>
      </c>
      <c r="BF17" s="49">
        <f t="shared" si="188"/>
        <v>-0.17160212604403949</v>
      </c>
      <c r="BG17" s="49">
        <f t="shared" si="188"/>
        <v>0.1759853345554537</v>
      </c>
      <c r="BH17" s="49">
        <f t="shared" si="188"/>
        <v>0.1979734996102884</v>
      </c>
      <c r="BI17" s="49">
        <f t="shared" si="188"/>
        <v>0.16005204944697463</v>
      </c>
      <c r="BJ17" s="49">
        <f t="shared" si="188"/>
        <v>8.9736399326977009E-2</v>
      </c>
      <c r="BK17" s="49">
        <f t="shared" si="188"/>
        <v>-0.15851775604734947</v>
      </c>
      <c r="BL17" s="49">
        <f t="shared" si="188"/>
        <v>5.6880733944954132E-2</v>
      </c>
      <c r="BM17" s="49">
        <f t="shared" si="188"/>
        <v>6.9444444444444448E-2</v>
      </c>
      <c r="BN17" s="49">
        <f t="shared" si="188"/>
        <v>0.13041125541125542</v>
      </c>
      <c r="BO17" s="49">
        <f t="shared" si="188"/>
        <v>-1.6275730014360938E-2</v>
      </c>
      <c r="BP17" s="49">
        <f t="shared" si="188"/>
        <v>-7.250608272506083E-2</v>
      </c>
      <c r="BQ17" s="49">
        <f t="shared" si="188"/>
        <v>-0.22875131164742918</v>
      </c>
      <c r="BR17" s="49">
        <f t="shared" si="188"/>
        <v>-0.23809523809523808</v>
      </c>
      <c r="BS17" s="49">
        <f t="shared" si="188"/>
        <v>-0.24374999999999999</v>
      </c>
      <c r="BT17" s="49">
        <f t="shared" si="188"/>
        <v>-0.21015348288075561</v>
      </c>
      <c r="BU17" s="49">
        <f t="shared" si="188"/>
        <v>-0.32286995515695066</v>
      </c>
      <c r="BV17" s="49">
        <f t="shared" si="188"/>
        <v>-0.76158940397350994</v>
      </c>
      <c r="BW17" s="49">
        <f t="shared" si="188"/>
        <v>0.78703703703703709</v>
      </c>
      <c r="BX17" s="49">
        <f t="shared" si="188"/>
        <v>0.27461139896373055</v>
      </c>
      <c r="BY17" s="49">
        <f t="shared" ref="BY17:DD17" si="189">IFERROR((BY16-BX16)/BX16,"")</f>
        <v>4.878048780487805E-2</v>
      </c>
      <c r="BZ17" s="49">
        <f t="shared" si="189"/>
        <v>0.5736434108527132</v>
      </c>
      <c r="CA17" s="49">
        <f t="shared" si="189"/>
        <v>-0.44334975369458129</v>
      </c>
      <c r="CB17" s="49">
        <f t="shared" si="189"/>
        <v>-9.2920353982300891E-2</v>
      </c>
      <c r="CC17" s="49">
        <f t="shared" si="189"/>
        <v>8.7804878048780483E-2</v>
      </c>
      <c r="CD17" s="49">
        <f t="shared" si="189"/>
        <v>-8.9686098654708515E-2</v>
      </c>
      <c r="CE17" s="49">
        <f t="shared" si="189"/>
        <v>-0.62561576354679804</v>
      </c>
      <c r="CF17" s="49">
        <f t="shared" si="189"/>
        <v>0.40789473684210525</v>
      </c>
      <c r="CG17" s="49">
        <f t="shared" si="189"/>
        <v>-0.55140186915887845</v>
      </c>
      <c r="CH17" s="49">
        <f t="shared" si="189"/>
        <v>0.77083333333333337</v>
      </c>
      <c r="CI17" s="49">
        <f t="shared" si="189"/>
        <v>0.25882352941176473</v>
      </c>
      <c r="CJ17" s="49">
        <f t="shared" si="189"/>
        <v>1.1214953271028036</v>
      </c>
      <c r="CK17" s="49">
        <f t="shared" si="189"/>
        <v>-0.81938325991189431</v>
      </c>
      <c r="CL17" s="49">
        <f t="shared" si="189"/>
        <v>2.0487804878048781</v>
      </c>
      <c r="CM17" s="49">
        <f t="shared" si="189"/>
        <v>-0.79200000000000004</v>
      </c>
      <c r="CN17" s="49">
        <f t="shared" si="189"/>
        <v>1.4615384615384615</v>
      </c>
      <c r="CO17" s="49">
        <f t="shared" si="189"/>
        <v>-0.734375</v>
      </c>
      <c r="CP17" s="49">
        <f t="shared" si="189"/>
        <v>4.3529411764705879</v>
      </c>
      <c r="CQ17" s="49">
        <f t="shared" si="189"/>
        <v>0.37362637362637363</v>
      </c>
      <c r="CR17" s="49">
        <f t="shared" si="189"/>
        <v>-0.63200000000000001</v>
      </c>
      <c r="CS17" s="49">
        <f t="shared" si="189"/>
        <v>1.1304347826086956</v>
      </c>
      <c r="CT17" s="49">
        <f t="shared" si="189"/>
        <v>-6.1224489795918366E-2</v>
      </c>
      <c r="CU17" s="49">
        <f t="shared" si="189"/>
        <v>-0.45652173913043476</v>
      </c>
      <c r="CV17" s="49">
        <f t="shared" si="189"/>
        <v>0.18</v>
      </c>
      <c r="CW17" s="49">
        <f t="shared" si="189"/>
        <v>0.94915254237288138</v>
      </c>
      <c r="CX17" s="49">
        <f t="shared" si="189"/>
        <v>1.5565217391304347</v>
      </c>
      <c r="CY17" s="49">
        <f t="shared" si="189"/>
        <v>-3.7414965986394558E-2</v>
      </c>
      <c r="CZ17" s="49">
        <f t="shared" si="189"/>
        <v>-0.32155477031802121</v>
      </c>
      <c r="DA17" s="49">
        <f t="shared" si="189"/>
        <v>-0.64583333333333337</v>
      </c>
      <c r="DB17" s="49">
        <f t="shared" si="189"/>
        <v>-1.4705882352941176E-2</v>
      </c>
      <c r="DC17" s="49">
        <f t="shared" si="189"/>
        <v>-0.79104477611940294</v>
      </c>
      <c r="DD17" s="49">
        <f t="shared" si="189"/>
        <v>2.4285714285714284</v>
      </c>
      <c r="DE17" s="49">
        <f t="shared" ref="DE17:EJ17" si="190">IFERROR((DE16-DD16)/DD16,"")</f>
        <v>0.89583333333333337</v>
      </c>
      <c r="DF17" s="49">
        <f t="shared" si="190"/>
        <v>-0.75824175824175821</v>
      </c>
      <c r="DG17" s="49">
        <f t="shared" si="190"/>
        <v>0.31818181818181818</v>
      </c>
      <c r="DH17" s="49">
        <f t="shared" si="190"/>
        <v>1.7586206896551724</v>
      </c>
      <c r="DI17" s="49">
        <f t="shared" si="190"/>
        <v>-0.35</v>
      </c>
      <c r="DJ17" s="49">
        <f t="shared" si="190"/>
        <v>-0.76923076923076927</v>
      </c>
      <c r="DK17" s="49">
        <f t="shared" si="190"/>
        <v>2.25</v>
      </c>
      <c r="DL17" s="49">
        <f t="shared" si="190"/>
        <v>-5.128205128205128E-2</v>
      </c>
      <c r="DM17" s="49">
        <f t="shared" si="190"/>
        <v>-0.48648648648648651</v>
      </c>
      <c r="DN17" s="49">
        <f t="shared" si="190"/>
        <v>-0.47368421052631576</v>
      </c>
      <c r="DO17" s="49">
        <f t="shared" si="190"/>
        <v>3.4</v>
      </c>
      <c r="DP17" s="49">
        <f t="shared" si="190"/>
        <v>0.38636363636363635</v>
      </c>
      <c r="DQ17" s="49">
        <f t="shared" si="190"/>
        <v>-0.68852459016393441</v>
      </c>
      <c r="DR17" s="49">
        <f t="shared" si="190"/>
        <v>2.1578947368421053</v>
      </c>
      <c r="DS17" s="49">
        <f t="shared" si="190"/>
        <v>-0.6166666666666667</v>
      </c>
      <c r="DT17" s="49">
        <f t="shared" si="190"/>
        <v>2.8260869565217392</v>
      </c>
      <c r="DU17" s="49">
        <f t="shared" si="190"/>
        <v>-0.80681818181818177</v>
      </c>
      <c r="DV17" s="49">
        <f t="shared" si="190"/>
        <v>3.0588235294117645</v>
      </c>
      <c r="DW17" s="49">
        <f t="shared" si="190"/>
        <v>-0.30434782608695654</v>
      </c>
      <c r="DX17" s="49">
        <f t="shared" si="190"/>
        <v>0.58333333333333337</v>
      </c>
      <c r="DY17" s="49">
        <f t="shared" si="190"/>
        <v>-0.36842105263157893</v>
      </c>
      <c r="DZ17" s="49">
        <f t="shared" si="190"/>
        <v>-0.70833333333333337</v>
      </c>
      <c r="EA17" s="49">
        <f t="shared" si="190"/>
        <v>0.14285714285714285</v>
      </c>
      <c r="EB17" s="49">
        <f t="shared" si="190"/>
        <v>4.1875</v>
      </c>
      <c r="EC17" s="49">
        <f t="shared" si="190"/>
        <v>-0.49397590361445781</v>
      </c>
      <c r="ED17" s="49">
        <f t="shared" si="190"/>
        <v>-0.26190476190476192</v>
      </c>
      <c r="EE17" s="49">
        <f t="shared" si="190"/>
        <v>1.4838709677419355</v>
      </c>
      <c r="EF17" s="49">
        <f t="shared" si="190"/>
        <v>-0.81818181818181823</v>
      </c>
      <c r="EG17" s="49">
        <f t="shared" si="190"/>
        <v>0.21428571428571427</v>
      </c>
      <c r="EH17" s="49">
        <f t="shared" si="190"/>
        <v>5.8823529411764705E-2</v>
      </c>
      <c r="EI17" s="49">
        <f t="shared" si="190"/>
        <v>0.16666666666666666</v>
      </c>
      <c r="EJ17" s="49">
        <f t="shared" si="190"/>
        <v>1.1428571428571428</v>
      </c>
      <c r="EK17" s="49">
        <f t="shared" ref="EK17:FP17" si="191">IFERROR((EK16-EJ16)/EJ16,"")</f>
        <v>-2.2222222222222223E-2</v>
      </c>
      <c r="EL17" s="49">
        <f t="shared" si="191"/>
        <v>-0.84090909090909094</v>
      </c>
      <c r="EM17" s="49">
        <f t="shared" si="191"/>
        <v>3.1428571428571428</v>
      </c>
      <c r="EN17" s="49">
        <f t="shared" si="191"/>
        <v>-0.2413793103448276</v>
      </c>
      <c r="EO17" s="49">
        <f t="shared" si="191"/>
        <v>0.13636363636363635</v>
      </c>
      <c r="EP17" s="49">
        <f t="shared" si="191"/>
        <v>-0.36</v>
      </c>
      <c r="EQ17" s="49">
        <f t="shared" si="191"/>
        <v>3.4375</v>
      </c>
      <c r="ER17" s="49">
        <f t="shared" si="191"/>
        <v>-0.46478873239436619</v>
      </c>
      <c r="ES17" s="49">
        <f t="shared" si="191"/>
        <v>-0.44736842105263158</v>
      </c>
      <c r="ET17" s="49">
        <f t="shared" si="191"/>
        <v>9.5238095238095233E-2</v>
      </c>
      <c r="EU17" s="49">
        <f t="shared" si="191"/>
        <v>-0.21739130434782608</v>
      </c>
      <c r="EV17" s="49">
        <f t="shared" si="191"/>
        <v>-0.16666666666666666</v>
      </c>
      <c r="EW17" s="49">
        <f t="shared" si="191"/>
        <v>-0.6</v>
      </c>
      <c r="EX17" s="49">
        <f t="shared" si="191"/>
        <v>3.3333333333333335</v>
      </c>
      <c r="EY17" s="49">
        <f t="shared" si="191"/>
        <v>-0.57692307692307687</v>
      </c>
      <c r="EZ17" s="49">
        <f t="shared" si="191"/>
        <v>-9.0909090909090912E-2</v>
      </c>
      <c r="FA17" s="49">
        <f t="shared" si="191"/>
        <v>1.1000000000000001</v>
      </c>
      <c r="FB17" s="49">
        <f t="shared" si="191"/>
        <v>1</v>
      </c>
      <c r="FC17" s="49">
        <f t="shared" si="191"/>
        <v>-0.52380952380952384</v>
      </c>
      <c r="FD17" s="49">
        <f t="shared" si="191"/>
        <v>0.8</v>
      </c>
      <c r="FE17" s="49">
        <f t="shared" si="191"/>
        <v>1.4444444444444444</v>
      </c>
      <c r="FF17" s="49">
        <f t="shared" si="191"/>
        <v>-2.2727272727272728E-2</v>
      </c>
      <c r="FG17" s="49">
        <f t="shared" si="191"/>
        <v>-2.3255813953488372E-2</v>
      </c>
      <c r="FH17" s="49">
        <f t="shared" si="191"/>
        <v>-0.14285714285714285</v>
      </c>
      <c r="FI17" s="49">
        <f t="shared" si="191"/>
        <v>2.2916666666666665</v>
      </c>
      <c r="FJ17" s="49">
        <f t="shared" si="191"/>
        <v>-0.20675105485232068</v>
      </c>
      <c r="FK17" s="49">
        <f t="shared" si="191"/>
        <v>-0.13297872340425532</v>
      </c>
      <c r="FL17" s="49">
        <f t="shared" si="191"/>
        <v>0.84662576687116564</v>
      </c>
      <c r="FM17" s="49">
        <f t="shared" si="191"/>
        <v>-0.46511627906976744</v>
      </c>
      <c r="FN17" s="49">
        <f t="shared" si="191"/>
        <v>4.4347826086956523</v>
      </c>
      <c r="FO17" s="49">
        <f t="shared" si="191"/>
        <v>3.7714285714285714E-2</v>
      </c>
      <c r="FP17" s="49">
        <f t="shared" si="191"/>
        <v>0.49669603524229072</v>
      </c>
      <c r="FQ17" s="49">
        <f>IFERROR((FQ16-CJ16)/CJ16,"")</f>
        <v>7.7621145374449343</v>
      </c>
      <c r="FR17" s="49">
        <f>IFERROR((FR16-CK16)/CK16,"")</f>
        <v>49.68292682926829</v>
      </c>
      <c r="FS17" s="49">
        <f>IFERROR((FS16-CL16)/CL16,"")</f>
        <v>16.512</v>
      </c>
      <c r="FT17" s="49">
        <f>IFERROR((FT16-CM16)/CM16,"")</f>
        <v>79.384615384615387</v>
      </c>
      <c r="FU17" s="49">
        <f>IFERROR((FU16-CI16)/CI16,"")</f>
        <v>17.523364485981308</v>
      </c>
      <c r="FV17" s="49">
        <f>IFERROR((FV16-CJ16)/CJ16,"")</f>
        <v>8.8546255506607938</v>
      </c>
      <c r="FW17" s="49">
        <f>IFERROR((FW16-CK16)/CK16,"")</f>
        <v>61.170731707317074</v>
      </c>
      <c r="FX17" s="49">
        <f>IFERROR((FX16-CL16)/CL16,"")</f>
        <v>17.416</v>
      </c>
      <c r="FY17" s="49">
        <f>IFERROR((FY16-CJ16)/CJ16,"")</f>
        <v>7.0132158590308373</v>
      </c>
      <c r="FZ17" s="49">
        <f>IFERROR((FZ16-CK16)/CK16,"")</f>
        <v>46.560975609756099</v>
      </c>
      <c r="GA17" s="49">
        <f>IFERROR((GA16-CL16)/CL16,"")</f>
        <v>14.912000000000001</v>
      </c>
      <c r="GB17" s="49">
        <f>IFERROR((GB16-CM16)/CM16,"")</f>
        <v>66.730769230769226</v>
      </c>
      <c r="GC17" s="49">
        <f>IFERROR((GC16-CJ16)/CJ16,"")</f>
        <v>7.5947136563876656</v>
      </c>
      <c r="GD17" s="49">
        <f>IFERROR((GD16-CK16)/CK16,"")</f>
        <v>50.31707317073171</v>
      </c>
      <c r="GE17" s="49">
        <f>IFERROR((GE16-CL16)/CL16,"")</f>
        <v>18</v>
      </c>
      <c r="GF17" s="49">
        <f>IFERROR((GF16-CL16)/CL16,"")</f>
        <v>17.992000000000001</v>
      </c>
      <c r="GG17" s="49">
        <f t="shared" ref="GG17:GK17" si="192">IFERROR((GG16-CI16)/CI16,"")</f>
        <v>21.44859813084112</v>
      </c>
      <c r="GH17" s="49">
        <f t="shared" si="192"/>
        <v>9.7797356828193838</v>
      </c>
      <c r="GI17" s="49">
        <f t="shared" si="192"/>
        <v>53.926829268292686</v>
      </c>
      <c r="GJ17" s="49">
        <f t="shared" si="192"/>
        <v>18.047999999999998</v>
      </c>
      <c r="GK17" s="49">
        <f t="shared" si="192"/>
        <v>90.961538461538467</v>
      </c>
      <c r="GL17" s="49">
        <f>IFERROR((GL16-CI16)/CI16,"")</f>
        <v>20.532710280373831</v>
      </c>
      <c r="GM17" s="49">
        <f>IFERROR((GM16-CJ16)/CJ16,"")</f>
        <v>10.299559471365638</v>
      </c>
      <c r="GN17" s="49">
        <f>IFERROR((GN16-CK16)/CK16,"")</f>
        <v>59.853658536585364</v>
      </c>
      <c r="GO17" s="49">
        <f>IFERROR((GO16-CL16)/CL16,"")</f>
        <v>18.423999999999999</v>
      </c>
      <c r="GP17" s="49">
        <f>IFERROR((GP16-CJ16)/CJ16,"")</f>
        <v>-1</v>
      </c>
      <c r="GQ17" s="49">
        <f>IFERROR((GQ16-CK16)/CK16,"")</f>
        <v>-1</v>
      </c>
      <c r="GR17" s="49">
        <f>IFERROR((GR16-CL16)/CL16,"")</f>
        <v>-1</v>
      </c>
      <c r="GS17" s="49">
        <f>IFERROR((GS16-CM16)/CM16,"")</f>
        <v>-1</v>
      </c>
      <c r="GT17" s="49">
        <f>IFERROR((GT16-CN16)/CN16,"")</f>
        <v>-1</v>
      </c>
    </row>
    <row r="18" spans="2:203" x14ac:dyDescent="0.3">
      <c r="B18" s="75"/>
      <c r="E18" s="52" t="s">
        <v>69</v>
      </c>
      <c r="F18" s="53">
        <v>1521</v>
      </c>
      <c r="G18" s="53">
        <v>1177</v>
      </c>
      <c r="H18" s="53">
        <v>1057</v>
      </c>
      <c r="I18" s="53">
        <v>1981</v>
      </c>
      <c r="J18" s="53">
        <v>2637</v>
      </c>
      <c r="K18" s="53">
        <v>2588</v>
      </c>
      <c r="L18" s="53">
        <v>2473</v>
      </c>
      <c r="M18" s="53">
        <v>2807</v>
      </c>
      <c r="N18" s="53">
        <v>2011</v>
      </c>
      <c r="O18" s="53">
        <v>1341</v>
      </c>
      <c r="P18" s="53">
        <v>4841</v>
      </c>
      <c r="Q18" s="53">
        <v>4393</v>
      </c>
      <c r="R18" s="53">
        <v>4390</v>
      </c>
      <c r="S18" s="53">
        <v>3683</v>
      </c>
      <c r="T18" s="53">
        <v>3052</v>
      </c>
      <c r="U18" s="53">
        <v>2182</v>
      </c>
      <c r="V18" s="53">
        <v>1052</v>
      </c>
      <c r="W18" s="53">
        <v>2838</v>
      </c>
      <c r="X18" s="53">
        <v>2808</v>
      </c>
      <c r="Y18" s="53">
        <v>2221</v>
      </c>
      <c r="Z18" s="53">
        <v>2110</v>
      </c>
      <c r="AA18" s="53">
        <v>2038</v>
      </c>
      <c r="AB18" s="53">
        <v>1430</v>
      </c>
      <c r="AC18" s="53">
        <v>1074</v>
      </c>
      <c r="AD18" s="53">
        <v>1860</v>
      </c>
      <c r="AE18" s="53">
        <v>1834</v>
      </c>
      <c r="AF18" s="53">
        <v>2320</v>
      </c>
      <c r="AG18" s="53">
        <v>2265</v>
      </c>
      <c r="AH18" s="53">
        <v>2200</v>
      </c>
      <c r="AI18" s="53">
        <v>1420</v>
      </c>
      <c r="AJ18" s="53">
        <v>1127</v>
      </c>
      <c r="AK18" s="53">
        <v>2753</v>
      </c>
      <c r="AL18" s="53">
        <v>3133</v>
      </c>
      <c r="AM18" s="53">
        <v>2837</v>
      </c>
      <c r="AN18" s="53">
        <v>2681</v>
      </c>
      <c r="AO18" s="53">
        <v>2413</v>
      </c>
      <c r="AP18" s="53">
        <v>1329</v>
      </c>
      <c r="AQ18" s="53">
        <v>842</v>
      </c>
      <c r="AR18" s="53">
        <v>657</v>
      </c>
      <c r="AS18" s="53">
        <v>2334</v>
      </c>
      <c r="AT18" s="53">
        <v>2010</v>
      </c>
      <c r="AU18" s="53">
        <v>1911</v>
      </c>
      <c r="AV18" s="53">
        <v>1777</v>
      </c>
      <c r="AW18" s="53">
        <v>1141</v>
      </c>
      <c r="AX18" s="53">
        <v>653</v>
      </c>
      <c r="AY18" s="53">
        <v>547</v>
      </c>
      <c r="AZ18" s="53">
        <v>2764</v>
      </c>
      <c r="BA18" s="53">
        <v>2400</v>
      </c>
      <c r="BB18" s="53">
        <v>2065</v>
      </c>
      <c r="BC18" s="53">
        <v>1866</v>
      </c>
      <c r="BD18" s="53">
        <v>1218</v>
      </c>
      <c r="BE18" s="53">
        <v>669</v>
      </c>
      <c r="BF18" s="53">
        <v>2452</v>
      </c>
      <c r="BG18" s="53">
        <v>2018</v>
      </c>
      <c r="BH18" s="53">
        <v>2384</v>
      </c>
      <c r="BI18" s="53">
        <v>2332</v>
      </c>
      <c r="BJ18" s="53">
        <v>2240</v>
      </c>
      <c r="BK18" s="53">
        <v>1338</v>
      </c>
      <c r="BL18" s="53">
        <v>854</v>
      </c>
      <c r="BM18" s="53">
        <v>2605</v>
      </c>
      <c r="BN18" s="53">
        <v>2439</v>
      </c>
      <c r="BO18" s="53">
        <v>2658</v>
      </c>
      <c r="BP18" s="53">
        <v>2312</v>
      </c>
      <c r="BQ18" s="53">
        <v>2272</v>
      </c>
      <c r="BR18" s="53">
        <v>1378</v>
      </c>
      <c r="BS18" s="53">
        <v>840</v>
      </c>
      <c r="BT18" s="53">
        <v>2960</v>
      </c>
      <c r="BU18" s="53">
        <v>2541</v>
      </c>
      <c r="BV18" s="53">
        <v>1913</v>
      </c>
      <c r="BW18" s="53">
        <v>1822</v>
      </c>
      <c r="BX18" s="53">
        <v>1613</v>
      </c>
      <c r="BY18" s="53">
        <v>840</v>
      </c>
      <c r="BZ18" s="53">
        <v>564</v>
      </c>
      <c r="CA18" s="53">
        <v>1600</v>
      </c>
      <c r="CB18" s="53">
        <v>1515</v>
      </c>
      <c r="CC18" s="53">
        <v>1359</v>
      </c>
      <c r="CD18" s="53">
        <v>1254</v>
      </c>
      <c r="CE18" s="53">
        <v>1153</v>
      </c>
      <c r="CF18" s="53">
        <v>670</v>
      </c>
      <c r="CG18" s="53">
        <v>445</v>
      </c>
      <c r="CH18" s="53">
        <v>558</v>
      </c>
      <c r="CI18" s="53">
        <v>1247</v>
      </c>
      <c r="CJ18" s="53">
        <v>1057</v>
      </c>
      <c r="CK18" s="53">
        <v>983</v>
      </c>
      <c r="CL18" s="53">
        <v>904</v>
      </c>
      <c r="CM18" s="53">
        <v>575</v>
      </c>
      <c r="CN18" s="53">
        <v>372</v>
      </c>
      <c r="CO18" s="53">
        <v>1090</v>
      </c>
      <c r="CP18" s="53">
        <v>979</v>
      </c>
      <c r="CQ18" s="53">
        <v>926</v>
      </c>
      <c r="CR18" s="53">
        <v>858</v>
      </c>
      <c r="CS18" s="53">
        <v>762</v>
      </c>
      <c r="CT18" s="53">
        <v>505</v>
      </c>
      <c r="CU18" s="53">
        <v>315</v>
      </c>
      <c r="CV18" s="53">
        <v>1003</v>
      </c>
      <c r="CW18" s="53">
        <v>921</v>
      </c>
      <c r="CX18" s="53">
        <v>964</v>
      </c>
      <c r="CY18" s="53">
        <v>907</v>
      </c>
      <c r="CZ18" s="53">
        <v>791</v>
      </c>
      <c r="DA18" s="53">
        <v>496</v>
      </c>
      <c r="DB18" s="53">
        <v>330</v>
      </c>
      <c r="DC18" s="53">
        <v>930</v>
      </c>
      <c r="DD18" s="53">
        <v>928</v>
      </c>
      <c r="DE18" s="53">
        <v>853</v>
      </c>
      <c r="DF18" s="53">
        <v>886</v>
      </c>
      <c r="DG18" s="53">
        <v>784</v>
      </c>
      <c r="DH18" s="53">
        <v>436</v>
      </c>
      <c r="DI18" s="53">
        <v>302</v>
      </c>
      <c r="DJ18" s="53">
        <v>879</v>
      </c>
      <c r="DK18" s="53">
        <v>836</v>
      </c>
      <c r="DL18" s="53">
        <v>760</v>
      </c>
      <c r="DM18" s="53">
        <v>717</v>
      </c>
      <c r="DN18" s="53">
        <v>658</v>
      </c>
      <c r="DO18" s="53">
        <v>408</v>
      </c>
      <c r="DP18" s="53">
        <v>298</v>
      </c>
      <c r="DQ18" s="53">
        <v>807</v>
      </c>
      <c r="DR18" s="53">
        <v>760</v>
      </c>
      <c r="DS18" s="53">
        <v>727</v>
      </c>
      <c r="DT18" s="53">
        <v>669</v>
      </c>
      <c r="DU18" s="53">
        <v>639</v>
      </c>
      <c r="DV18" s="53">
        <v>379</v>
      </c>
      <c r="DW18" s="53">
        <v>272</v>
      </c>
      <c r="DX18" s="53">
        <v>317</v>
      </c>
      <c r="DY18" s="53">
        <v>846</v>
      </c>
      <c r="DZ18" s="53">
        <v>797</v>
      </c>
      <c r="EA18" s="53">
        <v>720</v>
      </c>
      <c r="EB18" s="53">
        <v>652</v>
      </c>
      <c r="EC18" s="53">
        <v>429</v>
      </c>
      <c r="ED18" s="53">
        <v>304</v>
      </c>
      <c r="EE18" s="53">
        <v>854</v>
      </c>
      <c r="EF18" s="53">
        <v>814</v>
      </c>
      <c r="EG18" s="53">
        <v>723</v>
      </c>
      <c r="EH18" s="53">
        <v>421</v>
      </c>
      <c r="EI18" s="53">
        <v>378</v>
      </c>
      <c r="EJ18" s="53">
        <v>273</v>
      </c>
      <c r="EK18" s="53">
        <v>226</v>
      </c>
      <c r="EL18" s="53">
        <v>853</v>
      </c>
      <c r="EM18" s="53">
        <v>716</v>
      </c>
      <c r="EN18" s="53">
        <v>684</v>
      </c>
      <c r="EO18" s="53">
        <v>622</v>
      </c>
      <c r="EP18" s="53">
        <v>569</v>
      </c>
      <c r="EQ18" s="53">
        <v>360</v>
      </c>
      <c r="ER18" s="53">
        <v>277</v>
      </c>
      <c r="ES18" s="53">
        <v>694</v>
      </c>
      <c r="ET18" s="53">
        <v>636</v>
      </c>
      <c r="EU18" s="53">
        <v>604</v>
      </c>
      <c r="EV18" s="53">
        <v>579</v>
      </c>
      <c r="EW18" s="53">
        <v>548</v>
      </c>
      <c r="EX18" s="53">
        <v>358</v>
      </c>
      <c r="EY18" s="53">
        <v>249</v>
      </c>
      <c r="EZ18" s="53">
        <v>664</v>
      </c>
      <c r="FA18" s="53">
        <v>622</v>
      </c>
      <c r="FB18" s="53">
        <v>588</v>
      </c>
      <c r="FC18" s="53">
        <v>619</v>
      </c>
      <c r="FD18" s="53">
        <v>577</v>
      </c>
      <c r="FE18" s="53">
        <v>398</v>
      </c>
      <c r="FF18" s="53">
        <v>271</v>
      </c>
      <c r="FG18" s="53">
        <v>1029</v>
      </c>
      <c r="FH18" s="53">
        <v>953</v>
      </c>
      <c r="FI18" s="53">
        <v>902</v>
      </c>
      <c r="FJ18" s="53">
        <v>723</v>
      </c>
      <c r="FK18" s="53">
        <v>667</v>
      </c>
      <c r="FL18" s="53">
        <v>380</v>
      </c>
      <c r="FM18" s="53">
        <v>273</v>
      </c>
      <c r="FN18" s="53">
        <v>1069</v>
      </c>
      <c r="FO18" s="53">
        <v>985</v>
      </c>
      <c r="FP18" s="53">
        <v>694</v>
      </c>
      <c r="FQ18" s="53">
        <v>1880</v>
      </c>
      <c r="FR18" s="53">
        <v>1590</v>
      </c>
      <c r="FS18" s="53">
        <v>1095</v>
      </c>
      <c r="FT18" s="53">
        <v>897</v>
      </c>
      <c r="FU18" s="53">
        <v>2097</v>
      </c>
      <c r="FV18" s="53">
        <v>2023</v>
      </c>
      <c r="FW18" s="53">
        <v>1893</v>
      </c>
      <c r="FX18" s="53">
        <v>2094</v>
      </c>
      <c r="FY18" s="53">
        <v>1892</v>
      </c>
      <c r="FZ18" s="53">
        <v>1242</v>
      </c>
      <c r="GA18" s="53">
        <v>833</v>
      </c>
      <c r="GB18" s="53">
        <v>2632</v>
      </c>
      <c r="GC18" s="53">
        <v>2508</v>
      </c>
      <c r="GD18" s="53">
        <v>3923</v>
      </c>
      <c r="GE18" s="53">
        <v>4185</v>
      </c>
      <c r="GF18" s="53">
        <v>4313</v>
      </c>
      <c r="GG18" s="53">
        <v>3219</v>
      </c>
      <c r="GH18" s="53">
        <v>2437</v>
      </c>
      <c r="GI18" s="53">
        <v>3438</v>
      </c>
      <c r="GJ18" s="53">
        <v>3384</v>
      </c>
      <c r="GK18" s="53">
        <v>3669</v>
      </c>
      <c r="GL18" s="53">
        <v>3446</v>
      </c>
      <c r="GM18" s="53">
        <v>2961</v>
      </c>
      <c r="GN18" s="53">
        <v>1719</v>
      </c>
      <c r="GO18" s="53">
        <v>1147</v>
      </c>
      <c r="GP18" s="53"/>
      <c r="GQ18" s="53"/>
      <c r="GR18" s="53"/>
      <c r="GS18" s="53"/>
      <c r="GT18" s="53"/>
    </row>
    <row r="19" spans="2:203" x14ac:dyDescent="0.3">
      <c r="B19" s="75"/>
      <c r="E19" s="51" t="s">
        <v>68</v>
      </c>
      <c r="F19" s="3">
        <f t="shared" ref="F19:AK19" si="193">F18+F16</f>
        <v>1521</v>
      </c>
      <c r="G19" s="3">
        <f t="shared" si="193"/>
        <v>1177</v>
      </c>
      <c r="H19" s="3">
        <f t="shared" si="193"/>
        <v>1057</v>
      </c>
      <c r="I19" s="3">
        <f t="shared" si="193"/>
        <v>1981</v>
      </c>
      <c r="J19" s="3">
        <f t="shared" si="193"/>
        <v>2637</v>
      </c>
      <c r="K19" s="3">
        <f t="shared" si="193"/>
        <v>3597</v>
      </c>
      <c r="L19" s="3">
        <f t="shared" si="193"/>
        <v>3869</v>
      </c>
      <c r="M19" s="3">
        <f t="shared" si="193"/>
        <v>4497</v>
      </c>
      <c r="N19" s="3">
        <f t="shared" si="193"/>
        <v>4195</v>
      </c>
      <c r="O19" s="3">
        <f t="shared" si="193"/>
        <v>3809</v>
      </c>
      <c r="P19" s="3">
        <f t="shared" si="193"/>
        <v>7700</v>
      </c>
      <c r="Q19" s="3">
        <f t="shared" si="193"/>
        <v>8404</v>
      </c>
      <c r="R19" s="3">
        <f t="shared" si="193"/>
        <v>7122</v>
      </c>
      <c r="S19" s="3">
        <f t="shared" si="193"/>
        <v>7283</v>
      </c>
      <c r="T19" s="3">
        <f t="shared" si="193"/>
        <v>6662</v>
      </c>
      <c r="U19" s="3">
        <f t="shared" si="193"/>
        <v>6504</v>
      </c>
      <c r="V19" s="3">
        <f t="shared" si="193"/>
        <v>6107</v>
      </c>
      <c r="W19" s="3">
        <f t="shared" si="193"/>
        <v>7490</v>
      </c>
      <c r="X19" s="3">
        <f t="shared" si="193"/>
        <v>7212</v>
      </c>
      <c r="Y19" s="3">
        <f t="shared" si="193"/>
        <v>6108</v>
      </c>
      <c r="Z19" s="3">
        <f t="shared" si="193"/>
        <v>6259</v>
      </c>
      <c r="AA19" s="3">
        <f t="shared" si="193"/>
        <v>6022</v>
      </c>
      <c r="AB19" s="3">
        <f t="shared" si="193"/>
        <v>5008</v>
      </c>
      <c r="AC19" s="3">
        <f t="shared" si="193"/>
        <v>4846</v>
      </c>
      <c r="AD19" s="3">
        <f t="shared" si="193"/>
        <v>4941</v>
      </c>
      <c r="AE19" s="3">
        <f t="shared" si="193"/>
        <v>5240</v>
      </c>
      <c r="AF19" s="3">
        <f t="shared" si="193"/>
        <v>5832</v>
      </c>
      <c r="AG19" s="3">
        <f t="shared" si="193"/>
        <v>5839</v>
      </c>
      <c r="AH19" s="3">
        <f t="shared" si="193"/>
        <v>5240</v>
      </c>
      <c r="AI19" s="3">
        <f t="shared" si="193"/>
        <v>4610</v>
      </c>
      <c r="AJ19" s="3">
        <f t="shared" si="193"/>
        <v>4425</v>
      </c>
      <c r="AK19" s="3">
        <f t="shared" si="193"/>
        <v>6913</v>
      </c>
      <c r="AL19" s="3">
        <f t="shared" ref="AL19:BD19" si="194">AL18+AL16</f>
        <v>8243</v>
      </c>
      <c r="AM19" s="3">
        <f t="shared" si="194"/>
        <v>7856</v>
      </c>
      <c r="AN19" s="3">
        <f t="shared" si="194"/>
        <v>7175</v>
      </c>
      <c r="AO19" s="3">
        <f t="shared" si="194"/>
        <v>7122</v>
      </c>
      <c r="AP19" s="3">
        <f t="shared" si="194"/>
        <v>5988</v>
      </c>
      <c r="AQ19" s="3">
        <f t="shared" si="194"/>
        <v>5413</v>
      </c>
      <c r="AR19" s="3">
        <f t="shared" si="194"/>
        <v>4736</v>
      </c>
      <c r="AS19" s="3">
        <f t="shared" si="194"/>
        <v>5492</v>
      </c>
      <c r="AT19" s="3">
        <f t="shared" si="194"/>
        <v>5439</v>
      </c>
      <c r="AU19" s="3">
        <f t="shared" si="194"/>
        <v>4333</v>
      </c>
      <c r="AV19" s="3">
        <f t="shared" si="194"/>
        <v>3434</v>
      </c>
      <c r="AW19" s="3">
        <f t="shared" si="194"/>
        <v>2546</v>
      </c>
      <c r="AX19" s="3">
        <f t="shared" si="194"/>
        <v>1954</v>
      </c>
      <c r="AY19" s="3">
        <f t="shared" si="194"/>
        <v>1209</v>
      </c>
      <c r="AZ19" s="3">
        <f t="shared" si="194"/>
        <v>3074</v>
      </c>
      <c r="BA19" s="3">
        <f t="shared" si="194"/>
        <v>3102</v>
      </c>
      <c r="BB19" s="3">
        <f t="shared" si="194"/>
        <v>2996</v>
      </c>
      <c r="BC19" s="3">
        <f t="shared" si="194"/>
        <v>2801</v>
      </c>
      <c r="BD19" s="3">
        <f t="shared" si="194"/>
        <v>2430</v>
      </c>
      <c r="BE19" s="3">
        <f t="shared" ref="BE19:CD19" si="195">BE18+BE16</f>
        <v>1986</v>
      </c>
      <c r="BF19" s="3">
        <f t="shared" si="195"/>
        <v>3543</v>
      </c>
      <c r="BG19" s="3">
        <f t="shared" ref="BG19" si="196">BG18+BG16</f>
        <v>3301</v>
      </c>
      <c r="BH19" s="3">
        <f t="shared" si="195"/>
        <v>3921</v>
      </c>
      <c r="BI19" s="3">
        <f t="shared" ref="BI19" si="197">BI18+BI16</f>
        <v>4115</v>
      </c>
      <c r="BJ19" s="3">
        <f t="shared" si="195"/>
        <v>4183</v>
      </c>
      <c r="BK19" s="3">
        <f t="shared" ref="BK19" si="198">BK18+BK16</f>
        <v>2973</v>
      </c>
      <c r="BL19" s="3">
        <f t="shared" si="195"/>
        <v>2582</v>
      </c>
      <c r="BM19" s="3">
        <f t="shared" ref="BM19:BN19" si="199">BM18+BM16</f>
        <v>4453</v>
      </c>
      <c r="BN19" s="3">
        <f t="shared" si="199"/>
        <v>4528</v>
      </c>
      <c r="BO19" s="3">
        <f t="shared" si="195"/>
        <v>4713</v>
      </c>
      <c r="BP19" s="3">
        <f t="shared" ref="BP19" si="200">BP18+BP16</f>
        <v>4218</v>
      </c>
      <c r="BQ19" s="3">
        <f t="shared" si="195"/>
        <v>3742</v>
      </c>
      <c r="BR19" s="3">
        <f t="shared" ref="BR19" si="201">BR18+BR16</f>
        <v>2498</v>
      </c>
      <c r="BS19" s="3">
        <f t="shared" si="195"/>
        <v>1687</v>
      </c>
      <c r="BT19" s="3">
        <f t="shared" si="195"/>
        <v>3629</v>
      </c>
      <c r="BU19" s="3">
        <f t="shared" ref="BU19:BV19" si="202">BU18+BU16</f>
        <v>2994</v>
      </c>
      <c r="BV19" s="3">
        <f t="shared" si="202"/>
        <v>2021</v>
      </c>
      <c r="BW19" s="3">
        <f t="shared" si="195"/>
        <v>2015</v>
      </c>
      <c r="BX19" s="3">
        <f t="shared" si="195"/>
        <v>1859</v>
      </c>
      <c r="BY19" s="3">
        <f t="shared" ref="BY19:BZ19" si="203">BY18+BY16</f>
        <v>1098</v>
      </c>
      <c r="BZ19" s="3">
        <f t="shared" si="203"/>
        <v>970</v>
      </c>
      <c r="CA19" s="3">
        <f t="shared" si="195"/>
        <v>1826</v>
      </c>
      <c r="CB19" s="3">
        <f t="shared" si="195"/>
        <v>1720</v>
      </c>
      <c r="CC19" s="3">
        <f t="shared" ref="CC19" si="204">CC18+CC16</f>
        <v>1582</v>
      </c>
      <c r="CD19" s="3">
        <f t="shared" si="195"/>
        <v>1457</v>
      </c>
      <c r="CE19" s="3">
        <f t="shared" ref="CE19:EA19" si="205">CE11+CE16</f>
        <v>944</v>
      </c>
      <c r="CF19" s="3">
        <f t="shared" si="205"/>
        <v>683</v>
      </c>
      <c r="CG19" s="3">
        <f t="shared" si="205"/>
        <v>447</v>
      </c>
      <c r="CH19" s="3">
        <f t="shared" si="205"/>
        <v>698</v>
      </c>
      <c r="CI19" s="3">
        <f t="shared" si="205"/>
        <v>1197</v>
      </c>
      <c r="CJ19" s="3">
        <f t="shared" si="205"/>
        <v>1208</v>
      </c>
      <c r="CK19" s="3">
        <f t="shared" si="205"/>
        <v>1009</v>
      </c>
      <c r="CL19" s="3">
        <f t="shared" si="205"/>
        <v>913</v>
      </c>
      <c r="CM19" s="3">
        <f t="shared" si="205"/>
        <v>555</v>
      </c>
      <c r="CN19" s="3">
        <f t="shared" si="205"/>
        <v>400</v>
      </c>
      <c r="CO19" s="3">
        <f t="shared" si="205"/>
        <v>1015</v>
      </c>
      <c r="CP19" s="3">
        <f t="shared" si="205"/>
        <v>1111</v>
      </c>
      <c r="CQ19" s="3">
        <f t="shared" si="205"/>
        <v>873</v>
      </c>
      <c r="CR19" s="3">
        <f t="shared" si="205"/>
        <v>993</v>
      </c>
      <c r="CS19" s="3">
        <f t="shared" si="205"/>
        <v>915</v>
      </c>
      <c r="CT19" s="3">
        <f t="shared" si="205"/>
        <v>578</v>
      </c>
      <c r="CU19" s="3">
        <f t="shared" si="205"/>
        <v>411</v>
      </c>
      <c r="CV19" s="3">
        <f t="shared" si="205"/>
        <v>1078</v>
      </c>
      <c r="CW19" s="3">
        <f t="shared" si="205"/>
        <v>1240</v>
      </c>
      <c r="CX19" s="3">
        <f t="shared" si="205"/>
        <v>1301</v>
      </c>
      <c r="CY19" s="3">
        <f t="shared" si="205"/>
        <v>1118</v>
      </c>
      <c r="CZ19" s="3">
        <f t="shared" si="205"/>
        <v>966</v>
      </c>
      <c r="DA19" s="3">
        <f t="shared" si="205"/>
        <v>493</v>
      </c>
      <c r="DB19" s="3">
        <f t="shared" si="205"/>
        <v>402</v>
      </c>
      <c r="DC19" s="3">
        <f t="shared" si="205"/>
        <v>926</v>
      </c>
      <c r="DD19" s="3">
        <f t="shared" si="205"/>
        <v>931</v>
      </c>
      <c r="DE19" s="3">
        <f t="shared" ref="DE19:DZ19" si="206">DE11+DE16</f>
        <v>833</v>
      </c>
      <c r="DF19" s="3">
        <f t="shared" si="206"/>
        <v>733</v>
      </c>
      <c r="DG19" s="3">
        <f t="shared" si="206"/>
        <v>826</v>
      </c>
      <c r="DH19" s="3">
        <f t="shared" ref="DH19:DI19" si="207">DH11+DH16</f>
        <v>630</v>
      </c>
      <c r="DI19" s="3">
        <f t="shared" si="207"/>
        <v>432</v>
      </c>
      <c r="DJ19" s="3">
        <f t="shared" si="206"/>
        <v>907</v>
      </c>
      <c r="DK19" s="3">
        <f t="shared" si="206"/>
        <v>872</v>
      </c>
      <c r="DL19" s="3">
        <f t="shared" ref="DL19:DQ19" si="208">DL11+DL16</f>
        <v>860</v>
      </c>
      <c r="DM19" s="3">
        <f t="shared" si="208"/>
        <v>697</v>
      </c>
      <c r="DN19" s="3">
        <f t="shared" ref="DN19:DP19" si="209">DN11+DN16</f>
        <v>541</v>
      </c>
      <c r="DO19" s="3">
        <f t="shared" ref="DO19" si="210">DO11+DO16</f>
        <v>433</v>
      </c>
      <c r="DP19" s="3">
        <f t="shared" si="209"/>
        <v>311</v>
      </c>
      <c r="DQ19" s="3">
        <f t="shared" si="208"/>
        <v>889</v>
      </c>
      <c r="DR19" s="3">
        <f t="shared" si="206"/>
        <v>823</v>
      </c>
      <c r="DS19" s="3">
        <f t="shared" ref="DS19" si="211">DS11+DS16</f>
        <v>781</v>
      </c>
      <c r="DT19" s="3">
        <f t="shared" si="206"/>
        <v>726</v>
      </c>
      <c r="DU19" s="3">
        <f t="shared" ref="DU19:DV19" si="212">DU11+DU16</f>
        <v>671</v>
      </c>
      <c r="DV19" s="3">
        <f t="shared" si="212"/>
        <v>536</v>
      </c>
      <c r="DW19" s="3">
        <f t="shared" si="206"/>
        <v>381</v>
      </c>
      <c r="DX19" s="3">
        <f t="shared" ref="DX19:DY19" si="213">DX11+DX16</f>
        <v>433</v>
      </c>
      <c r="DY19" s="3">
        <f t="shared" si="213"/>
        <v>925</v>
      </c>
      <c r="DZ19" s="3">
        <f t="shared" si="206"/>
        <v>820</v>
      </c>
      <c r="EA19" s="3">
        <f t="shared" si="205"/>
        <v>810</v>
      </c>
      <c r="EB19" s="3">
        <f t="shared" ref="EB19:FE19" si="214">EB11+EB16</f>
        <v>793</v>
      </c>
      <c r="EC19" s="3">
        <f t="shared" ref="EC19:ED19" si="215">EC11+EC16</f>
        <v>457</v>
      </c>
      <c r="ED19" s="3">
        <f t="shared" si="215"/>
        <v>349</v>
      </c>
      <c r="EE19" s="3">
        <f t="shared" si="214"/>
        <v>891</v>
      </c>
      <c r="EF19" s="3">
        <f t="shared" ref="EF19" si="216">EF11+EF16</f>
        <v>675</v>
      </c>
      <c r="EG19" s="3">
        <f t="shared" si="214"/>
        <v>713</v>
      </c>
      <c r="EH19" s="3">
        <f t="shared" ref="EH19:EI19" si="217">EH11+EH16</f>
        <v>393</v>
      </c>
      <c r="EI19" s="3">
        <f t="shared" si="217"/>
        <v>378</v>
      </c>
      <c r="EJ19" s="3">
        <f t="shared" si="214"/>
        <v>301</v>
      </c>
      <c r="EK19" s="3">
        <f t="shared" ref="EK19:EL19" si="218">EK11+EK16</f>
        <v>273</v>
      </c>
      <c r="EL19" s="3">
        <f t="shared" si="218"/>
        <v>844</v>
      </c>
      <c r="EM19" s="3">
        <f t="shared" si="214"/>
        <v>634</v>
      </c>
      <c r="EN19" s="3">
        <f t="shared" si="214"/>
        <v>672</v>
      </c>
      <c r="EO19" s="3">
        <f t="shared" si="214"/>
        <v>617</v>
      </c>
      <c r="EP19" s="3">
        <f t="shared" ref="EP19" si="219">EP11+EP16</f>
        <v>561</v>
      </c>
      <c r="EQ19" s="3">
        <f t="shared" ref="EQ19:ER19" si="220">EQ11+EQ16</f>
        <v>434</v>
      </c>
      <c r="ER19" s="3">
        <f t="shared" si="220"/>
        <v>314</v>
      </c>
      <c r="ES19" s="3">
        <f t="shared" si="214"/>
        <v>711</v>
      </c>
      <c r="ET19" s="3">
        <f t="shared" ref="ET19:EW19" si="221">ET11+ET16</f>
        <v>648</v>
      </c>
      <c r="EU19" s="3">
        <f t="shared" ref="EU19:EV19" si="222">EU11+EU16</f>
        <v>626</v>
      </c>
      <c r="EV19" s="3">
        <f t="shared" si="222"/>
        <v>541</v>
      </c>
      <c r="EW19" s="3">
        <f t="shared" si="221"/>
        <v>541</v>
      </c>
      <c r="EX19" s="3">
        <f t="shared" si="214"/>
        <v>362</v>
      </c>
      <c r="EY19" s="3">
        <f t="shared" si="214"/>
        <v>307</v>
      </c>
      <c r="EZ19" s="3">
        <f t="shared" si="214"/>
        <v>634</v>
      </c>
      <c r="FA19" s="3">
        <f t="shared" si="214"/>
        <v>644</v>
      </c>
      <c r="FB19" s="3">
        <f t="shared" ref="FB19:FD19" si="223">FB11+FB16</f>
        <v>702</v>
      </c>
      <c r="FC19" s="3">
        <f t="shared" si="223"/>
        <v>697</v>
      </c>
      <c r="FD19" s="3">
        <f t="shared" si="223"/>
        <v>819</v>
      </c>
      <c r="FE19" s="3">
        <f t="shared" si="214"/>
        <v>594</v>
      </c>
      <c r="FF19" s="3">
        <f t="shared" ref="FF19:FP19" si="224">FF11+FF16</f>
        <v>546</v>
      </c>
      <c r="FG19" s="3">
        <f t="shared" si="224"/>
        <v>1218</v>
      </c>
      <c r="FH19" s="3">
        <f t="shared" si="224"/>
        <v>911</v>
      </c>
      <c r="FI19" s="3">
        <f t="shared" si="224"/>
        <v>1018</v>
      </c>
      <c r="FJ19" s="3">
        <f t="shared" si="224"/>
        <v>953</v>
      </c>
      <c r="FK19" s="3">
        <f t="shared" si="224"/>
        <v>1023</v>
      </c>
      <c r="FL19" s="3">
        <f t="shared" si="224"/>
        <v>955</v>
      </c>
      <c r="FM19" s="3">
        <f t="shared" si="224"/>
        <v>709</v>
      </c>
      <c r="FN19" s="3">
        <f t="shared" si="224"/>
        <v>2770</v>
      </c>
      <c r="FO19" s="3">
        <f t="shared" si="224"/>
        <v>2632</v>
      </c>
      <c r="FP19" s="3">
        <f t="shared" si="224"/>
        <v>2407</v>
      </c>
      <c r="FQ19" s="3">
        <f t="shared" ref="FQ19:FU19" si="225">FQ11+FR16</f>
        <v>4487</v>
      </c>
      <c r="FR19" s="3">
        <f t="shared" si="225"/>
        <v>4121</v>
      </c>
      <c r="FS19" s="3">
        <f t="shared" si="225"/>
        <v>3120</v>
      </c>
      <c r="FT19" s="3">
        <f t="shared" si="225"/>
        <v>2666</v>
      </c>
      <c r="FU19" s="3">
        <f t="shared" si="225"/>
        <v>4793</v>
      </c>
      <c r="FV19" s="3">
        <f t="shared" ref="FV19:FY19" si="226">FV11+FW16</f>
        <v>4904</v>
      </c>
      <c r="FW19" s="3">
        <f t="shared" si="226"/>
        <v>4386</v>
      </c>
      <c r="FX19" s="3">
        <f t="shared" si="226"/>
        <v>4134</v>
      </c>
      <c r="FY19" s="3">
        <f t="shared" si="226"/>
        <v>3989</v>
      </c>
      <c r="FZ19" s="3">
        <f t="shared" ref="FZ19:GB19" si="227">FZ11+GA16</f>
        <v>3309</v>
      </c>
      <c r="GA19" s="3">
        <f t="shared" si="227"/>
        <v>2333</v>
      </c>
      <c r="GB19" s="3">
        <f t="shared" si="227"/>
        <v>4862</v>
      </c>
      <c r="GC19" s="3">
        <f t="shared" ref="GC19" si="228">GC11+GD16</f>
        <v>4997</v>
      </c>
      <c r="GD19" s="3">
        <f t="shared" ref="GD19" si="229">GD11+GE16</f>
        <v>5680</v>
      </c>
      <c r="GE19" s="3">
        <f t="shared" ref="GE19:GH19" si="230">GE11+GF16</f>
        <v>5313</v>
      </c>
      <c r="GF19" s="3">
        <f t="shared" si="230"/>
        <v>5178</v>
      </c>
      <c r="GG19" s="3">
        <f t="shared" si="230"/>
        <v>4066</v>
      </c>
      <c r="GH19" s="3">
        <f t="shared" si="230"/>
        <v>3265</v>
      </c>
      <c r="GI19" s="3">
        <f t="shared" ref="GI19:GT19" si="231">GI11+GJ16</f>
        <v>5566</v>
      </c>
      <c r="GJ19" s="3">
        <f t="shared" ref="GJ19:GK19" si="232">GJ11+GJ16</f>
        <v>6114</v>
      </c>
      <c r="GK19" s="3">
        <f t="shared" ref="GK19:GP19" si="233">GK11+GK16</f>
        <v>6039</v>
      </c>
      <c r="GL19" s="3">
        <f t="shared" si="233"/>
        <v>5727</v>
      </c>
      <c r="GM19" s="3">
        <f t="shared" si="233"/>
        <v>5467</v>
      </c>
      <c r="GN19" s="3">
        <f t="shared" si="233"/>
        <v>3891</v>
      </c>
      <c r="GO19" s="3">
        <f t="shared" si="233"/>
        <v>3264</v>
      </c>
      <c r="GP19" s="3">
        <f t="shared" si="233"/>
        <v>0</v>
      </c>
      <c r="GQ19" s="3">
        <f t="shared" si="231"/>
        <v>0</v>
      </c>
      <c r="GR19" s="3">
        <f t="shared" si="231"/>
        <v>0</v>
      </c>
      <c r="GS19" s="3">
        <f t="shared" si="231"/>
        <v>0</v>
      </c>
      <c r="GT19" s="3">
        <f t="shared" si="231"/>
        <v>0</v>
      </c>
    </row>
    <row r="20" spans="2:203" s="32" customFormat="1" x14ac:dyDescent="0.3">
      <c r="B20" s="75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48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21"/>
    </row>
    <row r="21" spans="2:203" ht="72" x14ac:dyDescent="0.3">
      <c r="B21" s="75"/>
      <c r="I21" s="22" t="s">
        <v>74</v>
      </c>
      <c r="J21" s="22" t="s">
        <v>75</v>
      </c>
      <c r="K21" s="22" t="s">
        <v>76</v>
      </c>
      <c r="L21" s="22" t="s">
        <v>76</v>
      </c>
      <c r="M21" s="22" t="s">
        <v>77</v>
      </c>
      <c r="N21" s="22" t="s">
        <v>78</v>
      </c>
      <c r="O21" s="22" t="s">
        <v>78</v>
      </c>
      <c r="P21" s="22" t="s">
        <v>74</v>
      </c>
      <c r="Q21" s="22" t="s">
        <v>79</v>
      </c>
      <c r="R21" s="22" t="s">
        <v>80</v>
      </c>
      <c r="S21" s="22" t="s">
        <v>41</v>
      </c>
      <c r="T21" s="22" t="s">
        <v>43</v>
      </c>
      <c r="U21" s="22" t="s">
        <v>44</v>
      </c>
      <c r="V21" s="22" t="s">
        <v>45</v>
      </c>
      <c r="W21" s="22" t="s">
        <v>56</v>
      </c>
      <c r="X21" s="22" t="s">
        <v>57</v>
      </c>
      <c r="Y21" s="22" t="s">
        <v>58</v>
      </c>
      <c r="Z21" s="22" t="s">
        <v>76</v>
      </c>
      <c r="AA21" s="22" t="s">
        <v>64</v>
      </c>
      <c r="AB21" s="22" t="s">
        <v>64</v>
      </c>
      <c r="AC21" s="22" t="s">
        <v>64</v>
      </c>
      <c r="AD21" s="22" t="s">
        <v>81</v>
      </c>
      <c r="AE21" s="22" t="s">
        <v>81</v>
      </c>
      <c r="AF21" s="22" t="s">
        <v>81</v>
      </c>
      <c r="AG21" s="22" t="s">
        <v>82</v>
      </c>
      <c r="AH21" s="22" t="s">
        <v>81</v>
      </c>
      <c r="AI21" s="22" t="s">
        <v>82</v>
      </c>
      <c r="AJ21" s="22" t="s">
        <v>83</v>
      </c>
      <c r="AK21" s="22" t="s">
        <v>84</v>
      </c>
      <c r="AL21" s="22" t="s">
        <v>71</v>
      </c>
      <c r="AM21" s="22" t="s">
        <v>71</v>
      </c>
      <c r="AN21" s="22" t="s">
        <v>72</v>
      </c>
      <c r="AO21" s="22" t="s">
        <v>85</v>
      </c>
      <c r="AP21" s="22" t="s">
        <v>86</v>
      </c>
      <c r="AQ21" s="22" t="s">
        <v>71</v>
      </c>
      <c r="AR21" s="22" t="s">
        <v>86</v>
      </c>
      <c r="AS21" s="22" t="s">
        <v>81</v>
      </c>
      <c r="AT21" s="22" t="s">
        <v>71</v>
      </c>
      <c r="AU21" s="22" t="s">
        <v>81</v>
      </c>
      <c r="AV21" s="22" t="s">
        <v>73</v>
      </c>
      <c r="AW21" s="22" t="s">
        <v>73</v>
      </c>
      <c r="AX21" s="22" t="s">
        <v>73</v>
      </c>
      <c r="AY21" s="22" t="s">
        <v>70</v>
      </c>
      <c r="AZ21" s="22" t="s">
        <v>71</v>
      </c>
      <c r="BA21" s="22" t="s">
        <v>71</v>
      </c>
      <c r="BB21" s="22" t="s">
        <v>87</v>
      </c>
      <c r="BC21" s="22" t="s">
        <v>89</v>
      </c>
      <c r="BD21" s="22" t="s">
        <v>89</v>
      </c>
      <c r="BE21" s="22" t="s">
        <v>88</v>
      </c>
      <c r="BF21" s="22" t="s">
        <v>89</v>
      </c>
      <c r="BG21" s="22" t="s">
        <v>89</v>
      </c>
      <c r="BH21" s="22" t="s">
        <v>89</v>
      </c>
      <c r="BI21" s="22" t="s">
        <v>90</v>
      </c>
      <c r="BJ21" s="22" t="s">
        <v>71</v>
      </c>
      <c r="BK21" s="22" t="s">
        <v>71</v>
      </c>
      <c r="BL21" s="22" t="s">
        <v>71</v>
      </c>
      <c r="BM21" s="22" t="s">
        <v>89</v>
      </c>
      <c r="BN21" s="22" t="s">
        <v>88</v>
      </c>
      <c r="BO21" s="22" t="s">
        <v>97</v>
      </c>
      <c r="BP21" s="22" t="s">
        <v>98</v>
      </c>
      <c r="BQ21" s="22" t="s">
        <v>99</v>
      </c>
      <c r="BR21" s="22" t="s">
        <v>99</v>
      </c>
      <c r="BS21" s="22" t="s">
        <v>100</v>
      </c>
      <c r="BT21" s="22" t="s">
        <v>71</v>
      </c>
      <c r="BU21" s="22" t="s">
        <v>71</v>
      </c>
      <c r="BV21" s="22" t="s">
        <v>98</v>
      </c>
      <c r="BW21" s="22" t="s">
        <v>71</v>
      </c>
      <c r="BX21" s="22" t="s">
        <v>71</v>
      </c>
      <c r="BY21" s="22" t="s">
        <v>71</v>
      </c>
      <c r="BZ21" s="22" t="s">
        <v>71</v>
      </c>
      <c r="CA21" s="22" t="s">
        <v>71</v>
      </c>
      <c r="CB21" s="22" t="s">
        <v>71</v>
      </c>
      <c r="CC21" s="22" t="s">
        <v>71</v>
      </c>
      <c r="CD21" s="22" t="s">
        <v>71</v>
      </c>
      <c r="CE21" s="22" t="s">
        <v>71</v>
      </c>
      <c r="CF21" s="22" t="s">
        <v>71</v>
      </c>
      <c r="CG21" s="22" t="s">
        <v>71</v>
      </c>
      <c r="CH21" s="22" t="s">
        <v>89</v>
      </c>
      <c r="CI21" s="22" t="s">
        <v>71</v>
      </c>
      <c r="CJ21" s="22" t="s">
        <v>71</v>
      </c>
      <c r="CK21" s="22" t="s">
        <v>71</v>
      </c>
      <c r="CL21" s="22" t="s">
        <v>71</v>
      </c>
      <c r="CM21" s="22" t="s">
        <v>71</v>
      </c>
      <c r="CN21" s="22" t="s">
        <v>101</v>
      </c>
      <c r="CO21" s="22" t="s">
        <v>102</v>
      </c>
      <c r="CP21" s="22" t="s">
        <v>103</v>
      </c>
      <c r="CQ21" s="22" t="s">
        <v>87</v>
      </c>
      <c r="CR21" s="22" t="s">
        <v>104</v>
      </c>
      <c r="CS21" s="22" t="s">
        <v>106</v>
      </c>
      <c r="CT21" s="22" t="s">
        <v>107</v>
      </c>
      <c r="CU21" s="22" t="s">
        <v>108</v>
      </c>
      <c r="CV21" s="22" t="s">
        <v>104</v>
      </c>
      <c r="CW21" s="22" t="s">
        <v>109</v>
      </c>
      <c r="CX21" s="22" t="s">
        <v>104</v>
      </c>
      <c r="CY21" s="22" t="s">
        <v>71</v>
      </c>
      <c r="CZ21" s="22" t="s">
        <v>87</v>
      </c>
      <c r="DA21" s="22" t="s">
        <v>71</v>
      </c>
      <c r="DB21" s="22" t="s">
        <v>112</v>
      </c>
      <c r="DC21" s="22" t="s">
        <v>87</v>
      </c>
      <c r="DD21" s="22" t="s">
        <v>113</v>
      </c>
      <c r="DE21" s="22" t="s">
        <v>71</v>
      </c>
      <c r="DF21" s="22" t="s">
        <v>71</v>
      </c>
      <c r="DG21" s="22" t="s">
        <v>88</v>
      </c>
      <c r="DH21" s="22" t="s">
        <v>114</v>
      </c>
      <c r="DI21" s="22" t="s">
        <v>89</v>
      </c>
      <c r="DJ21" s="22" t="s">
        <v>115</v>
      </c>
      <c r="DK21" s="22" t="s">
        <v>71</v>
      </c>
      <c r="DL21" s="22" t="s">
        <v>84</v>
      </c>
      <c r="DM21" s="22" t="s">
        <v>116</v>
      </c>
      <c r="DN21" s="22" t="s">
        <v>71</v>
      </c>
      <c r="DO21" s="22" t="s">
        <v>117</v>
      </c>
      <c r="DP21" s="22" t="s">
        <v>71</v>
      </c>
      <c r="DQ21" s="22" t="s">
        <v>104</v>
      </c>
      <c r="DR21" s="22" t="s">
        <v>118</v>
      </c>
      <c r="DS21" s="22" t="s">
        <v>104</v>
      </c>
      <c r="DT21" s="22" t="s">
        <v>104</v>
      </c>
      <c r="DU21" s="22" t="s">
        <v>112</v>
      </c>
      <c r="DV21" s="22" t="s">
        <v>84</v>
      </c>
      <c r="DW21" s="22" t="s">
        <v>84</v>
      </c>
      <c r="DX21" s="22" t="s">
        <v>119</v>
      </c>
      <c r="DY21" s="22" t="s">
        <v>104</v>
      </c>
      <c r="DZ21" s="22" t="s">
        <v>104</v>
      </c>
      <c r="EA21" s="22" t="s">
        <v>108</v>
      </c>
      <c r="EB21" s="22" t="s">
        <v>108</v>
      </c>
      <c r="EC21" s="22" t="s">
        <v>84</v>
      </c>
      <c r="ED21" s="22" t="s">
        <v>120</v>
      </c>
      <c r="EE21" s="22" t="s">
        <v>88</v>
      </c>
      <c r="EF21" s="22" t="s">
        <v>71</v>
      </c>
      <c r="EG21" s="22" t="s">
        <v>71</v>
      </c>
      <c r="EH21" s="22" t="s">
        <v>121</v>
      </c>
      <c r="EI21" s="22" t="s">
        <v>71</v>
      </c>
      <c r="EJ21" s="22" t="s">
        <v>121</v>
      </c>
      <c r="EK21" s="22" t="s">
        <v>104</v>
      </c>
      <c r="EL21" s="22" t="s">
        <v>71</v>
      </c>
      <c r="EM21" s="22" t="s">
        <v>121</v>
      </c>
      <c r="EN21" s="22" t="s">
        <v>71</v>
      </c>
      <c r="EO21" s="22" t="s">
        <v>121</v>
      </c>
      <c r="EP21" s="22" t="s">
        <v>121</v>
      </c>
      <c r="EQ21" s="22" t="s">
        <v>121</v>
      </c>
      <c r="ER21" s="22" t="s">
        <v>121</v>
      </c>
      <c r="ES21" s="22" t="s">
        <v>122</v>
      </c>
      <c r="ET21" s="22" t="s">
        <v>121</v>
      </c>
      <c r="EU21" s="22" t="s">
        <v>104</v>
      </c>
      <c r="EV21" s="22" t="s">
        <v>121</v>
      </c>
      <c r="EW21" s="22" t="s">
        <v>121</v>
      </c>
      <c r="EX21" s="22" t="s">
        <v>121</v>
      </c>
      <c r="EY21" s="22" t="s">
        <v>123</v>
      </c>
      <c r="EZ21" s="22" t="s">
        <v>121</v>
      </c>
      <c r="FA21" s="22" t="s">
        <v>87</v>
      </c>
      <c r="FB21" s="22" t="s">
        <v>84</v>
      </c>
      <c r="FC21" s="22" t="s">
        <v>108</v>
      </c>
      <c r="FD21" s="22" t="s">
        <v>124</v>
      </c>
      <c r="FE21" s="22" t="s">
        <v>124</v>
      </c>
      <c r="FF21" s="22" t="s">
        <v>108</v>
      </c>
      <c r="FG21" s="22" t="s">
        <v>124</v>
      </c>
      <c r="FH21" s="22" t="s">
        <v>125</v>
      </c>
      <c r="FI21" s="22" t="s">
        <v>125</v>
      </c>
      <c r="FJ21" s="22" t="s">
        <v>84</v>
      </c>
      <c r="FK21" s="22" t="s">
        <v>125</v>
      </c>
      <c r="FL21" s="22" t="s">
        <v>125</v>
      </c>
      <c r="FM21" s="22" t="s">
        <v>125</v>
      </c>
      <c r="FN21" s="22" t="s">
        <v>126</v>
      </c>
      <c r="FO21" s="22" t="s">
        <v>126</v>
      </c>
      <c r="FP21" s="22" t="s">
        <v>126</v>
      </c>
      <c r="FQ21" s="22" t="s">
        <v>126</v>
      </c>
      <c r="FR21" s="22" t="s">
        <v>126</v>
      </c>
      <c r="FS21" s="22" t="s">
        <v>125</v>
      </c>
      <c r="FT21" s="22" t="s">
        <v>125</v>
      </c>
      <c r="FU21" s="22" t="s">
        <v>127</v>
      </c>
      <c r="FV21" s="22" t="s">
        <v>125</v>
      </c>
      <c r="FW21" s="22" t="s">
        <v>125</v>
      </c>
      <c r="FX21" s="22" t="s">
        <v>125</v>
      </c>
      <c r="FY21" s="22" t="s">
        <v>125</v>
      </c>
      <c r="FZ21" s="22" t="s">
        <v>125</v>
      </c>
      <c r="GA21" s="22" t="s">
        <v>125</v>
      </c>
      <c r="GB21" s="22" t="s">
        <v>127</v>
      </c>
      <c r="GC21" s="22" t="s">
        <v>127</v>
      </c>
      <c r="GD21" s="22" t="s">
        <v>128</v>
      </c>
      <c r="GE21" s="22" t="s">
        <v>129</v>
      </c>
      <c r="GF21" s="22" t="s">
        <v>129</v>
      </c>
      <c r="GG21" s="22" t="s">
        <v>129</v>
      </c>
      <c r="GH21" s="22" t="s">
        <v>129</v>
      </c>
      <c r="GI21" s="22" t="s">
        <v>129</v>
      </c>
      <c r="GJ21" s="22" t="s">
        <v>122</v>
      </c>
      <c r="GK21" s="22" t="s">
        <v>122</v>
      </c>
      <c r="GL21" s="22" t="s">
        <v>122</v>
      </c>
      <c r="GM21" s="22" t="s">
        <v>131</v>
      </c>
      <c r="GN21" s="22" t="s">
        <v>131</v>
      </c>
      <c r="GO21" s="22" t="s">
        <v>131</v>
      </c>
      <c r="GP21" s="22"/>
      <c r="GQ21" s="22"/>
      <c r="GR21" s="22"/>
      <c r="GS21" s="22"/>
      <c r="GT21" s="22"/>
    </row>
    <row r="22" spans="2:203" x14ac:dyDescent="0.3">
      <c r="B22" s="75"/>
      <c r="F22" s="34"/>
      <c r="G22" s="34"/>
      <c r="H22" s="34"/>
    </row>
    <row r="23" spans="2:203" x14ac:dyDescent="0.3">
      <c r="B23" s="10"/>
      <c r="F23" s="34"/>
      <c r="G23" s="34"/>
      <c r="H23" s="34"/>
      <c r="AI23" s="21" t="s">
        <v>61</v>
      </c>
      <c r="AM23" s="21" t="s">
        <v>62</v>
      </c>
    </row>
    <row r="24" spans="2:203" x14ac:dyDescent="0.3">
      <c r="B24" s="10"/>
      <c r="F24" s="34"/>
      <c r="G24" s="34"/>
      <c r="H24" s="34"/>
      <c r="AI24" s="21" t="s">
        <v>35</v>
      </c>
      <c r="AM24" s="21" t="s">
        <v>59</v>
      </c>
    </row>
    <row r="25" spans="2:203" x14ac:dyDescent="0.3">
      <c r="B25" s="10"/>
      <c r="F25" s="34"/>
      <c r="G25" s="34"/>
      <c r="H25" s="34"/>
      <c r="AI25" s="21" t="s">
        <v>36</v>
      </c>
      <c r="AM25" s="21" t="s">
        <v>60</v>
      </c>
    </row>
    <row r="26" spans="2:203" x14ac:dyDescent="0.3">
      <c r="B26" s="10"/>
      <c r="F26" s="34"/>
      <c r="G26" s="34"/>
      <c r="H26" s="34"/>
      <c r="AI26" s="21" t="s">
        <v>63</v>
      </c>
      <c r="AM26" s="21" t="s">
        <v>65</v>
      </c>
    </row>
    <row r="27" spans="2:203" x14ac:dyDescent="0.3">
      <c r="B27" s="10"/>
      <c r="F27" s="34"/>
      <c r="G27" s="34"/>
      <c r="H27" s="34"/>
      <c r="AI27" s="35" t="s">
        <v>37</v>
      </c>
      <c r="AM27" s="35" t="s">
        <v>37</v>
      </c>
    </row>
    <row r="28" spans="2:203" x14ac:dyDescent="0.3">
      <c r="B28" s="10"/>
      <c r="F28" s="34"/>
      <c r="G28" s="34"/>
      <c r="H28" s="34"/>
      <c r="AI28" s="21" t="s">
        <v>38</v>
      </c>
      <c r="AM28" s="21" t="s">
        <v>38</v>
      </c>
    </row>
    <row r="29" spans="2:203" x14ac:dyDescent="0.3">
      <c r="B29" s="10"/>
      <c r="F29" s="34"/>
      <c r="G29" s="34"/>
      <c r="H29" s="34"/>
      <c r="AI29" s="21" t="s">
        <v>39</v>
      </c>
      <c r="AM29" s="21" t="s">
        <v>39</v>
      </c>
    </row>
    <row r="30" spans="2:203" x14ac:dyDescent="0.3">
      <c r="B30" s="10"/>
      <c r="F30" s="34"/>
      <c r="G30" s="34"/>
      <c r="H30" s="34"/>
    </row>
    <row r="31" spans="2:203" x14ac:dyDescent="0.3">
      <c r="B31" s="10"/>
      <c r="F31" s="34"/>
      <c r="G31" s="34"/>
      <c r="H31" s="34"/>
    </row>
    <row r="32" spans="2:203" x14ac:dyDescent="0.3">
      <c r="B32" s="10"/>
      <c r="F32" s="34"/>
      <c r="G32" s="34"/>
      <c r="H32" s="34"/>
    </row>
    <row r="33" spans="1:204" x14ac:dyDescent="0.3">
      <c r="B33" s="10"/>
      <c r="F33" s="34"/>
      <c r="G33" s="34"/>
      <c r="H33" s="34"/>
      <c r="AI33" s="21" t="s">
        <v>40</v>
      </c>
      <c r="AM33" s="21" t="s">
        <v>40</v>
      </c>
    </row>
    <row r="34" spans="1:204" x14ac:dyDescent="0.3">
      <c r="B34" s="10"/>
      <c r="F34" s="34"/>
      <c r="G34" s="34"/>
      <c r="H34" s="34"/>
      <c r="AI34" s="35"/>
    </row>
    <row r="35" spans="1:204" x14ac:dyDescent="0.3">
      <c r="B35" s="10"/>
      <c r="F35" s="34"/>
      <c r="G35" s="34"/>
      <c r="H35" s="34"/>
      <c r="AI35" s="21" t="s">
        <v>42</v>
      </c>
    </row>
    <row r="36" spans="1:204" x14ac:dyDescent="0.3">
      <c r="B36" s="10"/>
      <c r="F36" s="34"/>
      <c r="G36" s="34"/>
      <c r="H36" s="34"/>
    </row>
    <row r="37" spans="1:204" x14ac:dyDescent="0.3">
      <c r="B37" s="10"/>
      <c r="F37" s="34"/>
      <c r="G37" s="34"/>
      <c r="H37" s="34"/>
    </row>
    <row r="38" spans="1:204" x14ac:dyDescent="0.3">
      <c r="B38" s="10"/>
      <c r="F38" s="34"/>
      <c r="G38" s="34"/>
      <c r="H38" s="34"/>
    </row>
    <row r="39" spans="1:204" x14ac:dyDescent="0.3">
      <c r="B39" s="10"/>
      <c r="F39" s="34"/>
      <c r="G39" s="34"/>
      <c r="H39" s="34"/>
      <c r="CV39" s="21" t="s">
        <v>105</v>
      </c>
    </row>
    <row r="40" spans="1:204" x14ac:dyDescent="0.3">
      <c r="B40" s="10"/>
      <c r="F40" s="34"/>
      <c r="G40" s="34"/>
      <c r="H40" s="34"/>
    </row>
    <row r="41" spans="1:204" x14ac:dyDescent="0.3">
      <c r="B41" s="10"/>
      <c r="F41" s="34"/>
      <c r="G41" s="34"/>
      <c r="H41" s="34"/>
    </row>
    <row r="42" spans="1:204" x14ac:dyDescent="0.3">
      <c r="B42" s="10"/>
      <c r="F42" s="34"/>
      <c r="G42" s="34"/>
      <c r="H42" s="34"/>
    </row>
    <row r="43" spans="1:204" x14ac:dyDescent="0.3">
      <c r="B43" s="10"/>
      <c r="F43" s="34"/>
      <c r="G43" s="34"/>
      <c r="H43" s="34"/>
    </row>
    <row r="44" spans="1:204" x14ac:dyDescent="0.3">
      <c r="B44" s="10"/>
      <c r="F44" s="34"/>
      <c r="G44" s="34"/>
      <c r="H44" s="34"/>
    </row>
    <row r="46" spans="1:204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</row>
    <row r="47" spans="1:204" x14ac:dyDescent="0.3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</row>
    <row r="49" spans="2:204" ht="14.4" customHeight="1" x14ac:dyDescent="0.3">
      <c r="B49" s="75" t="s">
        <v>14</v>
      </c>
    </row>
    <row r="50" spans="2:204" x14ac:dyDescent="0.3">
      <c r="B50" s="75"/>
    </row>
    <row r="51" spans="2:204" x14ac:dyDescent="0.3">
      <c r="B51" s="75"/>
      <c r="F51" s="79" t="s">
        <v>0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  <c r="CR51" s="80"/>
      <c r="CS51" s="80"/>
      <c r="CT51" s="80"/>
      <c r="CU51" s="80"/>
      <c r="CV51" s="80"/>
      <c r="CW51" s="80"/>
      <c r="CX51" s="80"/>
      <c r="CY51" s="80"/>
      <c r="CZ51" s="80"/>
      <c r="DA51" s="80"/>
      <c r="DB51" s="80"/>
      <c r="DC51" s="80"/>
      <c r="DD51" s="80"/>
      <c r="DE51" s="80"/>
      <c r="DF51" s="80"/>
      <c r="DG51" s="80"/>
      <c r="DH51" s="80"/>
      <c r="DI51" s="80"/>
      <c r="DJ51" s="80"/>
      <c r="DK51" s="80"/>
      <c r="DL51" s="80"/>
      <c r="DM51" s="80"/>
      <c r="DN51" s="80"/>
      <c r="DO51" s="80"/>
      <c r="DP51" s="80"/>
      <c r="DQ51" s="80"/>
      <c r="DR51" s="80"/>
      <c r="DS51" s="80"/>
      <c r="DT51" s="80"/>
      <c r="DU51" s="80"/>
      <c r="DV51" s="80"/>
      <c r="DW51" s="80"/>
      <c r="DX51" s="80"/>
      <c r="DY51" s="80"/>
      <c r="DZ51" s="80"/>
      <c r="EA51" s="80"/>
      <c r="EB51" s="80"/>
      <c r="EC51" s="80"/>
      <c r="ED51" s="80"/>
      <c r="EE51" s="80"/>
      <c r="EF51" s="80"/>
      <c r="EG51" s="80"/>
      <c r="EH51" s="80"/>
      <c r="EI51" s="80"/>
      <c r="EJ51" s="80"/>
      <c r="EK51" s="80"/>
      <c r="EL51" s="80"/>
      <c r="EM51" s="80"/>
      <c r="EN51" s="80"/>
      <c r="EO51" s="80"/>
      <c r="EP51" s="80"/>
      <c r="EQ51" s="80"/>
      <c r="ER51" s="80"/>
      <c r="ES51" s="80"/>
      <c r="ET51" s="80"/>
      <c r="EU51" s="80"/>
      <c r="EV51" s="80"/>
      <c r="EW51" s="80"/>
      <c r="EX51" s="80"/>
      <c r="EY51" s="80"/>
      <c r="EZ51" s="80"/>
      <c r="FA51" s="80"/>
      <c r="FB51" s="80"/>
      <c r="FC51" s="80"/>
      <c r="FD51" s="80"/>
      <c r="FE51" s="80"/>
      <c r="FF51" s="80"/>
      <c r="FG51" s="80"/>
      <c r="FH51" s="80"/>
      <c r="FI51" s="80"/>
      <c r="FJ51" s="80"/>
      <c r="FK51" s="80"/>
      <c r="FL51" s="80"/>
      <c r="FM51" s="80"/>
      <c r="FN51" s="80"/>
      <c r="FO51" s="80"/>
      <c r="FP51" s="80"/>
      <c r="FQ51" s="80"/>
      <c r="FR51" s="80"/>
      <c r="FS51" s="80"/>
      <c r="FT51" s="80"/>
      <c r="FU51" s="80"/>
      <c r="FV51" s="80"/>
      <c r="FW51" s="80"/>
      <c r="FX51" s="80"/>
      <c r="FY51" s="80"/>
      <c r="FZ51" s="80"/>
      <c r="GA51" s="80"/>
      <c r="GB51" s="80"/>
      <c r="GC51" s="80"/>
      <c r="GD51" s="80"/>
      <c r="GE51" s="80"/>
      <c r="GF51" s="80"/>
      <c r="GG51" s="80"/>
      <c r="GH51" s="80"/>
      <c r="GI51" s="80"/>
      <c r="GJ51" s="80"/>
      <c r="GK51" s="80"/>
      <c r="GL51" s="80"/>
      <c r="GM51" s="80"/>
      <c r="GN51" s="80"/>
      <c r="GO51" s="80"/>
      <c r="GP51" s="80"/>
      <c r="GQ51" s="80"/>
      <c r="GR51" s="80"/>
      <c r="GS51" s="80"/>
      <c r="GT51" s="81"/>
    </row>
    <row r="52" spans="2:204" x14ac:dyDescent="0.3">
      <c r="B52" s="75"/>
      <c r="E52" s="1"/>
      <c r="F52" s="54">
        <f t="shared" ref="F52:U52" si="234">F53</f>
        <v>45247</v>
      </c>
      <c r="G52" s="54">
        <f t="shared" si="234"/>
        <v>45248</v>
      </c>
      <c r="H52" s="54">
        <f t="shared" si="234"/>
        <v>45249</v>
      </c>
      <c r="I52" s="54">
        <f t="shared" si="234"/>
        <v>45250</v>
      </c>
      <c r="J52" s="54">
        <f t="shared" si="234"/>
        <v>45251</v>
      </c>
      <c r="K52" s="54">
        <f t="shared" si="234"/>
        <v>45252</v>
      </c>
      <c r="L52" s="54">
        <f t="shared" si="234"/>
        <v>45253</v>
      </c>
      <c r="M52" s="54">
        <f t="shared" si="234"/>
        <v>45254</v>
      </c>
      <c r="N52" s="54">
        <f t="shared" si="234"/>
        <v>45255</v>
      </c>
      <c r="O52" s="54">
        <f t="shared" si="234"/>
        <v>45256</v>
      </c>
      <c r="P52" s="54">
        <f t="shared" si="234"/>
        <v>45257</v>
      </c>
      <c r="Q52" s="54">
        <f t="shared" si="234"/>
        <v>45258</v>
      </c>
      <c r="R52" s="54">
        <f t="shared" si="234"/>
        <v>45259</v>
      </c>
      <c r="S52" s="54">
        <f t="shared" si="234"/>
        <v>45260</v>
      </c>
      <c r="T52" s="54">
        <f t="shared" si="234"/>
        <v>45261</v>
      </c>
      <c r="U52" s="54">
        <f t="shared" si="234"/>
        <v>45262</v>
      </c>
      <c r="V52" s="54">
        <f t="shared" ref="V52:GT52" si="235">V53</f>
        <v>45263</v>
      </c>
      <c r="W52" s="54">
        <f t="shared" si="235"/>
        <v>45264</v>
      </c>
      <c r="X52" s="54">
        <f t="shared" si="235"/>
        <v>45265</v>
      </c>
      <c r="Y52" s="54">
        <f t="shared" si="235"/>
        <v>45266</v>
      </c>
      <c r="Z52" s="54">
        <f t="shared" si="235"/>
        <v>45267</v>
      </c>
      <c r="AA52" s="54">
        <f t="shared" si="235"/>
        <v>45268</v>
      </c>
      <c r="AB52" s="54">
        <f t="shared" si="235"/>
        <v>45269</v>
      </c>
      <c r="AC52" s="54">
        <f t="shared" si="235"/>
        <v>45270</v>
      </c>
      <c r="AD52" s="54">
        <f t="shared" si="235"/>
        <v>45271</v>
      </c>
      <c r="AE52" s="54">
        <f t="shared" si="235"/>
        <v>45272</v>
      </c>
      <c r="AF52" s="54">
        <f t="shared" si="235"/>
        <v>45273</v>
      </c>
      <c r="AG52" s="54">
        <f t="shared" si="235"/>
        <v>45274</v>
      </c>
      <c r="AH52" s="54">
        <f t="shared" si="235"/>
        <v>45275</v>
      </c>
      <c r="AI52" s="54">
        <f t="shared" si="235"/>
        <v>45276</v>
      </c>
      <c r="AJ52" s="54">
        <f t="shared" si="235"/>
        <v>45277</v>
      </c>
      <c r="AK52" s="54">
        <f t="shared" si="235"/>
        <v>45278</v>
      </c>
      <c r="AL52" s="54">
        <f t="shared" si="235"/>
        <v>45279</v>
      </c>
      <c r="AM52" s="54">
        <f t="shared" si="235"/>
        <v>45280</v>
      </c>
      <c r="AN52" s="54">
        <f t="shared" si="235"/>
        <v>45281</v>
      </c>
      <c r="AO52" s="54">
        <f t="shared" si="235"/>
        <v>45282</v>
      </c>
      <c r="AP52" s="54">
        <f t="shared" si="235"/>
        <v>45283</v>
      </c>
      <c r="AQ52" s="54">
        <f t="shared" si="235"/>
        <v>45284</v>
      </c>
      <c r="AR52" s="54">
        <f t="shared" si="235"/>
        <v>45285</v>
      </c>
      <c r="AS52" s="54">
        <f t="shared" si="235"/>
        <v>45286</v>
      </c>
      <c r="AT52" s="54">
        <f t="shared" si="235"/>
        <v>45287</v>
      </c>
      <c r="AU52" s="54">
        <f t="shared" si="235"/>
        <v>45288</v>
      </c>
      <c r="AV52" s="54">
        <f t="shared" si="235"/>
        <v>45289</v>
      </c>
      <c r="AW52" s="54">
        <f t="shared" si="235"/>
        <v>45290</v>
      </c>
      <c r="AX52" s="54">
        <f t="shared" si="235"/>
        <v>45291</v>
      </c>
      <c r="AY52" s="54">
        <f t="shared" si="235"/>
        <v>45292</v>
      </c>
      <c r="AZ52" s="54">
        <f t="shared" si="235"/>
        <v>45293</v>
      </c>
      <c r="BA52" s="54">
        <f t="shared" si="235"/>
        <v>45294</v>
      </c>
      <c r="BB52" s="54">
        <f t="shared" si="235"/>
        <v>45295</v>
      </c>
      <c r="BC52" s="54">
        <f t="shared" si="235"/>
        <v>45296</v>
      </c>
      <c r="BD52" s="54">
        <f t="shared" si="235"/>
        <v>45297</v>
      </c>
      <c r="BE52" s="54">
        <f t="shared" si="235"/>
        <v>45298</v>
      </c>
      <c r="BF52" s="54">
        <f t="shared" si="235"/>
        <v>45299</v>
      </c>
      <c r="BG52" s="54">
        <f t="shared" si="235"/>
        <v>45300</v>
      </c>
      <c r="BH52" s="54">
        <f t="shared" si="235"/>
        <v>45301</v>
      </c>
      <c r="BI52" s="54">
        <f t="shared" si="235"/>
        <v>45302</v>
      </c>
      <c r="BJ52" s="54">
        <f t="shared" si="235"/>
        <v>45303</v>
      </c>
      <c r="BK52" s="54">
        <f t="shared" si="235"/>
        <v>45304</v>
      </c>
      <c r="BL52" s="54">
        <f t="shared" si="235"/>
        <v>45305</v>
      </c>
      <c r="BM52" s="54">
        <f t="shared" si="235"/>
        <v>45306</v>
      </c>
      <c r="BN52" s="54">
        <f t="shared" si="235"/>
        <v>45307</v>
      </c>
      <c r="BO52" s="54">
        <f t="shared" si="235"/>
        <v>45308</v>
      </c>
      <c r="BP52" s="54">
        <f t="shared" si="235"/>
        <v>45309</v>
      </c>
      <c r="BQ52" s="54">
        <f t="shared" si="235"/>
        <v>45310</v>
      </c>
      <c r="BR52" s="54">
        <f t="shared" si="235"/>
        <v>45311</v>
      </c>
      <c r="BS52" s="54">
        <f t="shared" si="235"/>
        <v>45312</v>
      </c>
      <c r="BT52" s="54">
        <f t="shared" si="235"/>
        <v>45313</v>
      </c>
      <c r="BU52" s="54">
        <f t="shared" si="235"/>
        <v>45314</v>
      </c>
      <c r="BV52" s="54">
        <f t="shared" si="235"/>
        <v>45315</v>
      </c>
      <c r="BW52" s="54">
        <f t="shared" si="235"/>
        <v>45316</v>
      </c>
      <c r="BX52" s="54">
        <f t="shared" si="235"/>
        <v>45317</v>
      </c>
      <c r="BY52" s="54">
        <f t="shared" si="235"/>
        <v>45318</v>
      </c>
      <c r="BZ52" s="54">
        <f t="shared" si="235"/>
        <v>45319</v>
      </c>
      <c r="CA52" s="54">
        <f t="shared" si="235"/>
        <v>45320</v>
      </c>
      <c r="CB52" s="54">
        <f t="shared" si="235"/>
        <v>45321</v>
      </c>
      <c r="CC52" s="54">
        <f t="shared" si="235"/>
        <v>45322</v>
      </c>
      <c r="CD52" s="54">
        <f t="shared" si="235"/>
        <v>45323</v>
      </c>
      <c r="CE52" s="54">
        <f t="shared" si="235"/>
        <v>45324</v>
      </c>
      <c r="CF52" s="54">
        <f t="shared" si="235"/>
        <v>45325</v>
      </c>
      <c r="CG52" s="54">
        <f t="shared" si="235"/>
        <v>45326</v>
      </c>
      <c r="CH52" s="54">
        <f t="shared" si="235"/>
        <v>45327</v>
      </c>
      <c r="CI52" s="54">
        <f t="shared" si="235"/>
        <v>45328</v>
      </c>
      <c r="CJ52" s="54">
        <f t="shared" si="235"/>
        <v>45329</v>
      </c>
      <c r="CK52" s="54">
        <f t="shared" si="235"/>
        <v>45330</v>
      </c>
      <c r="CL52" s="54">
        <f t="shared" si="235"/>
        <v>45331</v>
      </c>
      <c r="CM52" s="54">
        <f t="shared" si="235"/>
        <v>45332</v>
      </c>
      <c r="CN52" s="54">
        <f t="shared" si="235"/>
        <v>45333</v>
      </c>
      <c r="CO52" s="54">
        <f t="shared" si="235"/>
        <v>45334</v>
      </c>
      <c r="CP52" s="54">
        <f t="shared" si="235"/>
        <v>45335</v>
      </c>
      <c r="CQ52" s="54">
        <f t="shared" si="235"/>
        <v>45336</v>
      </c>
      <c r="CR52" s="54">
        <f t="shared" si="235"/>
        <v>45337</v>
      </c>
      <c r="CS52" s="54">
        <f t="shared" si="235"/>
        <v>45338</v>
      </c>
      <c r="CT52" s="54">
        <f t="shared" si="235"/>
        <v>45339</v>
      </c>
      <c r="CU52" s="54">
        <f t="shared" si="235"/>
        <v>45340</v>
      </c>
      <c r="CV52" s="54">
        <f t="shared" si="235"/>
        <v>45341</v>
      </c>
      <c r="CW52" s="54">
        <f t="shared" si="235"/>
        <v>45342</v>
      </c>
      <c r="CX52" s="54">
        <f t="shared" si="235"/>
        <v>45343</v>
      </c>
      <c r="CY52" s="54">
        <f t="shared" si="235"/>
        <v>45344</v>
      </c>
      <c r="CZ52" s="54">
        <f t="shared" si="235"/>
        <v>45345</v>
      </c>
      <c r="DA52" s="54">
        <f t="shared" si="235"/>
        <v>45346</v>
      </c>
      <c r="DB52" s="54">
        <f t="shared" si="235"/>
        <v>45347</v>
      </c>
      <c r="DC52" s="54">
        <f t="shared" si="235"/>
        <v>45348</v>
      </c>
      <c r="DD52" s="54">
        <f t="shared" si="235"/>
        <v>45349</v>
      </c>
      <c r="DE52" s="54">
        <f t="shared" si="235"/>
        <v>45350</v>
      </c>
      <c r="DF52" s="54">
        <f t="shared" si="235"/>
        <v>45351</v>
      </c>
      <c r="DG52" s="54">
        <f t="shared" si="235"/>
        <v>45352</v>
      </c>
      <c r="DH52" s="54">
        <f t="shared" si="235"/>
        <v>45353</v>
      </c>
      <c r="DI52" s="54">
        <f t="shared" si="235"/>
        <v>45354</v>
      </c>
      <c r="DJ52" s="54">
        <f t="shared" si="235"/>
        <v>45355</v>
      </c>
      <c r="DK52" s="54">
        <f t="shared" si="235"/>
        <v>45356</v>
      </c>
      <c r="DL52" s="54">
        <f t="shared" si="235"/>
        <v>45357</v>
      </c>
      <c r="DM52" s="54">
        <f t="shared" si="235"/>
        <v>45358</v>
      </c>
      <c r="DN52" s="54">
        <f t="shared" si="235"/>
        <v>45359</v>
      </c>
      <c r="DO52" s="54">
        <f t="shared" si="235"/>
        <v>45360</v>
      </c>
      <c r="DP52" s="54">
        <f t="shared" si="235"/>
        <v>45361</v>
      </c>
      <c r="DQ52" s="54">
        <f t="shared" si="235"/>
        <v>45362</v>
      </c>
      <c r="DR52" s="54">
        <f t="shared" si="235"/>
        <v>45363</v>
      </c>
      <c r="DS52" s="54">
        <f t="shared" si="235"/>
        <v>45364</v>
      </c>
      <c r="DT52" s="54">
        <f t="shared" si="235"/>
        <v>45365</v>
      </c>
      <c r="DU52" s="54">
        <f t="shared" si="235"/>
        <v>45366</v>
      </c>
      <c r="DV52" s="54">
        <f t="shared" si="235"/>
        <v>45367</v>
      </c>
      <c r="DW52" s="54">
        <f t="shared" si="235"/>
        <v>45368</v>
      </c>
      <c r="DX52" s="54">
        <f t="shared" si="235"/>
        <v>45369</v>
      </c>
      <c r="DY52" s="54">
        <f t="shared" si="235"/>
        <v>45370</v>
      </c>
      <c r="DZ52" s="54">
        <f t="shared" si="235"/>
        <v>45371</v>
      </c>
      <c r="EA52" s="54">
        <f t="shared" si="235"/>
        <v>45372</v>
      </c>
      <c r="EB52" s="54">
        <f t="shared" si="235"/>
        <v>45373</v>
      </c>
      <c r="EC52" s="54">
        <f t="shared" si="235"/>
        <v>45374</v>
      </c>
      <c r="ED52" s="54">
        <f t="shared" si="235"/>
        <v>45375</v>
      </c>
      <c r="EE52" s="54">
        <f t="shared" si="235"/>
        <v>45376</v>
      </c>
      <c r="EF52" s="54">
        <f t="shared" si="235"/>
        <v>45377</v>
      </c>
      <c r="EG52" s="54">
        <f t="shared" si="235"/>
        <v>45378</v>
      </c>
      <c r="EH52" s="54">
        <f t="shared" si="235"/>
        <v>45379</v>
      </c>
      <c r="EI52" s="54">
        <f t="shared" si="235"/>
        <v>45380</v>
      </c>
      <c r="EJ52" s="54">
        <f t="shared" si="235"/>
        <v>45381</v>
      </c>
      <c r="EK52" s="54">
        <f t="shared" si="235"/>
        <v>45382</v>
      </c>
      <c r="EL52" s="54">
        <f t="shared" si="235"/>
        <v>45383</v>
      </c>
      <c r="EM52" s="54">
        <f t="shared" si="235"/>
        <v>45384</v>
      </c>
      <c r="EN52" s="54">
        <f t="shared" si="235"/>
        <v>45385</v>
      </c>
      <c r="EO52" s="54">
        <f t="shared" si="235"/>
        <v>45386</v>
      </c>
      <c r="EP52" s="54">
        <f t="shared" si="235"/>
        <v>45387</v>
      </c>
      <c r="EQ52" s="54">
        <f t="shared" si="235"/>
        <v>45388</v>
      </c>
      <c r="ER52" s="54">
        <f t="shared" si="235"/>
        <v>45389</v>
      </c>
      <c r="ES52" s="54">
        <f t="shared" si="235"/>
        <v>45390</v>
      </c>
      <c r="ET52" s="54">
        <f t="shared" si="235"/>
        <v>45391</v>
      </c>
      <c r="EU52" s="54">
        <f t="shared" si="235"/>
        <v>45392</v>
      </c>
      <c r="EV52" s="54">
        <f t="shared" si="235"/>
        <v>45393</v>
      </c>
      <c r="EW52" s="54">
        <f t="shared" si="235"/>
        <v>45394</v>
      </c>
      <c r="EX52" s="54">
        <f t="shared" si="235"/>
        <v>45395</v>
      </c>
      <c r="EY52" s="54">
        <f t="shared" si="235"/>
        <v>45396</v>
      </c>
      <c r="EZ52" s="54">
        <f t="shared" si="235"/>
        <v>45397</v>
      </c>
      <c r="FA52" s="54">
        <f t="shared" si="235"/>
        <v>45398</v>
      </c>
      <c r="FB52" s="54">
        <f t="shared" si="235"/>
        <v>45399</v>
      </c>
      <c r="FC52" s="54">
        <f t="shared" si="235"/>
        <v>45400</v>
      </c>
      <c r="FD52" s="54">
        <f t="shared" si="235"/>
        <v>45401</v>
      </c>
      <c r="FE52" s="54">
        <f t="shared" si="235"/>
        <v>45402</v>
      </c>
      <c r="FF52" s="54">
        <f t="shared" si="235"/>
        <v>45403</v>
      </c>
      <c r="FG52" s="54">
        <f t="shared" si="235"/>
        <v>45404</v>
      </c>
      <c r="FH52" s="54">
        <f t="shared" si="235"/>
        <v>45405</v>
      </c>
      <c r="FI52" s="54">
        <f t="shared" si="235"/>
        <v>45406</v>
      </c>
      <c r="FJ52" s="54">
        <f t="shared" si="235"/>
        <v>45407</v>
      </c>
      <c r="FK52" s="54">
        <f t="shared" si="235"/>
        <v>45408</v>
      </c>
      <c r="FL52" s="54">
        <f t="shared" si="235"/>
        <v>45409</v>
      </c>
      <c r="FM52" s="54">
        <f t="shared" si="235"/>
        <v>45410</v>
      </c>
      <c r="FN52" s="54">
        <f t="shared" si="235"/>
        <v>45411</v>
      </c>
      <c r="FO52" s="54">
        <f t="shared" si="235"/>
        <v>45412</v>
      </c>
      <c r="FP52" s="54">
        <f t="shared" si="235"/>
        <v>45413</v>
      </c>
      <c r="FQ52" s="54">
        <f t="shared" si="235"/>
        <v>45414</v>
      </c>
      <c r="FR52" s="54">
        <f t="shared" si="235"/>
        <v>45415</v>
      </c>
      <c r="FS52" s="54">
        <f t="shared" si="235"/>
        <v>45416</v>
      </c>
      <c r="FT52" s="54">
        <f t="shared" si="235"/>
        <v>45417</v>
      </c>
      <c r="FU52" s="54">
        <f t="shared" si="235"/>
        <v>45418</v>
      </c>
      <c r="FV52" s="54">
        <f t="shared" si="235"/>
        <v>45419</v>
      </c>
      <c r="FW52" s="54">
        <f t="shared" si="235"/>
        <v>45420</v>
      </c>
      <c r="FX52" s="54">
        <f t="shared" si="235"/>
        <v>45421</v>
      </c>
      <c r="FY52" s="54">
        <f t="shared" si="235"/>
        <v>45422</v>
      </c>
      <c r="FZ52" s="54">
        <f t="shared" si="235"/>
        <v>45423</v>
      </c>
      <c r="GA52" s="54">
        <f t="shared" si="235"/>
        <v>45424</v>
      </c>
      <c r="GB52" s="54">
        <f t="shared" si="235"/>
        <v>45425</v>
      </c>
      <c r="GC52" s="54">
        <f t="shared" si="235"/>
        <v>45426</v>
      </c>
      <c r="GD52" s="54">
        <f t="shared" si="235"/>
        <v>45427</v>
      </c>
      <c r="GE52" s="54">
        <f t="shared" si="235"/>
        <v>45428</v>
      </c>
      <c r="GF52" s="54">
        <f t="shared" si="235"/>
        <v>45429</v>
      </c>
      <c r="GG52" s="54">
        <f t="shared" si="235"/>
        <v>45430</v>
      </c>
      <c r="GH52" s="54">
        <f t="shared" si="235"/>
        <v>45431</v>
      </c>
      <c r="GI52" s="54">
        <f t="shared" si="235"/>
        <v>45432</v>
      </c>
      <c r="GJ52" s="54">
        <f t="shared" si="235"/>
        <v>45433</v>
      </c>
      <c r="GK52" s="54">
        <f t="shared" si="235"/>
        <v>45434</v>
      </c>
      <c r="GL52" s="54">
        <f t="shared" si="235"/>
        <v>45435</v>
      </c>
      <c r="GM52" s="54">
        <f t="shared" si="235"/>
        <v>45436</v>
      </c>
      <c r="GN52" s="54">
        <f t="shared" si="235"/>
        <v>45437</v>
      </c>
      <c r="GO52" s="54">
        <f t="shared" si="235"/>
        <v>45438</v>
      </c>
      <c r="GP52" s="54">
        <f t="shared" si="235"/>
        <v>45439</v>
      </c>
      <c r="GQ52" s="54">
        <f t="shared" si="235"/>
        <v>45440</v>
      </c>
      <c r="GR52" s="54">
        <f t="shared" si="235"/>
        <v>45441</v>
      </c>
      <c r="GS52" s="54">
        <f t="shared" si="235"/>
        <v>45442</v>
      </c>
      <c r="GT52" s="54">
        <f t="shared" si="235"/>
        <v>45443</v>
      </c>
    </row>
    <row r="53" spans="2:204" x14ac:dyDescent="0.3">
      <c r="B53" s="75"/>
      <c r="E53" s="1"/>
      <c r="F53" s="55">
        <v>45247</v>
      </c>
      <c r="G53" s="55">
        <f t="shared" ref="G53" si="236">F53+1</f>
        <v>45248</v>
      </c>
      <c r="H53" s="55">
        <f t="shared" ref="H53" si="237">G53+1</f>
        <v>45249</v>
      </c>
      <c r="I53" s="55">
        <f t="shared" ref="I53" si="238">H53+1</f>
        <v>45250</v>
      </c>
      <c r="J53" s="55">
        <f t="shared" ref="J53" si="239">I53+1</f>
        <v>45251</v>
      </c>
      <c r="K53" s="55">
        <f t="shared" ref="K53" si="240">J53+1</f>
        <v>45252</v>
      </c>
      <c r="L53" s="55">
        <f t="shared" ref="L53" si="241">K53+1</f>
        <v>45253</v>
      </c>
      <c r="M53" s="55">
        <f t="shared" ref="M53" si="242">L53+1</f>
        <v>45254</v>
      </c>
      <c r="N53" s="55">
        <f t="shared" ref="N53" si="243">M53+1</f>
        <v>45255</v>
      </c>
      <c r="O53" s="55">
        <f t="shared" ref="O53" si="244">N53+1</f>
        <v>45256</v>
      </c>
      <c r="P53" s="55">
        <f t="shared" ref="P53" si="245">O53+1</f>
        <v>45257</v>
      </c>
      <c r="Q53" s="55">
        <f t="shared" ref="Q53" si="246">P53+1</f>
        <v>45258</v>
      </c>
      <c r="R53" s="55">
        <f t="shared" ref="R53:S53" si="247">Q53+1</f>
        <v>45259</v>
      </c>
      <c r="S53" s="55">
        <f t="shared" si="247"/>
        <v>45260</v>
      </c>
      <c r="T53" s="55">
        <f t="shared" ref="T53:U53" si="248">S53+1</f>
        <v>45261</v>
      </c>
      <c r="U53" s="55">
        <f t="shared" si="248"/>
        <v>45262</v>
      </c>
      <c r="V53" s="55">
        <f t="shared" ref="V53" si="249">U53+1</f>
        <v>45263</v>
      </c>
      <c r="W53" s="55">
        <f t="shared" ref="W53" si="250">V53+1</f>
        <v>45264</v>
      </c>
      <c r="X53" s="55">
        <f t="shared" ref="X53" si="251">W53+1</f>
        <v>45265</v>
      </c>
      <c r="Y53" s="55">
        <f t="shared" ref="Y53" si="252">X53+1</f>
        <v>45266</v>
      </c>
      <c r="Z53" s="55">
        <f t="shared" ref="Z53" si="253">Y53+1</f>
        <v>45267</v>
      </c>
      <c r="AA53" s="55">
        <f t="shared" ref="AA53" si="254">Z53+1</f>
        <v>45268</v>
      </c>
      <c r="AB53" s="55">
        <f t="shared" ref="AB53" si="255">AA53+1</f>
        <v>45269</v>
      </c>
      <c r="AC53" s="55">
        <f t="shared" ref="AC53:AD53" si="256">AB53+1</f>
        <v>45270</v>
      </c>
      <c r="AD53" s="55">
        <f t="shared" si="256"/>
        <v>45271</v>
      </c>
      <c r="AE53" s="55">
        <f t="shared" ref="AE53" si="257">AD53+1</f>
        <v>45272</v>
      </c>
      <c r="AF53" s="55">
        <f t="shared" ref="AF53" si="258">AE53+1</f>
        <v>45273</v>
      </c>
      <c r="AG53" s="55">
        <f t="shared" ref="AG53" si="259">AF53+1</f>
        <v>45274</v>
      </c>
      <c r="AH53" s="55">
        <f t="shared" ref="AH53:AJ53" si="260">AG53+1</f>
        <v>45275</v>
      </c>
      <c r="AI53" s="55">
        <f t="shared" si="260"/>
        <v>45276</v>
      </c>
      <c r="AJ53" s="55">
        <f t="shared" si="260"/>
        <v>45277</v>
      </c>
      <c r="AK53" s="55">
        <f t="shared" ref="AK53:AL53" si="261">AJ53+1</f>
        <v>45278</v>
      </c>
      <c r="AL53" s="55">
        <f t="shared" si="261"/>
        <v>45279</v>
      </c>
      <c r="AM53" s="55">
        <f t="shared" ref="AM53" si="262">AL53+1</f>
        <v>45280</v>
      </c>
      <c r="AN53" s="55">
        <f t="shared" ref="AN53:AO53" si="263">AM53+1</f>
        <v>45281</v>
      </c>
      <c r="AO53" s="55">
        <f t="shared" si="263"/>
        <v>45282</v>
      </c>
      <c r="AP53" s="55">
        <f t="shared" ref="AP53:AQ53" si="264">AO53+1</f>
        <v>45283</v>
      </c>
      <c r="AQ53" s="55">
        <f t="shared" si="264"/>
        <v>45284</v>
      </c>
      <c r="AR53" s="55">
        <f t="shared" ref="AR53:AT53" si="265">AQ53+1</f>
        <v>45285</v>
      </c>
      <c r="AS53" s="55">
        <f t="shared" si="265"/>
        <v>45286</v>
      </c>
      <c r="AT53" s="55">
        <f t="shared" si="265"/>
        <v>45287</v>
      </c>
      <c r="AU53" s="55">
        <f t="shared" ref="AU53:AY53" si="266">AT53+1</f>
        <v>45288</v>
      </c>
      <c r="AV53" s="55">
        <f t="shared" si="266"/>
        <v>45289</v>
      </c>
      <c r="AW53" s="55">
        <f t="shared" si="266"/>
        <v>45290</v>
      </c>
      <c r="AX53" s="55">
        <f t="shared" si="266"/>
        <v>45291</v>
      </c>
      <c r="AY53" s="55">
        <f t="shared" si="266"/>
        <v>45292</v>
      </c>
      <c r="AZ53" s="55">
        <f t="shared" ref="AZ53:BA53" si="267">AY53+1</f>
        <v>45293</v>
      </c>
      <c r="BA53" s="55">
        <f t="shared" si="267"/>
        <v>45294</v>
      </c>
      <c r="BB53" s="55">
        <f t="shared" ref="BB53:BC53" si="268">BA53+1</f>
        <v>45295</v>
      </c>
      <c r="BC53" s="55">
        <f t="shared" si="268"/>
        <v>45296</v>
      </c>
      <c r="BD53" s="55">
        <f t="shared" ref="BD53:BE53" si="269">BC53+1</f>
        <v>45297</v>
      </c>
      <c r="BE53" s="55">
        <f t="shared" si="269"/>
        <v>45298</v>
      </c>
      <c r="BF53" s="55">
        <f t="shared" ref="BF53:BG53" si="270">BE53+1</f>
        <v>45299</v>
      </c>
      <c r="BG53" s="55">
        <f t="shared" si="270"/>
        <v>45300</v>
      </c>
      <c r="BH53" s="55">
        <f t="shared" ref="BH53:BM53" si="271">BG53+1</f>
        <v>45301</v>
      </c>
      <c r="BI53" s="55">
        <f t="shared" si="271"/>
        <v>45302</v>
      </c>
      <c r="BJ53" s="55">
        <f t="shared" si="271"/>
        <v>45303</v>
      </c>
      <c r="BK53" s="55">
        <f t="shared" si="271"/>
        <v>45304</v>
      </c>
      <c r="BL53" s="55">
        <f t="shared" si="271"/>
        <v>45305</v>
      </c>
      <c r="BM53" s="55">
        <f t="shared" si="271"/>
        <v>45306</v>
      </c>
      <c r="BN53" s="55">
        <f t="shared" ref="BN53" si="272">BM53+1</f>
        <v>45307</v>
      </c>
      <c r="BO53" s="55">
        <f t="shared" ref="BO53:BP53" si="273">BN53+1</f>
        <v>45308</v>
      </c>
      <c r="BP53" s="55">
        <f t="shared" si="273"/>
        <v>45309</v>
      </c>
      <c r="BQ53" s="55">
        <f t="shared" ref="BQ53:BS53" si="274">BP53+1</f>
        <v>45310</v>
      </c>
      <c r="BR53" s="55">
        <f t="shared" si="274"/>
        <v>45311</v>
      </c>
      <c r="BS53" s="55">
        <f t="shared" si="274"/>
        <v>45312</v>
      </c>
      <c r="BT53" s="55">
        <f t="shared" ref="BT53:BW53" si="275">BS53+1</f>
        <v>45313</v>
      </c>
      <c r="BU53" s="55">
        <f t="shared" si="275"/>
        <v>45314</v>
      </c>
      <c r="BV53" s="55">
        <f t="shared" si="275"/>
        <v>45315</v>
      </c>
      <c r="BW53" s="55">
        <f t="shared" si="275"/>
        <v>45316</v>
      </c>
      <c r="BX53" s="55">
        <f t="shared" ref="BX53:BZ53" si="276">BW53+1</f>
        <v>45317</v>
      </c>
      <c r="BY53" s="55">
        <f t="shared" si="276"/>
        <v>45318</v>
      </c>
      <c r="BZ53" s="55">
        <f t="shared" si="276"/>
        <v>45319</v>
      </c>
      <c r="CA53" s="55">
        <f t="shared" ref="CA53:CC53" si="277">BZ53+1</f>
        <v>45320</v>
      </c>
      <c r="CB53" s="55">
        <f t="shared" si="277"/>
        <v>45321</v>
      </c>
      <c r="CC53" s="55">
        <f t="shared" si="277"/>
        <v>45322</v>
      </c>
      <c r="CD53" s="55">
        <f t="shared" ref="CD53:CE53" si="278">CC53+1</f>
        <v>45323</v>
      </c>
      <c r="CE53" s="55">
        <f t="shared" si="278"/>
        <v>45324</v>
      </c>
      <c r="CF53" s="55">
        <f t="shared" ref="CF53" si="279">CE53+1</f>
        <v>45325</v>
      </c>
      <c r="CG53" s="55">
        <f t="shared" ref="CG53:CM53" si="280">CF53+1</f>
        <v>45326</v>
      </c>
      <c r="CH53" s="55">
        <f t="shared" si="280"/>
        <v>45327</v>
      </c>
      <c r="CI53" s="55">
        <f t="shared" si="280"/>
        <v>45328</v>
      </c>
      <c r="CJ53" s="55">
        <f t="shared" si="280"/>
        <v>45329</v>
      </c>
      <c r="CK53" s="55">
        <f t="shared" si="280"/>
        <v>45330</v>
      </c>
      <c r="CL53" s="55">
        <f t="shared" si="280"/>
        <v>45331</v>
      </c>
      <c r="CM53" s="55">
        <f t="shared" si="280"/>
        <v>45332</v>
      </c>
      <c r="CN53" s="55">
        <f t="shared" ref="CN53:CO53" si="281">CM53+1</f>
        <v>45333</v>
      </c>
      <c r="CO53" s="55">
        <f t="shared" si="281"/>
        <v>45334</v>
      </c>
      <c r="CP53" s="55">
        <f t="shared" ref="CP53:CV53" si="282">CO53+1</f>
        <v>45335</v>
      </c>
      <c r="CQ53" s="55">
        <f t="shared" si="282"/>
        <v>45336</v>
      </c>
      <c r="CR53" s="55">
        <f t="shared" si="282"/>
        <v>45337</v>
      </c>
      <c r="CS53" s="55">
        <f t="shared" si="282"/>
        <v>45338</v>
      </c>
      <c r="CT53" s="55">
        <f t="shared" si="282"/>
        <v>45339</v>
      </c>
      <c r="CU53" s="55">
        <f t="shared" si="282"/>
        <v>45340</v>
      </c>
      <c r="CV53" s="55">
        <f t="shared" si="282"/>
        <v>45341</v>
      </c>
      <c r="CW53" s="55">
        <f t="shared" ref="CW53:CZ53" si="283">CV53+1</f>
        <v>45342</v>
      </c>
      <c r="CX53" s="55">
        <f t="shared" si="283"/>
        <v>45343</v>
      </c>
      <c r="CY53" s="55">
        <f t="shared" si="283"/>
        <v>45344</v>
      </c>
      <c r="CZ53" s="55">
        <f t="shared" si="283"/>
        <v>45345</v>
      </c>
      <c r="DA53" s="55">
        <f t="shared" ref="DA53" si="284">CZ53+1</f>
        <v>45346</v>
      </c>
      <c r="DB53" s="55">
        <f t="shared" ref="DB53" si="285">DA53+1</f>
        <v>45347</v>
      </c>
      <c r="DC53" s="55">
        <f t="shared" ref="DC53:DI53" si="286">DB53+1</f>
        <v>45348</v>
      </c>
      <c r="DD53" s="55">
        <f t="shared" si="286"/>
        <v>45349</v>
      </c>
      <c r="DE53" s="55">
        <f t="shared" si="286"/>
        <v>45350</v>
      </c>
      <c r="DF53" s="55">
        <f t="shared" si="286"/>
        <v>45351</v>
      </c>
      <c r="DG53" s="55">
        <f t="shared" si="286"/>
        <v>45352</v>
      </c>
      <c r="DH53" s="55">
        <f t="shared" si="286"/>
        <v>45353</v>
      </c>
      <c r="DI53" s="55">
        <f t="shared" si="286"/>
        <v>45354</v>
      </c>
      <c r="DJ53" s="55">
        <f t="shared" ref="DJ53:DO53" si="287">DI53+1</f>
        <v>45355</v>
      </c>
      <c r="DK53" s="55">
        <f t="shared" si="287"/>
        <v>45356</v>
      </c>
      <c r="DL53" s="55">
        <f t="shared" si="287"/>
        <v>45357</v>
      </c>
      <c r="DM53" s="55">
        <f t="shared" si="287"/>
        <v>45358</v>
      </c>
      <c r="DN53" s="55">
        <f t="shared" si="287"/>
        <v>45359</v>
      </c>
      <c r="DO53" s="55">
        <f t="shared" si="287"/>
        <v>45360</v>
      </c>
      <c r="DP53" s="55">
        <f t="shared" ref="DP53:DU53" si="288">DO53+1</f>
        <v>45361</v>
      </c>
      <c r="DQ53" s="55">
        <f t="shared" si="288"/>
        <v>45362</v>
      </c>
      <c r="DR53" s="55">
        <f t="shared" si="288"/>
        <v>45363</v>
      </c>
      <c r="DS53" s="55">
        <f t="shared" si="288"/>
        <v>45364</v>
      </c>
      <c r="DT53" s="55">
        <f t="shared" si="288"/>
        <v>45365</v>
      </c>
      <c r="DU53" s="55">
        <f t="shared" si="288"/>
        <v>45366</v>
      </c>
      <c r="DV53" s="55">
        <f t="shared" ref="DV53:DW53" si="289">DU53+1</f>
        <v>45367</v>
      </c>
      <c r="DW53" s="55">
        <f t="shared" si="289"/>
        <v>45368</v>
      </c>
      <c r="DX53" s="55">
        <f t="shared" ref="DX53:DY53" si="290">DW53+1</f>
        <v>45369</v>
      </c>
      <c r="DY53" s="55">
        <f t="shared" si="290"/>
        <v>45370</v>
      </c>
      <c r="DZ53" s="55">
        <f t="shared" ref="DZ53:EA53" si="291">DY53+1</f>
        <v>45371</v>
      </c>
      <c r="EA53" s="55">
        <f t="shared" si="291"/>
        <v>45372</v>
      </c>
      <c r="EB53" s="55">
        <f t="shared" ref="EB53:EK53" si="292">EA53+1</f>
        <v>45373</v>
      </c>
      <c r="EC53" s="55">
        <f t="shared" si="292"/>
        <v>45374</v>
      </c>
      <c r="ED53" s="55">
        <f t="shared" si="292"/>
        <v>45375</v>
      </c>
      <c r="EE53" s="55">
        <f t="shared" si="292"/>
        <v>45376</v>
      </c>
      <c r="EF53" s="55">
        <f t="shared" si="292"/>
        <v>45377</v>
      </c>
      <c r="EG53" s="55">
        <f t="shared" si="292"/>
        <v>45378</v>
      </c>
      <c r="EH53" s="55">
        <f t="shared" si="292"/>
        <v>45379</v>
      </c>
      <c r="EI53" s="55">
        <f t="shared" si="292"/>
        <v>45380</v>
      </c>
      <c r="EJ53" s="55">
        <f t="shared" si="292"/>
        <v>45381</v>
      </c>
      <c r="EK53" s="55">
        <f t="shared" si="292"/>
        <v>45382</v>
      </c>
      <c r="EL53" s="55">
        <f t="shared" ref="EL53:ES53" si="293">EK53+1</f>
        <v>45383</v>
      </c>
      <c r="EM53" s="55">
        <f t="shared" si="293"/>
        <v>45384</v>
      </c>
      <c r="EN53" s="55">
        <f t="shared" si="293"/>
        <v>45385</v>
      </c>
      <c r="EO53" s="55">
        <f t="shared" si="293"/>
        <v>45386</v>
      </c>
      <c r="EP53" s="55">
        <f t="shared" si="293"/>
        <v>45387</v>
      </c>
      <c r="EQ53" s="55">
        <f t="shared" si="293"/>
        <v>45388</v>
      </c>
      <c r="ER53" s="55">
        <f t="shared" si="293"/>
        <v>45389</v>
      </c>
      <c r="ES53" s="55">
        <f t="shared" si="293"/>
        <v>45390</v>
      </c>
      <c r="ET53" s="55">
        <f t="shared" ref="ET53:EW53" si="294">ES53+1</f>
        <v>45391</v>
      </c>
      <c r="EU53" s="55">
        <f t="shared" si="294"/>
        <v>45392</v>
      </c>
      <c r="EV53" s="55">
        <f t="shared" si="294"/>
        <v>45393</v>
      </c>
      <c r="EW53" s="55">
        <f t="shared" si="294"/>
        <v>45394</v>
      </c>
      <c r="EX53" s="55">
        <f t="shared" ref="EX53:EZ53" si="295">EW53+1</f>
        <v>45395</v>
      </c>
      <c r="EY53" s="55">
        <f t="shared" si="295"/>
        <v>45396</v>
      </c>
      <c r="EZ53" s="55">
        <f t="shared" si="295"/>
        <v>45397</v>
      </c>
      <c r="FA53" s="55">
        <f t="shared" ref="FA53:FB53" si="296">EZ53+1</f>
        <v>45398</v>
      </c>
      <c r="FB53" s="55">
        <f t="shared" si="296"/>
        <v>45399</v>
      </c>
      <c r="FC53" s="55">
        <f t="shared" ref="FC53" si="297">FB53+1</f>
        <v>45400</v>
      </c>
      <c r="FD53" s="55">
        <f t="shared" ref="FD53:FG53" si="298">FC53+1</f>
        <v>45401</v>
      </c>
      <c r="FE53" s="55">
        <f t="shared" si="298"/>
        <v>45402</v>
      </c>
      <c r="FF53" s="55">
        <f t="shared" si="298"/>
        <v>45403</v>
      </c>
      <c r="FG53" s="55">
        <f t="shared" si="298"/>
        <v>45404</v>
      </c>
      <c r="FH53" s="55">
        <f t="shared" ref="FH53:FJ53" si="299">FG53+1</f>
        <v>45405</v>
      </c>
      <c r="FI53" s="55">
        <f t="shared" si="299"/>
        <v>45406</v>
      </c>
      <c r="FJ53" s="55">
        <f t="shared" si="299"/>
        <v>45407</v>
      </c>
      <c r="FK53" s="55">
        <f t="shared" ref="FK53:FN53" si="300">FJ53+1</f>
        <v>45408</v>
      </c>
      <c r="FL53" s="55">
        <f t="shared" si="300"/>
        <v>45409</v>
      </c>
      <c r="FM53" s="55">
        <f t="shared" si="300"/>
        <v>45410</v>
      </c>
      <c r="FN53" s="55">
        <f t="shared" si="300"/>
        <v>45411</v>
      </c>
      <c r="FO53" s="55">
        <f t="shared" ref="FO53:FS53" si="301">FN53+1</f>
        <v>45412</v>
      </c>
      <c r="FP53" s="55">
        <f t="shared" si="301"/>
        <v>45413</v>
      </c>
      <c r="FQ53" s="55">
        <f t="shared" si="301"/>
        <v>45414</v>
      </c>
      <c r="FR53" s="55">
        <f t="shared" si="301"/>
        <v>45415</v>
      </c>
      <c r="FS53" s="55">
        <f t="shared" si="301"/>
        <v>45416</v>
      </c>
      <c r="FT53" s="55">
        <f t="shared" ref="FT53:FV53" si="302">FS53+1</f>
        <v>45417</v>
      </c>
      <c r="FU53" s="55">
        <f t="shared" si="302"/>
        <v>45418</v>
      </c>
      <c r="FV53" s="55">
        <f t="shared" si="302"/>
        <v>45419</v>
      </c>
      <c r="FW53" s="55">
        <f t="shared" ref="FW53:GA53" si="303">FV53+1</f>
        <v>45420</v>
      </c>
      <c r="FX53" s="55">
        <f t="shared" si="303"/>
        <v>45421</v>
      </c>
      <c r="FY53" s="55">
        <f t="shared" si="303"/>
        <v>45422</v>
      </c>
      <c r="FZ53" s="55">
        <f t="shared" si="303"/>
        <v>45423</v>
      </c>
      <c r="GA53" s="55">
        <f t="shared" si="303"/>
        <v>45424</v>
      </c>
      <c r="GB53" s="55">
        <f t="shared" ref="GB53:GC53" si="304">GA53+1</f>
        <v>45425</v>
      </c>
      <c r="GC53" s="55">
        <f t="shared" si="304"/>
        <v>45426</v>
      </c>
      <c r="GD53" s="55">
        <f t="shared" ref="GD53:GI53" si="305">GC53+1</f>
        <v>45427</v>
      </c>
      <c r="GE53" s="55">
        <f t="shared" si="305"/>
        <v>45428</v>
      </c>
      <c r="GF53" s="55">
        <f t="shared" si="305"/>
        <v>45429</v>
      </c>
      <c r="GG53" s="55">
        <f t="shared" si="305"/>
        <v>45430</v>
      </c>
      <c r="GH53" s="55">
        <f t="shared" si="305"/>
        <v>45431</v>
      </c>
      <c r="GI53" s="55">
        <f t="shared" si="305"/>
        <v>45432</v>
      </c>
      <c r="GJ53" s="55">
        <f t="shared" ref="GJ53:GT53" si="306">GI53+1</f>
        <v>45433</v>
      </c>
      <c r="GK53" s="55">
        <f t="shared" si="306"/>
        <v>45434</v>
      </c>
      <c r="GL53" s="55">
        <f t="shared" si="306"/>
        <v>45435</v>
      </c>
      <c r="GM53" s="55">
        <f t="shared" si="306"/>
        <v>45436</v>
      </c>
      <c r="GN53" s="55">
        <f t="shared" si="306"/>
        <v>45437</v>
      </c>
      <c r="GO53" s="55">
        <f t="shared" si="306"/>
        <v>45438</v>
      </c>
      <c r="GP53" s="55">
        <f t="shared" si="306"/>
        <v>45439</v>
      </c>
      <c r="GQ53" s="55">
        <f t="shared" si="306"/>
        <v>45440</v>
      </c>
      <c r="GR53" s="55">
        <f t="shared" si="306"/>
        <v>45441</v>
      </c>
      <c r="GS53" s="55">
        <f t="shared" si="306"/>
        <v>45442</v>
      </c>
      <c r="GT53" s="55">
        <f t="shared" si="306"/>
        <v>45443</v>
      </c>
    </row>
    <row r="54" spans="2:204" x14ac:dyDescent="0.3">
      <c r="B54" s="75"/>
      <c r="E54" s="15" t="s">
        <v>1</v>
      </c>
      <c r="F54" s="3">
        <v>617</v>
      </c>
      <c r="G54" s="3">
        <v>469</v>
      </c>
      <c r="H54" s="3">
        <v>485</v>
      </c>
      <c r="I54" s="3">
        <v>725</v>
      </c>
      <c r="J54" s="3">
        <v>1075</v>
      </c>
      <c r="K54" s="3">
        <v>1074</v>
      </c>
      <c r="L54" s="3">
        <v>1075</v>
      </c>
      <c r="M54" s="3">
        <v>1084</v>
      </c>
      <c r="N54" s="3">
        <v>825</v>
      </c>
      <c r="O54" s="3">
        <v>553</v>
      </c>
      <c r="P54" s="3">
        <v>1282</v>
      </c>
      <c r="Q54" s="3">
        <v>985</v>
      </c>
      <c r="R54" s="3">
        <v>1143</v>
      </c>
      <c r="S54" s="3">
        <v>961</v>
      </c>
      <c r="T54" s="3">
        <v>882</v>
      </c>
      <c r="U54" s="3">
        <v>535</v>
      </c>
      <c r="V54" s="3">
        <v>304</v>
      </c>
      <c r="W54" s="3">
        <v>615</v>
      </c>
      <c r="X54" s="3">
        <v>595</v>
      </c>
      <c r="Y54" s="3">
        <v>614</v>
      </c>
      <c r="Z54" s="3">
        <v>561</v>
      </c>
      <c r="AA54" s="3">
        <v>461</v>
      </c>
      <c r="AB54" s="3">
        <v>317</v>
      </c>
      <c r="AC54" s="3">
        <v>253</v>
      </c>
      <c r="AD54" s="3">
        <v>606</v>
      </c>
      <c r="AE54" s="3">
        <v>591</v>
      </c>
      <c r="AF54" s="3">
        <v>560</v>
      </c>
      <c r="AG54" s="3">
        <v>471</v>
      </c>
      <c r="AH54" s="3">
        <v>432</v>
      </c>
      <c r="AI54" s="3">
        <v>367</v>
      </c>
      <c r="AJ54" s="3">
        <v>299</v>
      </c>
      <c r="AK54" s="3">
        <v>887</v>
      </c>
      <c r="AL54" s="3">
        <v>624</v>
      </c>
      <c r="AM54" s="3">
        <v>625</v>
      </c>
      <c r="AN54" s="3">
        <v>739</v>
      </c>
      <c r="AO54" s="3">
        <v>708</v>
      </c>
      <c r="AP54" s="3">
        <v>435</v>
      </c>
      <c r="AQ54" s="3">
        <v>256</v>
      </c>
      <c r="AR54" s="3">
        <v>177</v>
      </c>
      <c r="AS54" s="3">
        <v>632</v>
      </c>
      <c r="AT54" s="3">
        <v>488</v>
      </c>
      <c r="AU54" s="3">
        <v>417</v>
      </c>
      <c r="AV54" s="3">
        <v>412</v>
      </c>
      <c r="AW54" s="3">
        <v>275</v>
      </c>
      <c r="AX54" s="3">
        <v>176</v>
      </c>
      <c r="AY54" s="3">
        <v>129</v>
      </c>
      <c r="AZ54" s="3">
        <v>500</v>
      </c>
      <c r="BA54" s="3">
        <v>495</v>
      </c>
      <c r="BB54" s="3">
        <v>347</v>
      </c>
      <c r="BC54" s="3">
        <v>323</v>
      </c>
      <c r="BD54" s="3">
        <v>199</v>
      </c>
      <c r="BE54" s="3">
        <v>176</v>
      </c>
      <c r="BF54" s="3">
        <v>370</v>
      </c>
      <c r="BG54" s="3">
        <v>357</v>
      </c>
      <c r="BH54" s="3">
        <v>252</v>
      </c>
      <c r="BI54" s="3">
        <v>285</v>
      </c>
      <c r="BJ54" s="3">
        <v>243</v>
      </c>
      <c r="BK54" s="3">
        <v>165</v>
      </c>
      <c r="BL54" s="3">
        <v>124</v>
      </c>
      <c r="BM54" s="3">
        <v>311</v>
      </c>
      <c r="BN54" s="3">
        <v>353</v>
      </c>
      <c r="BO54" s="3">
        <v>330</v>
      </c>
      <c r="BP54" s="3">
        <v>323</v>
      </c>
      <c r="BQ54" s="3">
        <v>310</v>
      </c>
      <c r="BR54" s="3">
        <v>178</v>
      </c>
      <c r="BS54" s="3">
        <v>94</v>
      </c>
      <c r="BT54" s="3">
        <v>278</v>
      </c>
      <c r="BU54" s="3">
        <v>285</v>
      </c>
      <c r="BV54" s="3">
        <v>206</v>
      </c>
      <c r="BW54" s="3">
        <v>214</v>
      </c>
      <c r="BX54" s="3">
        <v>192</v>
      </c>
      <c r="BY54" s="3">
        <v>149</v>
      </c>
      <c r="BZ54" s="3">
        <v>84</v>
      </c>
      <c r="CA54" s="3">
        <v>259</v>
      </c>
      <c r="CB54" s="3">
        <v>245</v>
      </c>
      <c r="CC54" s="3">
        <v>232</v>
      </c>
      <c r="CD54" s="3">
        <v>208</v>
      </c>
      <c r="CE54" s="3">
        <v>193</v>
      </c>
      <c r="CF54" s="3">
        <v>180</v>
      </c>
      <c r="CG54" s="3">
        <v>89</v>
      </c>
      <c r="CH54" s="3">
        <v>168</v>
      </c>
      <c r="CI54" s="3">
        <v>264</v>
      </c>
      <c r="CJ54" s="3">
        <v>224</v>
      </c>
      <c r="CK54" s="3">
        <v>197</v>
      </c>
      <c r="CL54" s="3">
        <v>155</v>
      </c>
      <c r="CM54" s="3">
        <v>130</v>
      </c>
      <c r="CN54" s="3">
        <v>82</v>
      </c>
      <c r="CO54" s="3">
        <v>252</v>
      </c>
      <c r="CP54" s="3">
        <v>232</v>
      </c>
      <c r="CQ54" s="3">
        <v>157</v>
      </c>
      <c r="CR54" s="3">
        <v>243</v>
      </c>
      <c r="CS54" s="3">
        <v>188</v>
      </c>
      <c r="CT54" s="3">
        <v>137</v>
      </c>
      <c r="CU54" s="3">
        <v>100</v>
      </c>
      <c r="CV54" s="3">
        <v>259</v>
      </c>
      <c r="CW54" s="3">
        <v>329</v>
      </c>
      <c r="CX54" s="3">
        <v>315</v>
      </c>
      <c r="CY54" s="3">
        <v>218</v>
      </c>
      <c r="CZ54" s="3">
        <v>165</v>
      </c>
      <c r="DA54" s="3">
        <v>107</v>
      </c>
      <c r="DB54" s="3">
        <v>95</v>
      </c>
      <c r="DC54" s="3">
        <v>207</v>
      </c>
      <c r="DD54" s="3">
        <v>248</v>
      </c>
      <c r="DE54" s="3">
        <v>194</v>
      </c>
      <c r="DF54" s="3">
        <v>187</v>
      </c>
      <c r="DG54" s="3">
        <v>176</v>
      </c>
      <c r="DH54" s="3">
        <v>130</v>
      </c>
      <c r="DI54" s="3">
        <v>96</v>
      </c>
      <c r="DJ54" s="3">
        <v>342</v>
      </c>
      <c r="DK54" s="3">
        <v>204</v>
      </c>
      <c r="DL54" s="3">
        <v>217</v>
      </c>
      <c r="DM54" s="3">
        <v>223</v>
      </c>
      <c r="DN54" s="3">
        <v>143</v>
      </c>
      <c r="DO54" s="3">
        <v>129</v>
      </c>
      <c r="DP54" s="3">
        <v>68</v>
      </c>
      <c r="DQ54" s="3">
        <v>247</v>
      </c>
      <c r="DR54" s="3">
        <v>202</v>
      </c>
      <c r="DS54" s="3">
        <v>235</v>
      </c>
      <c r="DT54" s="3">
        <v>201</v>
      </c>
      <c r="DU54" s="3">
        <v>199</v>
      </c>
      <c r="DV54" s="3">
        <v>147</v>
      </c>
      <c r="DW54" s="3">
        <v>96</v>
      </c>
      <c r="DX54" s="3">
        <v>107</v>
      </c>
      <c r="DY54" s="3">
        <v>264</v>
      </c>
      <c r="DZ54" s="3">
        <v>260</v>
      </c>
      <c r="EA54" s="3">
        <v>200</v>
      </c>
      <c r="EB54" s="3">
        <v>211</v>
      </c>
      <c r="EC54" s="3">
        <v>120</v>
      </c>
      <c r="ED54" s="3">
        <v>99</v>
      </c>
      <c r="EE54" s="3">
        <v>219</v>
      </c>
      <c r="EF54" s="3">
        <v>196</v>
      </c>
      <c r="EG54" s="3">
        <v>201</v>
      </c>
      <c r="EH54" s="3">
        <v>130</v>
      </c>
      <c r="EI54" s="3">
        <v>118</v>
      </c>
      <c r="EJ54" s="3">
        <v>90</v>
      </c>
      <c r="EK54" s="3">
        <v>80</v>
      </c>
      <c r="EL54" s="3">
        <v>256</v>
      </c>
      <c r="EM54" s="3">
        <v>234</v>
      </c>
      <c r="EN54" s="3">
        <v>219</v>
      </c>
      <c r="EO54" s="3">
        <v>239</v>
      </c>
      <c r="EP54" s="3">
        <v>231</v>
      </c>
      <c r="EQ54" s="3">
        <v>150</v>
      </c>
      <c r="ER54" s="3">
        <v>102</v>
      </c>
      <c r="ES54" s="3">
        <v>267</v>
      </c>
      <c r="ET54" s="3">
        <v>236</v>
      </c>
      <c r="EU54" s="3">
        <v>264</v>
      </c>
      <c r="EV54" s="3">
        <v>246</v>
      </c>
      <c r="EW54" s="3">
        <v>230</v>
      </c>
      <c r="EX54" s="3">
        <v>154</v>
      </c>
      <c r="EY54" s="3">
        <v>131</v>
      </c>
      <c r="EZ54" s="3">
        <v>254</v>
      </c>
      <c r="FA54" s="3">
        <v>248</v>
      </c>
      <c r="FB54" s="3">
        <v>283</v>
      </c>
      <c r="FC54" s="3">
        <v>266</v>
      </c>
      <c r="FD54" s="3">
        <v>228</v>
      </c>
      <c r="FE54" s="3">
        <v>153</v>
      </c>
      <c r="FF54" s="3">
        <v>124</v>
      </c>
      <c r="FG54" s="3">
        <v>282</v>
      </c>
      <c r="FH54" s="3">
        <v>241</v>
      </c>
      <c r="FI54" s="3">
        <v>244</v>
      </c>
      <c r="FJ54" s="3">
        <v>250</v>
      </c>
      <c r="FK54" s="3">
        <v>197</v>
      </c>
      <c r="FL54" s="3">
        <v>129</v>
      </c>
      <c r="FM54" s="3">
        <v>96</v>
      </c>
      <c r="FN54" s="3">
        <v>295</v>
      </c>
      <c r="FO54" s="3">
        <v>245</v>
      </c>
      <c r="FP54" s="3">
        <v>141</v>
      </c>
      <c r="FQ54" s="3">
        <v>322</v>
      </c>
      <c r="FR54" s="3">
        <v>257</v>
      </c>
      <c r="FS54" s="3">
        <v>161</v>
      </c>
      <c r="FT54" s="3">
        <v>119</v>
      </c>
      <c r="FU54" s="3">
        <v>272</v>
      </c>
      <c r="FV54" s="3">
        <v>251</v>
      </c>
      <c r="FW54" s="3">
        <v>270</v>
      </c>
      <c r="FX54" s="3">
        <v>245</v>
      </c>
      <c r="FY54" s="3">
        <v>169</v>
      </c>
      <c r="FZ54" s="3">
        <v>147</v>
      </c>
      <c r="GA54" s="3">
        <v>115</v>
      </c>
      <c r="GB54" s="3">
        <v>321</v>
      </c>
      <c r="GC54" s="3">
        <v>350</v>
      </c>
      <c r="GD54" s="3">
        <v>501</v>
      </c>
      <c r="GE54" s="3">
        <v>516</v>
      </c>
      <c r="GF54" s="3">
        <v>545</v>
      </c>
      <c r="GG54" s="3">
        <v>475</v>
      </c>
      <c r="GH54" s="3">
        <v>294</v>
      </c>
      <c r="GI54" s="3">
        <v>669</v>
      </c>
      <c r="GJ54" s="3">
        <v>718</v>
      </c>
      <c r="GK54" s="3">
        <v>860</v>
      </c>
      <c r="GL54" s="3">
        <v>1013</v>
      </c>
      <c r="GM54" s="3">
        <v>781</v>
      </c>
      <c r="GN54" s="3">
        <v>481</v>
      </c>
      <c r="GO54" s="3">
        <v>304</v>
      </c>
      <c r="GP54" s="3"/>
      <c r="GQ54" s="3"/>
      <c r="GR54" s="3"/>
      <c r="GS54" s="3"/>
      <c r="GT54" s="3"/>
      <c r="GU54" s="29">
        <f>SUM(F54:GT54)</f>
        <v>63339</v>
      </c>
    </row>
    <row r="55" spans="2:204" ht="15" thickBot="1" x14ac:dyDescent="0.35">
      <c r="B55" s="75"/>
      <c r="E55" s="16" t="s">
        <v>2</v>
      </c>
      <c r="F55" s="18">
        <v>570</v>
      </c>
      <c r="G55" s="17">
        <v>317</v>
      </c>
      <c r="H55" s="17">
        <v>245</v>
      </c>
      <c r="I55" s="18">
        <v>570</v>
      </c>
      <c r="J55" s="18">
        <v>570</v>
      </c>
      <c r="K55" s="18">
        <v>570</v>
      </c>
      <c r="L55" s="18">
        <v>570</v>
      </c>
      <c r="M55" s="18">
        <v>570</v>
      </c>
      <c r="N55" s="17">
        <v>317</v>
      </c>
      <c r="O55" s="17">
        <v>245</v>
      </c>
      <c r="P55" s="18">
        <v>570</v>
      </c>
      <c r="Q55" s="18">
        <v>532</v>
      </c>
      <c r="R55" s="18">
        <v>570</v>
      </c>
      <c r="S55" s="18">
        <v>565.5</v>
      </c>
      <c r="T55" s="18">
        <v>565.5</v>
      </c>
      <c r="U55" s="18">
        <v>302</v>
      </c>
      <c r="V55" s="18">
        <v>302</v>
      </c>
      <c r="W55" s="18">
        <v>565.5</v>
      </c>
      <c r="X55" s="18">
        <v>565.5</v>
      </c>
      <c r="Y55" s="18">
        <v>565.5</v>
      </c>
      <c r="Z55" s="18">
        <v>413</v>
      </c>
      <c r="AA55" s="18">
        <f>Z55</f>
        <v>413</v>
      </c>
      <c r="AB55" s="18">
        <v>266</v>
      </c>
      <c r="AC55" s="18">
        <v>227</v>
      </c>
      <c r="AD55" s="18">
        <f>AA55</f>
        <v>413</v>
      </c>
      <c r="AE55" s="18">
        <f t="shared" ref="AE55" si="307">AD55</f>
        <v>413</v>
      </c>
      <c r="AF55" s="18">
        <f t="shared" ref="AF55:AG55" si="308">AE55</f>
        <v>413</v>
      </c>
      <c r="AG55" s="18">
        <f t="shared" si="308"/>
        <v>413</v>
      </c>
      <c r="AH55" s="18">
        <f t="shared" ref="AH55" si="309">AG55</f>
        <v>413</v>
      </c>
      <c r="AI55" s="18">
        <v>225</v>
      </c>
      <c r="AJ55" s="18">
        <v>289</v>
      </c>
      <c r="AK55" s="18">
        <v>489</v>
      </c>
      <c r="AL55" s="18">
        <f t="shared" ref="AL55:AM55" si="310">AK55</f>
        <v>489</v>
      </c>
      <c r="AM55" s="18">
        <f t="shared" si="310"/>
        <v>489</v>
      </c>
      <c r="AN55" s="18">
        <f t="shared" ref="AN55:AO55" si="311">AM55</f>
        <v>489</v>
      </c>
      <c r="AO55" s="18">
        <f t="shared" si="311"/>
        <v>489</v>
      </c>
      <c r="AP55" s="18">
        <v>383</v>
      </c>
      <c r="AQ55" s="18">
        <v>296</v>
      </c>
      <c r="AR55" s="18">
        <v>350</v>
      </c>
      <c r="AS55" s="18">
        <f>AO55</f>
        <v>489</v>
      </c>
      <c r="AT55" s="18">
        <f t="shared" ref="AT55" si="312">AS55</f>
        <v>489</v>
      </c>
      <c r="AU55" s="18">
        <f t="shared" ref="AU55:AV55" si="313">AT55</f>
        <v>489</v>
      </c>
      <c r="AV55" s="18">
        <f t="shared" si="313"/>
        <v>489</v>
      </c>
      <c r="AW55" s="18">
        <v>225</v>
      </c>
      <c r="AX55" s="18">
        <v>243</v>
      </c>
      <c r="AY55" s="18">
        <v>244</v>
      </c>
      <c r="AZ55" s="18">
        <v>373</v>
      </c>
      <c r="BA55" s="18">
        <f t="shared" ref="BA55" si="314">AZ55</f>
        <v>373</v>
      </c>
      <c r="BB55" s="18">
        <f t="shared" ref="BB55:BC55" si="315">BA55</f>
        <v>373</v>
      </c>
      <c r="BC55" s="18">
        <f t="shared" si="315"/>
        <v>373</v>
      </c>
      <c r="BD55" s="18">
        <v>238</v>
      </c>
      <c r="BE55" s="18">
        <v>198</v>
      </c>
      <c r="BF55" s="18">
        <f>BC55</f>
        <v>373</v>
      </c>
      <c r="BG55" s="18">
        <f t="shared" ref="BG55" si="316">BF55</f>
        <v>373</v>
      </c>
      <c r="BH55" s="18">
        <f t="shared" ref="BH55:BJ55" si="317">BG55</f>
        <v>373</v>
      </c>
      <c r="BI55" s="18">
        <f t="shared" si="317"/>
        <v>373</v>
      </c>
      <c r="BJ55" s="18">
        <f t="shared" si="317"/>
        <v>373</v>
      </c>
      <c r="BK55" s="18">
        <v>220</v>
      </c>
      <c r="BL55" s="18">
        <v>192</v>
      </c>
      <c r="BM55" s="18">
        <f>BJ55</f>
        <v>373</v>
      </c>
      <c r="BN55" s="18">
        <f t="shared" ref="BN55" si="318">BM55</f>
        <v>373</v>
      </c>
      <c r="BO55" s="18">
        <f t="shared" ref="BO55:BP55" si="319">BN55</f>
        <v>373</v>
      </c>
      <c r="BP55" s="18">
        <f t="shared" si="319"/>
        <v>373</v>
      </c>
      <c r="BQ55" s="18">
        <f t="shared" ref="BQ55" si="320">BP55</f>
        <v>373</v>
      </c>
      <c r="BR55" s="18">
        <v>258</v>
      </c>
      <c r="BS55" s="18">
        <v>229</v>
      </c>
      <c r="BT55" s="18">
        <f>BQ55</f>
        <v>373</v>
      </c>
      <c r="BU55" s="18">
        <f t="shared" ref="BU55" si="321">BT55</f>
        <v>373</v>
      </c>
      <c r="BV55" s="18">
        <f t="shared" ref="BV55:BW55" si="322">BU55</f>
        <v>373</v>
      </c>
      <c r="BW55" s="18">
        <f t="shared" si="322"/>
        <v>373</v>
      </c>
      <c r="BX55" s="18">
        <f t="shared" ref="BX55" si="323">BW55</f>
        <v>373</v>
      </c>
      <c r="BY55" s="18">
        <v>167</v>
      </c>
      <c r="BZ55" s="18">
        <v>186</v>
      </c>
      <c r="CA55" s="18">
        <f>BX55</f>
        <v>373</v>
      </c>
      <c r="CB55" s="18">
        <f t="shared" ref="CB55:CC55" si="324">CA55</f>
        <v>373</v>
      </c>
      <c r="CC55" s="18">
        <f t="shared" si="324"/>
        <v>373</v>
      </c>
      <c r="CD55" s="18">
        <f t="shared" ref="CD55:CE55" si="325">CC55</f>
        <v>373</v>
      </c>
      <c r="CE55" s="18">
        <f t="shared" si="325"/>
        <v>373</v>
      </c>
      <c r="CF55" s="18">
        <v>209</v>
      </c>
      <c r="CG55" s="18">
        <v>171</v>
      </c>
      <c r="CH55" s="18">
        <v>209</v>
      </c>
      <c r="CI55" s="18">
        <v>454</v>
      </c>
      <c r="CJ55" s="18">
        <f t="shared" ref="CJ55:CL55" si="326">CI55</f>
        <v>454</v>
      </c>
      <c r="CK55" s="18">
        <f t="shared" si="326"/>
        <v>454</v>
      </c>
      <c r="CL55" s="18">
        <f t="shared" si="326"/>
        <v>454</v>
      </c>
      <c r="CM55" s="18">
        <v>209</v>
      </c>
      <c r="CN55" s="18">
        <v>209</v>
      </c>
      <c r="CO55" s="18">
        <f>CL55</f>
        <v>454</v>
      </c>
      <c r="CP55" s="18">
        <f t="shared" ref="CP55" si="327">CO55</f>
        <v>454</v>
      </c>
      <c r="CQ55" s="18">
        <v>377</v>
      </c>
      <c r="CR55" s="18">
        <f t="shared" ref="CR55:CS55" si="328">CQ55</f>
        <v>377</v>
      </c>
      <c r="CS55" s="18">
        <f t="shared" si="328"/>
        <v>377</v>
      </c>
      <c r="CT55" s="18">
        <v>209</v>
      </c>
      <c r="CU55" s="18">
        <v>209</v>
      </c>
      <c r="CV55" s="18">
        <f>CS55</f>
        <v>377</v>
      </c>
      <c r="CW55" s="18">
        <f t="shared" ref="CW55" si="329">CV55</f>
        <v>377</v>
      </c>
      <c r="CX55" s="18">
        <f t="shared" ref="CX55:CZ55" si="330">CW55</f>
        <v>377</v>
      </c>
      <c r="CY55" s="18">
        <f t="shared" si="330"/>
        <v>377</v>
      </c>
      <c r="CZ55" s="18">
        <f t="shared" si="330"/>
        <v>377</v>
      </c>
      <c r="DA55" s="18">
        <v>209</v>
      </c>
      <c r="DB55" s="18">
        <v>209</v>
      </c>
      <c r="DC55" s="18">
        <f>CZ55</f>
        <v>377</v>
      </c>
      <c r="DD55" s="18">
        <f t="shared" ref="DD55" si="331">DC55</f>
        <v>377</v>
      </c>
      <c r="DE55" s="18">
        <f t="shared" ref="DE55:DG55" si="332">DD55</f>
        <v>377</v>
      </c>
      <c r="DF55" s="18">
        <f t="shared" si="332"/>
        <v>377</v>
      </c>
      <c r="DG55" s="18">
        <f t="shared" si="332"/>
        <v>377</v>
      </c>
      <c r="DH55" s="18">
        <v>209</v>
      </c>
      <c r="DI55" s="18">
        <v>209</v>
      </c>
      <c r="DJ55" s="18">
        <f>DG55</f>
        <v>377</v>
      </c>
      <c r="DK55" s="18">
        <f t="shared" ref="DK55:DN55" si="333">DJ55</f>
        <v>377</v>
      </c>
      <c r="DL55" s="18">
        <f t="shared" si="333"/>
        <v>377</v>
      </c>
      <c r="DM55" s="18">
        <f t="shared" si="333"/>
        <v>377</v>
      </c>
      <c r="DN55" s="18">
        <f t="shared" si="333"/>
        <v>377</v>
      </c>
      <c r="DO55" s="18">
        <v>209</v>
      </c>
      <c r="DP55" s="18">
        <v>209</v>
      </c>
      <c r="DQ55" s="18">
        <f>DN55</f>
        <v>377</v>
      </c>
      <c r="DR55" s="18">
        <f t="shared" ref="DR55" si="334">DQ55</f>
        <v>377</v>
      </c>
      <c r="DS55" s="18">
        <f t="shared" ref="DS55:DT55" si="335">DR55</f>
        <v>377</v>
      </c>
      <c r="DT55" s="18">
        <f t="shared" si="335"/>
        <v>377</v>
      </c>
      <c r="DU55" s="18">
        <f t="shared" ref="DU55" si="336">DT55</f>
        <v>377</v>
      </c>
      <c r="DV55" s="18">
        <v>209</v>
      </c>
      <c r="DW55" s="18">
        <v>209</v>
      </c>
      <c r="DX55" s="18">
        <v>143</v>
      </c>
      <c r="DY55" s="18">
        <f>DU55</f>
        <v>377</v>
      </c>
      <c r="DZ55" s="18">
        <f t="shared" ref="DZ55:EA55" si="337">DY55</f>
        <v>377</v>
      </c>
      <c r="EA55" s="18">
        <f t="shared" si="337"/>
        <v>377</v>
      </c>
      <c r="EB55" s="18">
        <f t="shared" ref="EB55:EI55" si="338">EA55</f>
        <v>377</v>
      </c>
      <c r="EC55" s="18">
        <v>209</v>
      </c>
      <c r="ED55" s="18">
        <v>209</v>
      </c>
      <c r="EE55" s="18">
        <f>EB55</f>
        <v>377</v>
      </c>
      <c r="EF55" s="18">
        <f t="shared" si="338"/>
        <v>377</v>
      </c>
      <c r="EG55" s="18">
        <f t="shared" si="338"/>
        <v>377</v>
      </c>
      <c r="EH55" s="18">
        <f t="shared" si="338"/>
        <v>377</v>
      </c>
      <c r="EI55" s="18">
        <f t="shared" si="338"/>
        <v>377</v>
      </c>
      <c r="EJ55" s="18">
        <v>209</v>
      </c>
      <c r="EK55" s="18">
        <v>209</v>
      </c>
      <c r="EL55" s="18">
        <f>EI55</f>
        <v>377</v>
      </c>
      <c r="EM55" s="18">
        <f t="shared" ref="EM55:EP55" si="339">EL55</f>
        <v>377</v>
      </c>
      <c r="EN55" s="18">
        <f t="shared" si="339"/>
        <v>377</v>
      </c>
      <c r="EO55" s="18">
        <f t="shared" si="339"/>
        <v>377</v>
      </c>
      <c r="EP55" s="18">
        <f t="shared" si="339"/>
        <v>377</v>
      </c>
      <c r="EQ55" s="18">
        <v>209</v>
      </c>
      <c r="ER55" s="18">
        <v>209</v>
      </c>
      <c r="ES55" s="18">
        <f>EP55</f>
        <v>377</v>
      </c>
      <c r="ET55" s="18">
        <f t="shared" ref="ET55:EW55" si="340">ES55</f>
        <v>377</v>
      </c>
      <c r="EU55" s="18">
        <f t="shared" si="340"/>
        <v>377</v>
      </c>
      <c r="EV55" s="18">
        <f t="shared" si="340"/>
        <v>377</v>
      </c>
      <c r="EW55" s="18">
        <f t="shared" si="340"/>
        <v>377</v>
      </c>
      <c r="EX55" s="18">
        <v>209</v>
      </c>
      <c r="EY55" s="18">
        <v>209</v>
      </c>
      <c r="EZ55" s="18">
        <f>EW55</f>
        <v>377</v>
      </c>
      <c r="FA55" s="18">
        <f t="shared" ref="FA55:FB55" si="341">EZ55</f>
        <v>377</v>
      </c>
      <c r="FB55" s="18">
        <f t="shared" si="341"/>
        <v>377</v>
      </c>
      <c r="FC55" s="18">
        <f t="shared" ref="FC55:FD55" si="342">FB55</f>
        <v>377</v>
      </c>
      <c r="FD55" s="18">
        <f t="shared" si="342"/>
        <v>377</v>
      </c>
      <c r="FE55" s="18">
        <v>209</v>
      </c>
      <c r="FF55" s="18">
        <v>209</v>
      </c>
      <c r="FG55" s="18">
        <f>FD55</f>
        <v>377</v>
      </c>
      <c r="FH55" s="18">
        <f t="shared" ref="FH55:FJ55" si="343">FG55</f>
        <v>377</v>
      </c>
      <c r="FI55" s="18">
        <f t="shared" si="343"/>
        <v>377</v>
      </c>
      <c r="FJ55" s="18">
        <f t="shared" si="343"/>
        <v>377</v>
      </c>
      <c r="FK55" s="18">
        <f t="shared" ref="FK55" si="344">FJ55</f>
        <v>377</v>
      </c>
      <c r="FL55" s="18">
        <v>209</v>
      </c>
      <c r="FM55" s="18">
        <v>209</v>
      </c>
      <c r="FN55" s="18">
        <f>FK55</f>
        <v>377</v>
      </c>
      <c r="FO55" s="18">
        <f t="shared" ref="FO55" si="345">FN55</f>
        <v>377</v>
      </c>
      <c r="FP55" s="18">
        <v>143</v>
      </c>
      <c r="FQ55" s="18">
        <f>FO55</f>
        <v>377</v>
      </c>
      <c r="FR55" s="18">
        <f t="shared" ref="FR55" si="346">FQ55</f>
        <v>377</v>
      </c>
      <c r="FS55" s="18">
        <v>209</v>
      </c>
      <c r="FT55" s="18">
        <v>209</v>
      </c>
      <c r="FU55" s="18">
        <f>FR55</f>
        <v>377</v>
      </c>
      <c r="FV55" s="18">
        <f t="shared" ref="FV55:FY55" si="347">FU55</f>
        <v>377</v>
      </c>
      <c r="FW55" s="18">
        <f t="shared" si="347"/>
        <v>377</v>
      </c>
      <c r="FX55" s="18">
        <f t="shared" si="347"/>
        <v>377</v>
      </c>
      <c r="FY55" s="18">
        <f t="shared" si="347"/>
        <v>377</v>
      </c>
      <c r="FZ55" s="18">
        <v>209</v>
      </c>
      <c r="GA55" s="18">
        <v>138</v>
      </c>
      <c r="GB55" s="18">
        <v>377</v>
      </c>
      <c r="GC55" s="18">
        <v>232</v>
      </c>
      <c r="GD55" s="18">
        <v>305</v>
      </c>
      <c r="GE55" s="18">
        <f t="shared" ref="GE55" si="348">GD55</f>
        <v>305</v>
      </c>
      <c r="GF55" s="18">
        <v>595</v>
      </c>
      <c r="GG55" s="18">
        <v>276</v>
      </c>
      <c r="GH55" s="18">
        <v>276</v>
      </c>
      <c r="GI55" s="18">
        <f>GF55</f>
        <v>595</v>
      </c>
      <c r="GJ55" s="18">
        <f t="shared" ref="GJ55:GT55" si="349">GI55</f>
        <v>595</v>
      </c>
      <c r="GK55" s="18">
        <f t="shared" si="349"/>
        <v>595</v>
      </c>
      <c r="GL55" s="18">
        <f t="shared" si="349"/>
        <v>595</v>
      </c>
      <c r="GM55" s="18">
        <f t="shared" si="349"/>
        <v>595</v>
      </c>
      <c r="GN55" s="18">
        <v>278</v>
      </c>
      <c r="GO55" s="18">
        <v>276</v>
      </c>
      <c r="GP55" s="18">
        <f>GM55</f>
        <v>595</v>
      </c>
      <c r="GQ55" s="18">
        <f t="shared" si="349"/>
        <v>595</v>
      </c>
      <c r="GR55" s="18">
        <f t="shared" si="349"/>
        <v>595</v>
      </c>
      <c r="GS55" s="18">
        <f t="shared" si="349"/>
        <v>595</v>
      </c>
      <c r="GT55" s="18">
        <f t="shared" si="349"/>
        <v>595</v>
      </c>
      <c r="GU55" s="30">
        <f>SUM(F55:GT55)</f>
        <v>71574.5</v>
      </c>
    </row>
    <row r="56" spans="2:204" ht="15" thickBot="1" x14ac:dyDescent="0.35">
      <c r="B56" s="75"/>
      <c r="E56" s="23" t="s">
        <v>5</v>
      </c>
      <c r="F56" s="8">
        <v>273</v>
      </c>
      <c r="G56" s="8">
        <v>304</v>
      </c>
      <c r="H56" s="8">
        <v>412</v>
      </c>
      <c r="I56" s="8">
        <v>450</v>
      </c>
      <c r="J56" s="8">
        <v>714</v>
      </c>
      <c r="K56" s="8">
        <v>712</v>
      </c>
      <c r="L56" s="8">
        <v>790</v>
      </c>
      <c r="M56" s="8">
        <v>724</v>
      </c>
      <c r="N56" s="8">
        <v>360</v>
      </c>
      <c r="O56" s="8">
        <v>379</v>
      </c>
      <c r="P56" s="8">
        <v>730</v>
      </c>
      <c r="Q56" s="8">
        <v>704</v>
      </c>
      <c r="R56" s="8">
        <v>628</v>
      </c>
      <c r="S56" s="8">
        <v>502</v>
      </c>
      <c r="T56" s="8">
        <v>608</v>
      </c>
      <c r="U56" s="8">
        <v>251</v>
      </c>
      <c r="V56" s="8">
        <v>438</v>
      </c>
      <c r="W56" s="8">
        <v>650</v>
      </c>
      <c r="X56" s="8">
        <v>768</v>
      </c>
      <c r="Y56" s="8">
        <v>622</v>
      </c>
      <c r="Z56" s="8">
        <v>430</v>
      </c>
      <c r="AA56" s="8">
        <v>501</v>
      </c>
      <c r="AB56" s="8">
        <v>357</v>
      </c>
      <c r="AC56" s="8">
        <v>244</v>
      </c>
      <c r="AD56" s="8">
        <v>524</v>
      </c>
      <c r="AE56" s="8">
        <v>525</v>
      </c>
      <c r="AF56" s="8">
        <v>556</v>
      </c>
      <c r="AG56" s="8">
        <v>567</v>
      </c>
      <c r="AH56" s="8">
        <v>543</v>
      </c>
      <c r="AI56" s="8">
        <v>384</v>
      </c>
      <c r="AJ56" s="8">
        <v>191</v>
      </c>
      <c r="AK56" s="8">
        <v>553</v>
      </c>
      <c r="AL56" s="8">
        <v>414</v>
      </c>
      <c r="AM56" s="8">
        <v>600</v>
      </c>
      <c r="AN56" s="8">
        <v>519</v>
      </c>
      <c r="AO56" s="8">
        <v>620</v>
      </c>
      <c r="AP56" s="8">
        <v>388</v>
      </c>
      <c r="AQ56" s="8">
        <v>358</v>
      </c>
      <c r="AR56" s="8">
        <v>392</v>
      </c>
      <c r="AS56" s="8">
        <v>585</v>
      </c>
      <c r="AT56" s="8">
        <v>512</v>
      </c>
      <c r="AU56" s="8">
        <v>617</v>
      </c>
      <c r="AV56" s="8">
        <v>633</v>
      </c>
      <c r="AW56" s="8">
        <v>287</v>
      </c>
      <c r="AX56" s="8">
        <v>194</v>
      </c>
      <c r="AY56" s="8">
        <v>168</v>
      </c>
      <c r="AZ56" s="8">
        <v>510</v>
      </c>
      <c r="BA56" s="8">
        <v>504</v>
      </c>
      <c r="BB56" s="8">
        <v>523</v>
      </c>
      <c r="BC56" s="8">
        <v>375</v>
      </c>
      <c r="BD56" s="8">
        <v>241</v>
      </c>
      <c r="BE56" s="8">
        <v>219</v>
      </c>
      <c r="BF56" s="8">
        <v>391</v>
      </c>
      <c r="BG56" s="8">
        <v>425</v>
      </c>
      <c r="BH56" s="8">
        <v>302</v>
      </c>
      <c r="BI56" s="8">
        <v>308</v>
      </c>
      <c r="BJ56" s="8">
        <v>341</v>
      </c>
      <c r="BK56" s="8">
        <v>246</v>
      </c>
      <c r="BL56" s="8">
        <v>94</v>
      </c>
      <c r="BM56" s="8">
        <v>357</v>
      </c>
      <c r="BN56" s="8">
        <v>316</v>
      </c>
      <c r="BO56" s="8">
        <v>307</v>
      </c>
      <c r="BP56" s="8">
        <v>331</v>
      </c>
      <c r="BQ56" s="8">
        <v>296</v>
      </c>
      <c r="BR56" s="8">
        <v>141</v>
      </c>
      <c r="BS56" s="8">
        <v>160</v>
      </c>
      <c r="BT56" s="8">
        <v>200</v>
      </c>
      <c r="BU56" s="8">
        <v>390</v>
      </c>
      <c r="BV56" s="8">
        <v>294</v>
      </c>
      <c r="BW56" s="8">
        <v>281</v>
      </c>
      <c r="BX56" s="8">
        <v>305</v>
      </c>
      <c r="BY56" s="8">
        <v>115</v>
      </c>
      <c r="BZ56" s="8">
        <v>129</v>
      </c>
      <c r="CA56" s="8">
        <v>280</v>
      </c>
      <c r="CB56" s="8">
        <v>316</v>
      </c>
      <c r="CC56" s="8">
        <v>304</v>
      </c>
      <c r="CD56" s="8">
        <v>333</v>
      </c>
      <c r="CE56" s="8">
        <v>254</v>
      </c>
      <c r="CF56" s="8">
        <v>227</v>
      </c>
      <c r="CG56" s="8">
        <v>123</v>
      </c>
      <c r="CH56" s="8">
        <v>162</v>
      </c>
      <c r="CI56" s="8">
        <v>390</v>
      </c>
      <c r="CJ56" s="8">
        <v>323</v>
      </c>
      <c r="CK56" s="8">
        <v>284</v>
      </c>
      <c r="CL56" s="8">
        <v>280</v>
      </c>
      <c r="CM56" s="8">
        <v>176</v>
      </c>
      <c r="CN56" s="8">
        <v>150</v>
      </c>
      <c r="CO56" s="9">
        <v>326</v>
      </c>
      <c r="CP56" s="9">
        <v>278</v>
      </c>
      <c r="CQ56" s="9">
        <v>278</v>
      </c>
      <c r="CR56" s="9">
        <v>266</v>
      </c>
      <c r="CS56" s="9">
        <v>221</v>
      </c>
      <c r="CT56" s="9">
        <v>198</v>
      </c>
      <c r="CU56" s="9">
        <v>201</v>
      </c>
      <c r="CV56" s="9">
        <v>234</v>
      </c>
      <c r="CW56" s="9">
        <v>377</v>
      </c>
      <c r="CX56" s="9">
        <v>274</v>
      </c>
      <c r="CY56" s="9">
        <v>313</v>
      </c>
      <c r="CZ56" s="9">
        <v>319</v>
      </c>
      <c r="DA56" s="9">
        <v>243</v>
      </c>
      <c r="DB56" s="9">
        <v>92</v>
      </c>
      <c r="DC56" s="9">
        <v>344</v>
      </c>
      <c r="DD56" s="9">
        <v>274</v>
      </c>
      <c r="DE56" s="9">
        <v>294</v>
      </c>
      <c r="DF56" s="9">
        <v>259</v>
      </c>
      <c r="DG56" s="9">
        <f>157+38+21</f>
        <v>216</v>
      </c>
      <c r="DH56" s="9">
        <f>158+20+24</f>
        <v>202</v>
      </c>
      <c r="DI56" s="9">
        <f>139+10+7</f>
        <v>156</v>
      </c>
      <c r="DJ56" s="9">
        <f>193+68+42</f>
        <v>303</v>
      </c>
      <c r="DK56" s="9">
        <f>142+59+36</f>
        <v>237</v>
      </c>
      <c r="DL56" s="9">
        <f>252+39+43</f>
        <v>334</v>
      </c>
      <c r="DM56" s="9">
        <f>196+24+52</f>
        <v>272</v>
      </c>
      <c r="DN56" s="9">
        <f>152+23+29</f>
        <v>204</v>
      </c>
      <c r="DO56" s="9">
        <f>129+11+16</f>
        <v>156</v>
      </c>
      <c r="DP56" s="9">
        <f>54+11+6</f>
        <v>71</v>
      </c>
      <c r="DQ56" s="9">
        <f>218+29+26</f>
        <v>273</v>
      </c>
      <c r="DR56" s="9">
        <f>184+34+45</f>
        <v>263</v>
      </c>
      <c r="DS56" s="9">
        <f>248+15+52</f>
        <v>315</v>
      </c>
      <c r="DT56" s="9">
        <f>201+37+30</f>
        <v>268</v>
      </c>
      <c r="DU56" s="9">
        <f>204+41+39</f>
        <v>284</v>
      </c>
      <c r="DV56" s="9">
        <f>162+23+20</f>
        <v>205</v>
      </c>
      <c r="DW56" s="9">
        <f>81+12+3</f>
        <v>96</v>
      </c>
      <c r="DX56" s="9">
        <f>93+28+12</f>
        <v>133</v>
      </c>
      <c r="DY56" s="9">
        <f>243+52+38</f>
        <v>333</v>
      </c>
      <c r="DZ56" s="9">
        <f>177+91+35</f>
        <v>303</v>
      </c>
      <c r="EA56" s="9">
        <f>188+36+17</f>
        <v>241</v>
      </c>
      <c r="EB56" s="9">
        <f>188+77+17</f>
        <v>282</v>
      </c>
      <c r="EC56" s="9">
        <f>128+32+7</f>
        <v>167</v>
      </c>
      <c r="ED56" s="9">
        <f>73+5+4</f>
        <v>82</v>
      </c>
      <c r="EE56" s="9">
        <f>192+37+20</f>
        <v>249</v>
      </c>
      <c r="EF56" s="9">
        <f>192+52+19</f>
        <v>263</v>
      </c>
      <c r="EG56" s="9">
        <f>200+30+19</f>
        <v>249</v>
      </c>
      <c r="EH56" s="9">
        <f>171+29+21</f>
        <v>221</v>
      </c>
      <c r="EI56" s="9">
        <f>124+23+25</f>
        <v>172</v>
      </c>
      <c r="EJ56" s="9">
        <f>97+30+11</f>
        <v>138</v>
      </c>
      <c r="EK56" s="9">
        <f>75+11+6</f>
        <v>92</v>
      </c>
      <c r="EL56" s="9">
        <v>348</v>
      </c>
      <c r="EM56" s="9">
        <v>353</v>
      </c>
      <c r="EN56" s="9">
        <v>309</v>
      </c>
      <c r="EO56" s="9">
        <v>356</v>
      </c>
      <c r="EP56" s="9">
        <v>316</v>
      </c>
      <c r="EQ56" s="9">
        <v>198</v>
      </c>
      <c r="ER56" s="9">
        <v>220</v>
      </c>
      <c r="ES56" s="9">
        <v>392</v>
      </c>
      <c r="ET56" s="9">
        <v>353</v>
      </c>
      <c r="EU56" s="9">
        <v>427</v>
      </c>
      <c r="EV56" s="9">
        <v>446</v>
      </c>
      <c r="EW56" s="9">
        <v>355</v>
      </c>
      <c r="EX56" s="9">
        <v>243</v>
      </c>
      <c r="EY56" s="9">
        <v>179</v>
      </c>
      <c r="EZ56" s="9">
        <v>406</v>
      </c>
      <c r="FA56" s="9">
        <f>321+36+22</f>
        <v>379</v>
      </c>
      <c r="FB56" s="9">
        <f>372+47+20</f>
        <v>439</v>
      </c>
      <c r="FC56" s="9">
        <f>436+52+21</f>
        <v>509</v>
      </c>
      <c r="FD56" s="9">
        <f>268+29+19</f>
        <v>316</v>
      </c>
      <c r="FE56" s="9">
        <f>164+14+11</f>
        <v>189</v>
      </c>
      <c r="FF56" s="9">
        <f>133+5+10</f>
        <v>148</v>
      </c>
      <c r="FG56" s="9">
        <f>296+29+13</f>
        <v>338</v>
      </c>
      <c r="FH56" s="9">
        <f>322+22+25</f>
        <v>369</v>
      </c>
      <c r="FI56" s="9">
        <f>223+32+20</f>
        <v>275</v>
      </c>
      <c r="FJ56" s="9">
        <f>276+41+28</f>
        <v>345</v>
      </c>
      <c r="FK56" s="9">
        <f>187+30+18</f>
        <v>235</v>
      </c>
      <c r="FL56" s="9">
        <f>137+17+8</f>
        <v>162</v>
      </c>
      <c r="FM56" s="9">
        <f>100+5+0</f>
        <v>105</v>
      </c>
      <c r="FN56" s="9">
        <f>150+11+10</f>
        <v>171</v>
      </c>
      <c r="FO56" s="9">
        <f>224+47+19</f>
        <v>290</v>
      </c>
      <c r="FP56" s="9">
        <f>178+48+19</f>
        <v>245</v>
      </c>
      <c r="FQ56" s="9">
        <f>196+22+10</f>
        <v>228</v>
      </c>
      <c r="FR56" s="9">
        <f>269+27+9</f>
        <v>305</v>
      </c>
      <c r="FS56" s="9">
        <f>148+25+7</f>
        <v>180</v>
      </c>
      <c r="FT56" s="9">
        <f>153+21+6</f>
        <v>180</v>
      </c>
      <c r="FU56" s="9">
        <f>176+18+7</f>
        <v>201</v>
      </c>
      <c r="FV56" s="9">
        <f>225+27+18</f>
        <v>270</v>
      </c>
      <c r="FW56" s="9">
        <f>205+26+11</f>
        <v>242</v>
      </c>
      <c r="FX56" s="9">
        <f>245+30+7</f>
        <v>282</v>
      </c>
      <c r="FY56" s="9">
        <f>196+35+9</f>
        <v>240</v>
      </c>
      <c r="FZ56" s="9">
        <f>159+12+16</f>
        <v>187</v>
      </c>
      <c r="GA56" s="9">
        <f>132+10+4</f>
        <v>146</v>
      </c>
      <c r="GB56" s="9">
        <f>203+22+6</f>
        <v>231</v>
      </c>
      <c r="GC56" s="9">
        <f>219+45+21</f>
        <v>285</v>
      </c>
      <c r="GD56" s="9">
        <f>386+72+23</f>
        <v>481</v>
      </c>
      <c r="GE56" s="9">
        <f>456+58+21</f>
        <v>535</v>
      </c>
      <c r="GF56" s="9">
        <f>219+45+21</f>
        <v>285</v>
      </c>
      <c r="GG56" s="9">
        <f>386+72+23</f>
        <v>481</v>
      </c>
      <c r="GH56" s="9">
        <f>456+58+21</f>
        <v>535</v>
      </c>
      <c r="GI56" s="9">
        <f>335+46+14</f>
        <v>395</v>
      </c>
      <c r="GJ56" s="9">
        <f>486+83+36</f>
        <v>605</v>
      </c>
      <c r="GK56" s="9">
        <f>679+45+23</f>
        <v>747</v>
      </c>
      <c r="GL56" s="9">
        <f>646+15+17</f>
        <v>678</v>
      </c>
      <c r="GM56" s="9">
        <f>680+1+5</f>
        <v>686</v>
      </c>
      <c r="GN56" s="9">
        <f>471+23+15</f>
        <v>509</v>
      </c>
      <c r="GO56" s="9">
        <f>172+13+10</f>
        <v>195</v>
      </c>
      <c r="GP56" s="9"/>
      <c r="GQ56" s="9"/>
      <c r="GR56" s="9"/>
      <c r="GS56" s="9"/>
      <c r="GT56" s="9"/>
      <c r="GU56" s="29">
        <f>SUM(F56:GT56)</f>
        <v>64480</v>
      </c>
      <c r="GV56" s="33">
        <f>GU56-GU54</f>
        <v>1141</v>
      </c>
    </row>
    <row r="57" spans="2:204" x14ac:dyDescent="0.3">
      <c r="B57" s="75"/>
      <c r="E57" s="2" t="s">
        <v>110</v>
      </c>
      <c r="F57" s="31">
        <f t="shared" ref="F57" si="350">IFERROR((F55-F54)/F54,"")</f>
        <v>-7.6175040518638576E-2</v>
      </c>
      <c r="G57" s="31">
        <f t="shared" ref="G57" si="351">IFERROR((G55-G54)/G54,"")</f>
        <v>-0.32409381663113007</v>
      </c>
      <c r="H57" s="31">
        <f t="shared" ref="H57" si="352">IFERROR((H55-H54)/H54,"")</f>
        <v>-0.49484536082474229</v>
      </c>
      <c r="I57" s="31">
        <f t="shared" ref="I57" si="353">IFERROR((I55-I54)/I54,"")</f>
        <v>-0.21379310344827587</v>
      </c>
      <c r="J57" s="31">
        <f t="shared" ref="J57" si="354">IFERROR((J55-J54)/J54,"")</f>
        <v>-0.4697674418604651</v>
      </c>
      <c r="K57" s="31">
        <f t="shared" ref="K57" si="355">IFERROR((K55-K54)/K54,"")</f>
        <v>-0.46927374301675978</v>
      </c>
      <c r="L57" s="31">
        <f t="shared" ref="L57" si="356">IFERROR((L55-L54)/L54,"")</f>
        <v>-0.4697674418604651</v>
      </c>
      <c r="M57" s="31">
        <f t="shared" ref="M57" si="357">IFERROR((M55-M54)/M54,"")</f>
        <v>-0.47416974169741699</v>
      </c>
      <c r="N57" s="31">
        <f t="shared" ref="N57" si="358">IFERROR((N55-N54)/N54,"")</f>
        <v>-0.61575757575757573</v>
      </c>
      <c r="O57" s="31">
        <f t="shared" ref="O57" si="359">IFERROR((O55-O54)/O54,"")</f>
        <v>-0.55696202531645567</v>
      </c>
      <c r="P57" s="31">
        <f t="shared" ref="P57" si="360">IFERROR((P55-P54)/P54,"")</f>
        <v>-0.55538221528861154</v>
      </c>
      <c r="Q57" s="31">
        <f t="shared" ref="Q57" si="361">IFERROR((Q55-Q54)/Q54,"")</f>
        <v>-0.45989847715736043</v>
      </c>
      <c r="R57" s="31">
        <f t="shared" ref="R57:V57" si="362">IFERROR((R55-R54)/R54,"")</f>
        <v>-0.50131233595800528</v>
      </c>
      <c r="S57" s="31">
        <f t="shared" si="362"/>
        <v>-0.41155046826222685</v>
      </c>
      <c r="T57" s="31">
        <f t="shared" si="362"/>
        <v>-0.358843537414966</v>
      </c>
      <c r="U57" s="31">
        <f t="shared" ref="U57" si="363">IFERROR((U55-U54)/U54,"")</f>
        <v>-0.43551401869158879</v>
      </c>
      <c r="V57" s="31">
        <f t="shared" si="362"/>
        <v>-6.5789473684210523E-3</v>
      </c>
      <c r="W57" s="31">
        <f t="shared" ref="W57:CN57" si="364">IFERROR((W55-W54)/W54,"")</f>
        <v>-8.0487804878048783E-2</v>
      </c>
      <c r="X57" s="31">
        <f t="shared" ref="X57:CJ57" si="365">IFERROR((X55-X54)/X54,"")</f>
        <v>-4.9579831932773107E-2</v>
      </c>
      <c r="Y57" s="31">
        <f t="shared" si="365"/>
        <v>-7.8990228013029309E-2</v>
      </c>
      <c r="Z57" s="31">
        <f t="shared" si="365"/>
        <v>-0.26381461675579321</v>
      </c>
      <c r="AA57" s="31">
        <f t="shared" si="365"/>
        <v>-0.10412147505422993</v>
      </c>
      <c r="AB57" s="31">
        <f t="shared" si="365"/>
        <v>-0.16088328075709779</v>
      </c>
      <c r="AC57" s="31">
        <f t="shared" si="365"/>
        <v>-0.10276679841897234</v>
      </c>
      <c r="AD57" s="31">
        <f t="shared" si="365"/>
        <v>-0.31848184818481851</v>
      </c>
      <c r="AE57" s="31">
        <f t="shared" si="365"/>
        <v>-0.30118443316412857</v>
      </c>
      <c r="AF57" s="31">
        <f t="shared" si="365"/>
        <v>-0.26250000000000001</v>
      </c>
      <c r="AG57" s="31">
        <f t="shared" si="365"/>
        <v>-0.12314225053078556</v>
      </c>
      <c r="AH57" s="31">
        <f t="shared" si="365"/>
        <v>-4.3981481481481483E-2</v>
      </c>
      <c r="AI57" s="31">
        <f t="shared" si="365"/>
        <v>-0.38692098092643051</v>
      </c>
      <c r="AJ57" s="31">
        <f t="shared" ref="AJ57" si="366">IFERROR((AJ55-AJ54)/AJ54,"")</f>
        <v>-3.3444816053511704E-2</v>
      </c>
      <c r="AK57" s="31">
        <f t="shared" si="365"/>
        <v>-0.44870349492671929</v>
      </c>
      <c r="AL57" s="31">
        <f t="shared" ref="AL57" si="367">IFERROR((AL55-AL54)/AL54,"")</f>
        <v>-0.21634615384615385</v>
      </c>
      <c r="AM57" s="31">
        <f t="shared" si="365"/>
        <v>-0.21759999999999999</v>
      </c>
      <c r="AN57" s="31">
        <f t="shared" si="365"/>
        <v>-0.33829499323410012</v>
      </c>
      <c r="AO57" s="31">
        <f t="shared" si="365"/>
        <v>-0.30932203389830509</v>
      </c>
      <c r="AP57" s="31">
        <f t="shared" ref="AP57" si="368">IFERROR((AP55-AP54)/AP54,"")</f>
        <v>-0.11954022988505747</v>
      </c>
      <c r="AQ57" s="31">
        <f t="shared" si="365"/>
        <v>0.15625</v>
      </c>
      <c r="AR57" s="31">
        <f t="shared" ref="AR57" si="369">IFERROR((AR55-AR54)/AR54,"")</f>
        <v>0.97740112994350281</v>
      </c>
      <c r="AS57" s="31">
        <f t="shared" si="365"/>
        <v>-0.22626582278481014</v>
      </c>
      <c r="AT57" s="31">
        <f t="shared" ref="AT57" si="370">IFERROR((AT55-AT54)/AT54,"")</f>
        <v>2.0491803278688526E-3</v>
      </c>
      <c r="AU57" s="31">
        <f t="shared" si="365"/>
        <v>0.17266187050359713</v>
      </c>
      <c r="AV57" s="31">
        <f t="shared" ref="AV57:AW57" si="371">IFERROR((AV55-AV54)/AV54,"")</f>
        <v>0.18689320388349515</v>
      </c>
      <c r="AW57" s="31">
        <f t="shared" si="371"/>
        <v>-0.18181818181818182</v>
      </c>
      <c r="AX57" s="31">
        <f t="shared" si="365"/>
        <v>0.38068181818181818</v>
      </c>
      <c r="AY57" s="31">
        <f t="shared" ref="AY57:AZ57" si="372">IFERROR((AY55-AY54)/AY54,"")</f>
        <v>0.89147286821705429</v>
      </c>
      <c r="AZ57" s="31">
        <f t="shared" si="372"/>
        <v>-0.254</v>
      </c>
      <c r="BA57" s="31">
        <f t="shared" si="365"/>
        <v>-0.24646464646464647</v>
      </c>
      <c r="BB57" s="31">
        <f>IFERROR((BB55-BB54)/BB54,"")</f>
        <v>7.492795389048991E-2</v>
      </c>
      <c r="BC57" s="31">
        <f t="shared" ref="BC57" si="373">IFERROR((BC55-BC54)/BC54,"")</f>
        <v>0.15479876160990713</v>
      </c>
      <c r="BD57" s="31">
        <f t="shared" si="365"/>
        <v>0.19597989949748743</v>
      </c>
      <c r="BE57" s="31">
        <f t="shared" ref="BE57" si="374">IFERROR((BE55-BE54)/BE54,"")</f>
        <v>0.125</v>
      </c>
      <c r="BF57" s="31">
        <f t="shared" si="365"/>
        <v>8.1081081081081086E-3</v>
      </c>
      <c r="BG57" s="31">
        <f t="shared" ref="BG57" si="375">IFERROR((BG55-BG54)/BG54,"")</f>
        <v>4.4817927170868348E-2</v>
      </c>
      <c r="BH57" s="31">
        <f t="shared" si="365"/>
        <v>0.48015873015873017</v>
      </c>
      <c r="BI57" s="31">
        <f t="shared" ref="BI57" si="376">IFERROR((BI55-BI54)/BI54,"")</f>
        <v>0.30877192982456142</v>
      </c>
      <c r="BJ57" s="31">
        <f t="shared" si="365"/>
        <v>0.53497942386831276</v>
      </c>
      <c r="BK57" s="31">
        <f t="shared" ref="BK57" si="377">IFERROR((BK55-BK54)/BK54,"")</f>
        <v>0.33333333333333331</v>
      </c>
      <c r="BL57" s="31">
        <f t="shared" si="365"/>
        <v>0.54838709677419351</v>
      </c>
      <c r="BM57" s="31">
        <f t="shared" ref="BM57:BN57" si="378">IFERROR((BM55-BM54)/BM54,"")</f>
        <v>0.19935691318327975</v>
      </c>
      <c r="BN57" s="31">
        <f t="shared" si="378"/>
        <v>5.6657223796033995E-2</v>
      </c>
      <c r="BO57" s="31">
        <f t="shared" si="365"/>
        <v>0.13030303030303031</v>
      </c>
      <c r="BP57" s="31">
        <f t="shared" ref="BP57" si="379">IFERROR((BP55-BP54)/BP54,"")</f>
        <v>0.15479876160990713</v>
      </c>
      <c r="BQ57" s="31">
        <f t="shared" si="365"/>
        <v>0.20322580645161289</v>
      </c>
      <c r="BR57" s="31">
        <f t="shared" ref="BR57" si="380">IFERROR((BR55-BR54)/BR54,"")</f>
        <v>0.449438202247191</v>
      </c>
      <c r="BS57" s="31">
        <f t="shared" si="365"/>
        <v>1.4361702127659575</v>
      </c>
      <c r="BT57" s="31">
        <f t="shared" si="365"/>
        <v>0.34172661870503596</v>
      </c>
      <c r="BU57" s="31">
        <f t="shared" ref="BU57:BV57" si="381">IFERROR((BU55-BU54)/BU54,"")</f>
        <v>0.30877192982456142</v>
      </c>
      <c r="BV57" s="31">
        <f t="shared" si="381"/>
        <v>0.81067961165048541</v>
      </c>
      <c r="BW57" s="31">
        <f t="shared" si="365"/>
        <v>0.7429906542056075</v>
      </c>
      <c r="BX57" s="31">
        <f t="shared" si="365"/>
        <v>0.94270833333333337</v>
      </c>
      <c r="BY57" s="31">
        <f t="shared" ref="BY57:BZ57" si="382">IFERROR((BY55-BY54)/BY54,"")</f>
        <v>0.12080536912751678</v>
      </c>
      <c r="BZ57" s="31">
        <f t="shared" si="382"/>
        <v>1.2142857142857142</v>
      </c>
      <c r="CA57" s="31">
        <f t="shared" si="365"/>
        <v>0.44015444015444016</v>
      </c>
      <c r="CB57" s="31">
        <f t="shared" si="365"/>
        <v>0.52244897959183678</v>
      </c>
      <c r="CC57" s="31">
        <f t="shared" ref="CC57" si="383">IFERROR((CC55-CC54)/CC54,"")</f>
        <v>0.60775862068965514</v>
      </c>
      <c r="CD57" s="31">
        <f t="shared" si="365"/>
        <v>0.79326923076923073</v>
      </c>
      <c r="CE57" s="31">
        <f t="shared" ref="CE57:CF57" si="384">IFERROR((CE55-CE54)/CE54,"")</f>
        <v>0.93264248704663211</v>
      </c>
      <c r="CF57" s="31">
        <f t="shared" si="384"/>
        <v>0.16111111111111112</v>
      </c>
      <c r="CG57" s="31">
        <f t="shared" si="365"/>
        <v>0.9213483146067416</v>
      </c>
      <c r="CH57" s="31">
        <f t="shared" ref="CH57:CI57" si="385">IFERROR((CH55-CH54)/CH54,"")</f>
        <v>0.24404761904761904</v>
      </c>
      <c r="CI57" s="31">
        <f t="shared" si="385"/>
        <v>0.71969696969696972</v>
      </c>
      <c r="CJ57" s="31">
        <f t="shared" si="365"/>
        <v>1.0267857142857142</v>
      </c>
      <c r="CK57" s="31">
        <f t="shared" ref="CK57:CM57" si="386">IFERROR((CK55-CK54)/CK54,"")</f>
        <v>1.3045685279187818</v>
      </c>
      <c r="CL57" s="31">
        <f t="shared" ref="CL57" si="387">IFERROR((CL55-CL54)/CL54,"")</f>
        <v>1.9290322580645161</v>
      </c>
      <c r="CM57" s="31">
        <f t="shared" si="386"/>
        <v>0.60769230769230764</v>
      </c>
      <c r="CN57" s="31">
        <f t="shared" si="364"/>
        <v>1.5487804878048781</v>
      </c>
      <c r="CO57" s="31">
        <f t="shared" ref="CO57:EZ57" si="388">IFERROR((CO55-CO54)/CO54,"")</f>
        <v>0.80158730158730163</v>
      </c>
      <c r="CP57" s="31">
        <f t="shared" ref="CP57:DZ57" si="389">IFERROR((CP55-CP54)/CP54,"")</f>
        <v>0.9568965517241379</v>
      </c>
      <c r="CQ57" s="31">
        <f t="shared" si="389"/>
        <v>1.4012738853503184</v>
      </c>
      <c r="CR57" s="31">
        <f t="shared" ref="CR57" si="390">IFERROR((CR55-CR54)/CR54,"")</f>
        <v>0.55144032921810704</v>
      </c>
      <c r="CS57" s="31">
        <f t="shared" si="389"/>
        <v>1.0053191489361701</v>
      </c>
      <c r="CT57" s="31">
        <f t="shared" ref="CT57" si="391">IFERROR((CT55-CT54)/CT54,"")</f>
        <v>0.52554744525547448</v>
      </c>
      <c r="CU57" s="31">
        <f t="shared" si="389"/>
        <v>1.0900000000000001</v>
      </c>
      <c r="CV57" s="31">
        <f t="shared" ref="CV57" si="392">IFERROR((CV55-CV54)/CV54,"")</f>
        <v>0.45559845559845558</v>
      </c>
      <c r="CW57" s="31">
        <f t="shared" si="389"/>
        <v>0.1458966565349544</v>
      </c>
      <c r="CX57" s="31">
        <f t="shared" ref="CX57" si="393">IFERROR((CX55-CX54)/CX54,"")</f>
        <v>0.19682539682539682</v>
      </c>
      <c r="CY57" s="31">
        <f t="shared" si="389"/>
        <v>0.72935779816513757</v>
      </c>
      <c r="CZ57" s="31">
        <f t="shared" ref="CZ57:DA57" si="394">IFERROR((CZ55-CZ54)/CZ54,"")</f>
        <v>1.2848484848484849</v>
      </c>
      <c r="DA57" s="31">
        <f t="shared" si="394"/>
        <v>0.95327102803738317</v>
      </c>
      <c r="DB57" s="31">
        <f t="shared" si="389"/>
        <v>1.2</v>
      </c>
      <c r="DC57" s="31">
        <f t="shared" ref="DC57" si="395">IFERROR((DC55-DC54)/DC54,"")</f>
        <v>0.82125603864734298</v>
      </c>
      <c r="DD57" s="31">
        <f t="shared" si="389"/>
        <v>0.52016129032258063</v>
      </c>
      <c r="DE57" s="31">
        <f t="shared" si="389"/>
        <v>0.94329896907216493</v>
      </c>
      <c r="DF57" s="31">
        <f t="shared" si="389"/>
        <v>1.0160427807486632</v>
      </c>
      <c r="DG57" s="31">
        <f t="shared" si="389"/>
        <v>1.1420454545454546</v>
      </c>
      <c r="DH57" s="31">
        <f t="shared" ref="DH57:DI57" si="396">IFERROR((DH55-DH54)/DH54,"")</f>
        <v>0.60769230769230764</v>
      </c>
      <c r="DI57" s="31">
        <f t="shared" si="396"/>
        <v>1.1770833333333333</v>
      </c>
      <c r="DJ57" s="31">
        <f t="shared" si="389"/>
        <v>0.1023391812865497</v>
      </c>
      <c r="DK57" s="31">
        <f t="shared" si="389"/>
        <v>0.84803921568627449</v>
      </c>
      <c r="DL57" s="31">
        <f t="shared" ref="DL57:DQ57" si="397">IFERROR((DL55-DL54)/DL54,"")</f>
        <v>0.73732718894009219</v>
      </c>
      <c r="DM57" s="31">
        <f t="shared" si="397"/>
        <v>0.6905829596412556</v>
      </c>
      <c r="DN57" s="31">
        <f t="shared" ref="DN57:DP57" si="398">IFERROR((DN55-DN54)/DN54,"")</f>
        <v>1.6363636363636365</v>
      </c>
      <c r="DO57" s="31">
        <f t="shared" ref="DO57" si="399">IFERROR((DO55-DO54)/DO54,"")</f>
        <v>0.62015503875968991</v>
      </c>
      <c r="DP57" s="31">
        <f t="shared" si="398"/>
        <v>2.0735294117647061</v>
      </c>
      <c r="DQ57" s="31">
        <f t="shared" si="397"/>
        <v>0.52631578947368418</v>
      </c>
      <c r="DR57" s="31">
        <f t="shared" si="389"/>
        <v>0.86633663366336633</v>
      </c>
      <c r="DS57" s="31">
        <f t="shared" ref="DS57" si="400">IFERROR((DS55-DS54)/DS54,"")</f>
        <v>0.60425531914893615</v>
      </c>
      <c r="DT57" s="31">
        <f t="shared" si="389"/>
        <v>0.87562189054726369</v>
      </c>
      <c r="DU57" s="31">
        <f t="shared" ref="DU57:DV57" si="401">IFERROR((DU55-DU54)/DU54,"")</f>
        <v>0.89447236180904521</v>
      </c>
      <c r="DV57" s="31">
        <f t="shared" si="401"/>
        <v>0.42176870748299322</v>
      </c>
      <c r="DW57" s="31">
        <f t="shared" si="389"/>
        <v>1.1770833333333333</v>
      </c>
      <c r="DX57" s="31">
        <f t="shared" ref="DX57:DY57" si="402">IFERROR((DX55-DX54)/DX54,"")</f>
        <v>0.3364485981308411</v>
      </c>
      <c r="DY57" s="31">
        <f t="shared" si="402"/>
        <v>0.42803030303030304</v>
      </c>
      <c r="DZ57" s="31">
        <f t="shared" si="389"/>
        <v>0.45</v>
      </c>
      <c r="EA57" s="31">
        <f t="shared" si="388"/>
        <v>0.88500000000000001</v>
      </c>
      <c r="EB57" s="31">
        <f t="shared" si="388"/>
        <v>0.78672985781990523</v>
      </c>
      <c r="EC57" s="31">
        <f t="shared" ref="EC57:ED57" si="403">IFERROR((EC55-EC54)/EC54,"")</f>
        <v>0.7416666666666667</v>
      </c>
      <c r="ED57" s="31">
        <f t="shared" si="403"/>
        <v>1.1111111111111112</v>
      </c>
      <c r="EE57" s="31">
        <f t="shared" si="388"/>
        <v>0.72146118721461183</v>
      </c>
      <c r="EF57" s="31">
        <f t="shared" ref="EF57" si="404">IFERROR((EF55-EF54)/EF54,"")</f>
        <v>0.92346938775510201</v>
      </c>
      <c r="EG57" s="31">
        <f t="shared" si="388"/>
        <v>0.87562189054726369</v>
      </c>
      <c r="EH57" s="31">
        <f t="shared" ref="EH57:EI57" si="405">IFERROR((EH55-EH54)/EH54,"")</f>
        <v>1.9</v>
      </c>
      <c r="EI57" s="31">
        <f t="shared" si="405"/>
        <v>2.1949152542372881</v>
      </c>
      <c r="EJ57" s="31">
        <f t="shared" si="388"/>
        <v>1.3222222222222222</v>
      </c>
      <c r="EK57" s="31">
        <f t="shared" ref="EK57:EL57" si="406">IFERROR((EK55-EK54)/EK54,"")</f>
        <v>1.6125</v>
      </c>
      <c r="EL57" s="31">
        <f t="shared" si="406"/>
        <v>0.47265625</v>
      </c>
      <c r="EM57" s="31">
        <f t="shared" si="388"/>
        <v>0.61111111111111116</v>
      </c>
      <c r="EN57" s="31">
        <f t="shared" si="388"/>
        <v>0.72146118721461183</v>
      </c>
      <c r="EO57" s="31">
        <f t="shared" si="388"/>
        <v>0.57740585774058573</v>
      </c>
      <c r="EP57" s="31">
        <f t="shared" ref="EP57" si="407">IFERROR((EP55-EP54)/EP54,"")</f>
        <v>0.63203463203463206</v>
      </c>
      <c r="EQ57" s="31">
        <f t="shared" ref="EQ57:ER57" si="408">IFERROR((EQ55-EQ54)/EQ54,"")</f>
        <v>0.39333333333333331</v>
      </c>
      <c r="ER57" s="31">
        <f t="shared" si="408"/>
        <v>1.0490196078431373</v>
      </c>
      <c r="ES57" s="31">
        <f t="shared" si="388"/>
        <v>0.41198501872659177</v>
      </c>
      <c r="ET57" s="31">
        <f t="shared" ref="ET57:EW57" si="409">IFERROR((ET55-ET54)/ET54,"")</f>
        <v>0.59745762711864403</v>
      </c>
      <c r="EU57" s="31">
        <f t="shared" ref="EU57:EV57" si="410">IFERROR((EU55-EU54)/EU54,"")</f>
        <v>0.42803030303030304</v>
      </c>
      <c r="EV57" s="31">
        <f t="shared" si="410"/>
        <v>0.53252032520325199</v>
      </c>
      <c r="EW57" s="31">
        <f t="shared" si="409"/>
        <v>0.63913043478260867</v>
      </c>
      <c r="EX57" s="31">
        <f t="shared" si="388"/>
        <v>0.35714285714285715</v>
      </c>
      <c r="EY57" s="31">
        <f t="shared" si="388"/>
        <v>0.59541984732824427</v>
      </c>
      <c r="EZ57" s="31">
        <f t="shared" si="388"/>
        <v>0.48425196850393698</v>
      </c>
      <c r="FA57" s="31">
        <f t="shared" ref="FA57:FT57" si="411">IFERROR((FA55-FA54)/FA54,"")</f>
        <v>0.52016129032258063</v>
      </c>
      <c r="FB57" s="31">
        <f t="shared" ref="FB57:FD57" si="412">IFERROR((FB55-FB54)/FB54,"")</f>
        <v>0.33215547703180209</v>
      </c>
      <c r="FC57" s="31">
        <f t="shared" si="412"/>
        <v>0.41729323308270677</v>
      </c>
      <c r="FD57" s="31">
        <f t="shared" si="412"/>
        <v>0.65350877192982459</v>
      </c>
      <c r="FE57" s="31">
        <f t="shared" si="411"/>
        <v>0.36601307189542481</v>
      </c>
      <c r="FF57" s="31">
        <f t="shared" si="411"/>
        <v>0.68548387096774188</v>
      </c>
      <c r="FG57" s="31">
        <f t="shared" si="411"/>
        <v>0.33687943262411346</v>
      </c>
      <c r="FH57" s="31">
        <f t="shared" si="411"/>
        <v>0.56431535269709543</v>
      </c>
      <c r="FI57" s="31">
        <f t="shared" si="411"/>
        <v>0.54508196721311475</v>
      </c>
      <c r="FJ57" s="31">
        <f t="shared" ref="FJ57:FK57" si="413">IFERROR((FJ55-FJ54)/FJ54,"")</f>
        <v>0.50800000000000001</v>
      </c>
      <c r="FK57" s="31">
        <f t="shared" si="413"/>
        <v>0.91370558375634514</v>
      </c>
      <c r="FL57" s="31">
        <f t="shared" ref="FL57" si="414">IFERROR((FL55-FL54)/FL54,"")</f>
        <v>0.62015503875968991</v>
      </c>
      <c r="FM57" s="31">
        <f t="shared" si="411"/>
        <v>1.1770833333333333</v>
      </c>
      <c r="FN57" s="31">
        <f t="shared" si="411"/>
        <v>0.27796610169491526</v>
      </c>
      <c r="FO57" s="31">
        <f t="shared" ref="FO57:FS57" si="415">IFERROR((FO55-FO54)/FO54,"")</f>
        <v>0.53877551020408165</v>
      </c>
      <c r="FP57" s="31">
        <f t="shared" si="415"/>
        <v>1.4184397163120567E-2</v>
      </c>
      <c r="FQ57" s="31">
        <f t="shared" ref="FQ57:FR57" si="416">IFERROR((FQ55-FQ54)/FQ54,"")</f>
        <v>0.17080745341614906</v>
      </c>
      <c r="FR57" s="31">
        <f t="shared" si="416"/>
        <v>0.46692607003891051</v>
      </c>
      <c r="FS57" s="31">
        <f t="shared" si="415"/>
        <v>0.29813664596273293</v>
      </c>
      <c r="FT57" s="31">
        <f t="shared" si="411"/>
        <v>0.75630252100840334</v>
      </c>
      <c r="FU57" s="31">
        <f t="shared" ref="FU57" si="417">IFERROR((FU55-FU54)/FU54,"")</f>
        <v>0.3860294117647059</v>
      </c>
      <c r="FV57" s="31">
        <f t="shared" ref="FV57:GT57" si="418">IFERROR((FV55-FV54)/FV54,"")</f>
        <v>0.50199203187250996</v>
      </c>
      <c r="FW57" s="31">
        <f t="shared" si="418"/>
        <v>0.39629629629629631</v>
      </c>
      <c r="FX57" s="31">
        <f t="shared" si="418"/>
        <v>0.53877551020408165</v>
      </c>
      <c r="FY57" s="31">
        <f t="shared" si="418"/>
        <v>1.2307692307692308</v>
      </c>
      <c r="FZ57" s="31">
        <f t="shared" si="418"/>
        <v>0.42176870748299322</v>
      </c>
      <c r="GA57" s="31">
        <f t="shared" si="418"/>
        <v>0.2</v>
      </c>
      <c r="GB57" s="31">
        <f t="shared" si="418"/>
        <v>0.17445482866043613</v>
      </c>
      <c r="GC57" s="31">
        <f t="shared" si="418"/>
        <v>-0.33714285714285713</v>
      </c>
      <c r="GD57" s="31">
        <f t="shared" si="418"/>
        <v>-0.39121756487025949</v>
      </c>
      <c r="GE57" s="31">
        <f t="shared" ref="GE57:GS57" si="419">IFERROR((GE55-GE54)/GE54,"")</f>
        <v>-0.40891472868217055</v>
      </c>
      <c r="GF57" s="31">
        <f t="shared" ref="GF57:GJ57" si="420">IFERROR((GF55-GF54)/GF54,"")</f>
        <v>9.1743119266055051E-2</v>
      </c>
      <c r="GG57" s="31">
        <f t="shared" si="420"/>
        <v>-0.41894736842105262</v>
      </c>
      <c r="GH57" s="31">
        <f t="shared" ref="GH57:GI57" si="421">IFERROR((GH55-GH54)/GH54,"")</f>
        <v>-6.1224489795918366E-2</v>
      </c>
      <c r="GI57" s="31">
        <f t="shared" si="421"/>
        <v>-0.11061285500747384</v>
      </c>
      <c r="GJ57" s="31">
        <f t="shared" si="420"/>
        <v>-0.1713091922005571</v>
      </c>
      <c r="GK57" s="31">
        <f t="shared" si="419"/>
        <v>-0.30813953488372092</v>
      </c>
      <c r="GL57" s="31">
        <f t="shared" ref="GL57" si="422">IFERROR((GL55-GL54)/GL54,"")</f>
        <v>-0.41263573543928922</v>
      </c>
      <c r="GM57" s="31">
        <f t="shared" si="419"/>
        <v>-0.23815620998719592</v>
      </c>
      <c r="GN57" s="31">
        <f t="shared" ref="GN57:GR57" si="423">IFERROR((GN55-GN54)/GN54,"")</f>
        <v>-0.42203742203742206</v>
      </c>
      <c r="GO57" s="31">
        <f t="shared" si="423"/>
        <v>-9.2105263157894732E-2</v>
      </c>
      <c r="GP57" s="31" t="str">
        <f t="shared" ref="GP57:GQ57" si="424">IFERROR((GP55-GP54)/GP54,"")</f>
        <v/>
      </c>
      <c r="GQ57" s="31" t="str">
        <f t="shared" si="424"/>
        <v/>
      </c>
      <c r="GR57" s="31" t="str">
        <f t="shared" si="423"/>
        <v/>
      </c>
      <c r="GS57" s="31" t="str">
        <f t="shared" si="419"/>
        <v/>
      </c>
      <c r="GT57" s="31" t="str">
        <f t="shared" si="418"/>
        <v/>
      </c>
    </row>
    <row r="58" spans="2:204" x14ac:dyDescent="0.3">
      <c r="B58" s="75"/>
      <c r="E58" s="2" t="s">
        <v>111</v>
      </c>
      <c r="F58" s="5">
        <f t="shared" ref="F58:G58" si="425">F55-F54</f>
        <v>-47</v>
      </c>
      <c r="G58" s="5">
        <f t="shared" si="425"/>
        <v>-152</v>
      </c>
      <c r="H58" s="5">
        <f t="shared" ref="H58:O58" si="426">H55-H54</f>
        <v>-240</v>
      </c>
      <c r="I58" s="5">
        <f t="shared" si="426"/>
        <v>-155</v>
      </c>
      <c r="J58" s="5">
        <f t="shared" si="426"/>
        <v>-505</v>
      </c>
      <c r="K58" s="5">
        <f t="shared" si="426"/>
        <v>-504</v>
      </c>
      <c r="L58" s="5">
        <f t="shared" si="426"/>
        <v>-505</v>
      </c>
      <c r="M58" s="5">
        <f t="shared" si="426"/>
        <v>-514</v>
      </c>
      <c r="N58" s="5">
        <f t="shared" si="426"/>
        <v>-508</v>
      </c>
      <c r="O58" s="5">
        <f t="shared" si="426"/>
        <v>-308</v>
      </c>
      <c r="P58" s="5">
        <f t="shared" ref="P58:V58" si="427">P55-P54</f>
        <v>-712</v>
      </c>
      <c r="Q58" s="5">
        <f t="shared" si="427"/>
        <v>-453</v>
      </c>
      <c r="R58" s="5">
        <f t="shared" ref="R58:U58" si="428">R55-R54</f>
        <v>-573</v>
      </c>
      <c r="S58" s="5">
        <f t="shared" ref="S58" si="429">S55-S54</f>
        <v>-395.5</v>
      </c>
      <c r="T58" s="5">
        <f t="shared" si="428"/>
        <v>-316.5</v>
      </c>
      <c r="U58" s="5">
        <f t="shared" si="428"/>
        <v>-233</v>
      </c>
      <c r="V58" s="5">
        <f t="shared" si="427"/>
        <v>-2</v>
      </c>
      <c r="W58" s="5">
        <f t="shared" ref="W58" si="430">W55-W54</f>
        <v>-49.5</v>
      </c>
      <c r="X58" s="5">
        <f t="shared" ref="X58:AM58" si="431">X55-X54</f>
        <v>-29.5</v>
      </c>
      <c r="Y58" s="5">
        <f t="shared" si="431"/>
        <v>-48.5</v>
      </c>
      <c r="Z58" s="5">
        <f t="shared" si="431"/>
        <v>-148</v>
      </c>
      <c r="AA58" s="5">
        <f t="shared" si="431"/>
        <v>-48</v>
      </c>
      <c r="AB58" s="5">
        <f t="shared" si="431"/>
        <v>-51</v>
      </c>
      <c r="AC58" s="5">
        <f t="shared" si="431"/>
        <v>-26</v>
      </c>
      <c r="AD58" s="5">
        <f t="shared" si="431"/>
        <v>-193</v>
      </c>
      <c r="AE58" s="5">
        <f t="shared" si="431"/>
        <v>-178</v>
      </c>
      <c r="AF58" s="5">
        <f t="shared" si="431"/>
        <v>-147</v>
      </c>
      <c r="AG58" s="5">
        <f t="shared" si="431"/>
        <v>-58</v>
      </c>
      <c r="AH58" s="5">
        <f t="shared" si="431"/>
        <v>-19</v>
      </c>
      <c r="AI58" s="5">
        <f t="shared" si="431"/>
        <v>-142</v>
      </c>
      <c r="AJ58" s="5">
        <f t="shared" ref="AJ58" si="432">AJ55-AJ54</f>
        <v>-10</v>
      </c>
      <c r="AK58" s="5">
        <f t="shared" si="431"/>
        <v>-398</v>
      </c>
      <c r="AL58" s="5">
        <f t="shared" ref="AL58" si="433">AL55-AL54</f>
        <v>-135</v>
      </c>
      <c r="AM58" s="5">
        <f t="shared" si="431"/>
        <v>-136</v>
      </c>
      <c r="AN58" s="5">
        <f t="shared" ref="AN58:AQ58" si="434">AN55-AN54</f>
        <v>-250</v>
      </c>
      <c r="AO58" s="5">
        <f t="shared" si="434"/>
        <v>-219</v>
      </c>
      <c r="AP58" s="5">
        <f t="shared" si="434"/>
        <v>-52</v>
      </c>
      <c r="AQ58" s="5">
        <f t="shared" si="434"/>
        <v>40</v>
      </c>
      <c r="AR58" s="5">
        <f t="shared" ref="AR58:AS58" si="435">AR55-AR54</f>
        <v>173</v>
      </c>
      <c r="AS58" s="5">
        <f t="shared" si="435"/>
        <v>-143</v>
      </c>
      <c r="AT58" s="5">
        <f t="shared" ref="AT58" si="436">AT55-AT54</f>
        <v>1</v>
      </c>
      <c r="AU58" s="5">
        <f t="shared" ref="AU58:CN58" si="437">AU55-AU54</f>
        <v>72</v>
      </c>
      <c r="AV58" s="5">
        <f t="shared" si="437"/>
        <v>77</v>
      </c>
      <c r="AW58" s="5">
        <f t="shared" si="437"/>
        <v>-50</v>
      </c>
      <c r="AX58" s="5">
        <f t="shared" si="437"/>
        <v>67</v>
      </c>
      <c r="AY58" s="5">
        <f t="shared" si="437"/>
        <v>115</v>
      </c>
      <c r="AZ58" s="5">
        <f t="shared" si="437"/>
        <v>-127</v>
      </c>
      <c r="BA58" s="5">
        <f t="shared" si="437"/>
        <v>-122</v>
      </c>
      <c r="BB58" s="5">
        <f t="shared" si="437"/>
        <v>26</v>
      </c>
      <c r="BC58" s="5">
        <f t="shared" ref="BC58:CM58" si="438">BC55-BC54</f>
        <v>50</v>
      </c>
      <c r="BD58" s="5">
        <f t="shared" si="438"/>
        <v>39</v>
      </c>
      <c r="BE58" s="5">
        <f t="shared" ref="BE58" si="439">BE55-BE54</f>
        <v>22</v>
      </c>
      <c r="BF58" s="5">
        <f t="shared" si="438"/>
        <v>3</v>
      </c>
      <c r="BG58" s="5">
        <f t="shared" ref="BG58" si="440">BG55-BG54</f>
        <v>16</v>
      </c>
      <c r="BH58" s="5">
        <f t="shared" si="438"/>
        <v>121</v>
      </c>
      <c r="BI58" s="5">
        <f t="shared" ref="BI58" si="441">BI55-BI54</f>
        <v>88</v>
      </c>
      <c r="BJ58" s="5">
        <f t="shared" si="438"/>
        <v>130</v>
      </c>
      <c r="BK58" s="5">
        <f t="shared" ref="BK58" si="442">BK55-BK54</f>
        <v>55</v>
      </c>
      <c r="BL58" s="5">
        <f t="shared" si="438"/>
        <v>68</v>
      </c>
      <c r="BM58" s="5">
        <f t="shared" ref="BM58:BN58" si="443">BM55-BM54</f>
        <v>62</v>
      </c>
      <c r="BN58" s="5">
        <f t="shared" si="443"/>
        <v>20</v>
      </c>
      <c r="BO58" s="5">
        <f t="shared" si="438"/>
        <v>43</v>
      </c>
      <c r="BP58" s="5">
        <f t="shared" ref="BP58" si="444">BP55-BP54</f>
        <v>50</v>
      </c>
      <c r="BQ58" s="5">
        <f t="shared" si="438"/>
        <v>63</v>
      </c>
      <c r="BR58" s="5">
        <f t="shared" ref="BR58" si="445">BR55-BR54</f>
        <v>80</v>
      </c>
      <c r="BS58" s="5">
        <f t="shared" si="438"/>
        <v>135</v>
      </c>
      <c r="BT58" s="5">
        <f t="shared" si="438"/>
        <v>95</v>
      </c>
      <c r="BU58" s="5">
        <f t="shared" ref="BU58:BV58" si="446">BU55-BU54</f>
        <v>88</v>
      </c>
      <c r="BV58" s="5">
        <f t="shared" si="446"/>
        <v>167</v>
      </c>
      <c r="BW58" s="5">
        <f t="shared" si="438"/>
        <v>159</v>
      </c>
      <c r="BX58" s="5">
        <f t="shared" si="438"/>
        <v>181</v>
      </c>
      <c r="BY58" s="5">
        <f t="shared" ref="BY58:BZ58" si="447">BY55-BY54</f>
        <v>18</v>
      </c>
      <c r="BZ58" s="5">
        <f t="shared" si="447"/>
        <v>102</v>
      </c>
      <c r="CA58" s="5">
        <f t="shared" si="438"/>
        <v>114</v>
      </c>
      <c r="CB58" s="5">
        <f t="shared" si="438"/>
        <v>128</v>
      </c>
      <c r="CC58" s="5">
        <f t="shared" ref="CC58" si="448">CC55-CC54</f>
        <v>141</v>
      </c>
      <c r="CD58" s="5">
        <f t="shared" si="438"/>
        <v>165</v>
      </c>
      <c r="CE58" s="5">
        <f t="shared" ref="CE58:CF58" si="449">CE55-CE54</f>
        <v>180</v>
      </c>
      <c r="CF58" s="5">
        <f t="shared" si="449"/>
        <v>29</v>
      </c>
      <c r="CG58" s="5">
        <f t="shared" si="438"/>
        <v>82</v>
      </c>
      <c r="CH58" s="5">
        <f t="shared" ref="CH58:CI58" si="450">CH55-CH54</f>
        <v>41</v>
      </c>
      <c r="CI58" s="5">
        <f t="shared" si="450"/>
        <v>190</v>
      </c>
      <c r="CJ58" s="5">
        <f t="shared" si="438"/>
        <v>230</v>
      </c>
      <c r="CK58" s="5">
        <f t="shared" si="438"/>
        <v>257</v>
      </c>
      <c r="CL58" s="5">
        <f t="shared" ref="CL58" si="451">CL55-CL54</f>
        <v>299</v>
      </c>
      <c r="CM58" s="5">
        <f t="shared" si="438"/>
        <v>79</v>
      </c>
      <c r="CN58" s="5">
        <f t="shared" si="437"/>
        <v>127</v>
      </c>
      <c r="CO58" s="5">
        <f t="shared" ref="CO58:EZ58" si="452">CO55-CO54</f>
        <v>202</v>
      </c>
      <c r="CP58" s="5">
        <f t="shared" ref="CP58:DZ58" si="453">CP55-CP54</f>
        <v>222</v>
      </c>
      <c r="CQ58" s="5">
        <f t="shared" si="453"/>
        <v>220</v>
      </c>
      <c r="CR58" s="5">
        <f t="shared" ref="CR58" si="454">CR55-CR54</f>
        <v>134</v>
      </c>
      <c r="CS58" s="5">
        <f t="shared" si="453"/>
        <v>189</v>
      </c>
      <c r="CT58" s="5">
        <f t="shared" ref="CT58" si="455">CT55-CT54</f>
        <v>72</v>
      </c>
      <c r="CU58" s="5">
        <f t="shared" si="453"/>
        <v>109</v>
      </c>
      <c r="CV58" s="5">
        <f t="shared" ref="CV58" si="456">CV55-CV54</f>
        <v>118</v>
      </c>
      <c r="CW58" s="5">
        <f t="shared" si="453"/>
        <v>48</v>
      </c>
      <c r="CX58" s="5">
        <f t="shared" ref="CX58" si="457">CX55-CX54</f>
        <v>62</v>
      </c>
      <c r="CY58" s="5">
        <f t="shared" si="453"/>
        <v>159</v>
      </c>
      <c r="CZ58" s="5">
        <f t="shared" ref="CZ58:DA58" si="458">CZ55-CZ54</f>
        <v>212</v>
      </c>
      <c r="DA58" s="5">
        <f t="shared" si="458"/>
        <v>102</v>
      </c>
      <c r="DB58" s="5">
        <f t="shared" si="453"/>
        <v>114</v>
      </c>
      <c r="DC58" s="5">
        <f t="shared" ref="DC58" si="459">DC55-DC54</f>
        <v>170</v>
      </c>
      <c r="DD58" s="5">
        <f t="shared" si="453"/>
        <v>129</v>
      </c>
      <c r="DE58" s="5">
        <f t="shared" si="453"/>
        <v>183</v>
      </c>
      <c r="DF58" s="5">
        <f t="shared" si="453"/>
        <v>190</v>
      </c>
      <c r="DG58" s="5">
        <f t="shared" si="453"/>
        <v>201</v>
      </c>
      <c r="DH58" s="5">
        <f t="shared" ref="DH58:DI58" si="460">DH55-DH54</f>
        <v>79</v>
      </c>
      <c r="DI58" s="5">
        <f t="shared" si="460"/>
        <v>113</v>
      </c>
      <c r="DJ58" s="5">
        <f t="shared" si="453"/>
        <v>35</v>
      </c>
      <c r="DK58" s="5">
        <f t="shared" si="453"/>
        <v>173</v>
      </c>
      <c r="DL58" s="5">
        <f t="shared" ref="DL58:DQ58" si="461">DL55-DL54</f>
        <v>160</v>
      </c>
      <c r="DM58" s="5">
        <f t="shared" si="461"/>
        <v>154</v>
      </c>
      <c r="DN58" s="5">
        <f t="shared" ref="DN58:DP58" si="462">DN55-DN54</f>
        <v>234</v>
      </c>
      <c r="DO58" s="5">
        <f t="shared" ref="DO58" si="463">DO55-DO54</f>
        <v>80</v>
      </c>
      <c r="DP58" s="5">
        <f t="shared" si="462"/>
        <v>141</v>
      </c>
      <c r="DQ58" s="5">
        <f t="shared" si="461"/>
        <v>130</v>
      </c>
      <c r="DR58" s="5">
        <f t="shared" si="453"/>
        <v>175</v>
      </c>
      <c r="DS58" s="5">
        <f t="shared" ref="DS58" si="464">DS55-DS54</f>
        <v>142</v>
      </c>
      <c r="DT58" s="5">
        <f t="shared" si="453"/>
        <v>176</v>
      </c>
      <c r="DU58" s="5">
        <f t="shared" ref="DU58:DV58" si="465">DU55-DU54</f>
        <v>178</v>
      </c>
      <c r="DV58" s="5">
        <f t="shared" si="465"/>
        <v>62</v>
      </c>
      <c r="DW58" s="5">
        <f t="shared" si="453"/>
        <v>113</v>
      </c>
      <c r="DX58" s="5">
        <f t="shared" ref="DX58:DY58" si="466">DX55-DX54</f>
        <v>36</v>
      </c>
      <c r="DY58" s="5">
        <f t="shared" si="466"/>
        <v>113</v>
      </c>
      <c r="DZ58" s="5">
        <f t="shared" si="453"/>
        <v>117</v>
      </c>
      <c r="EA58" s="5">
        <f t="shared" si="452"/>
        <v>177</v>
      </c>
      <c r="EB58" s="5">
        <f t="shared" si="452"/>
        <v>166</v>
      </c>
      <c r="EC58" s="5">
        <f t="shared" ref="EC58:ED58" si="467">EC55-EC54</f>
        <v>89</v>
      </c>
      <c r="ED58" s="5">
        <f t="shared" si="467"/>
        <v>110</v>
      </c>
      <c r="EE58" s="5">
        <f t="shared" si="452"/>
        <v>158</v>
      </c>
      <c r="EF58" s="5">
        <f t="shared" ref="EF58" si="468">EF55-EF54</f>
        <v>181</v>
      </c>
      <c r="EG58" s="5">
        <f t="shared" si="452"/>
        <v>176</v>
      </c>
      <c r="EH58" s="5">
        <f t="shared" ref="EH58:EI58" si="469">EH55-EH54</f>
        <v>247</v>
      </c>
      <c r="EI58" s="5">
        <f t="shared" si="469"/>
        <v>259</v>
      </c>
      <c r="EJ58" s="5">
        <f t="shared" si="452"/>
        <v>119</v>
      </c>
      <c r="EK58" s="5">
        <f t="shared" ref="EK58:EL58" si="470">EK55-EK54</f>
        <v>129</v>
      </c>
      <c r="EL58" s="5">
        <f t="shared" si="470"/>
        <v>121</v>
      </c>
      <c r="EM58" s="5">
        <f t="shared" si="452"/>
        <v>143</v>
      </c>
      <c r="EN58" s="5">
        <f t="shared" si="452"/>
        <v>158</v>
      </c>
      <c r="EO58" s="5">
        <f t="shared" si="452"/>
        <v>138</v>
      </c>
      <c r="EP58" s="5">
        <f t="shared" ref="EP58" si="471">EP55-EP54</f>
        <v>146</v>
      </c>
      <c r="EQ58" s="5">
        <f t="shared" ref="EQ58:ER58" si="472">EQ55-EQ54</f>
        <v>59</v>
      </c>
      <c r="ER58" s="5">
        <f t="shared" si="472"/>
        <v>107</v>
      </c>
      <c r="ES58" s="5">
        <f t="shared" si="452"/>
        <v>110</v>
      </c>
      <c r="ET58" s="5">
        <f t="shared" ref="ET58:EW58" si="473">ET55-ET54</f>
        <v>141</v>
      </c>
      <c r="EU58" s="5">
        <f t="shared" ref="EU58:EV58" si="474">EU55-EU54</f>
        <v>113</v>
      </c>
      <c r="EV58" s="5">
        <f t="shared" si="474"/>
        <v>131</v>
      </c>
      <c r="EW58" s="5">
        <f t="shared" si="473"/>
        <v>147</v>
      </c>
      <c r="EX58" s="5">
        <f t="shared" si="452"/>
        <v>55</v>
      </c>
      <c r="EY58" s="5">
        <f t="shared" si="452"/>
        <v>78</v>
      </c>
      <c r="EZ58" s="5">
        <f t="shared" si="452"/>
        <v>123</v>
      </c>
      <c r="FA58" s="5">
        <f t="shared" ref="FA58:FT58" si="475">FA55-FA54</f>
        <v>129</v>
      </c>
      <c r="FB58" s="5">
        <f t="shared" ref="FB58:FD58" si="476">FB55-FB54</f>
        <v>94</v>
      </c>
      <c r="FC58" s="5">
        <f t="shared" si="476"/>
        <v>111</v>
      </c>
      <c r="FD58" s="5">
        <f t="shared" si="476"/>
        <v>149</v>
      </c>
      <c r="FE58" s="5">
        <f t="shared" si="475"/>
        <v>56</v>
      </c>
      <c r="FF58" s="5">
        <f t="shared" si="475"/>
        <v>85</v>
      </c>
      <c r="FG58" s="5">
        <f t="shared" si="475"/>
        <v>95</v>
      </c>
      <c r="FH58" s="5">
        <f t="shared" si="475"/>
        <v>136</v>
      </c>
      <c r="FI58" s="5">
        <f t="shared" si="475"/>
        <v>133</v>
      </c>
      <c r="FJ58" s="5">
        <f t="shared" ref="FJ58:FK58" si="477">FJ55-FJ54</f>
        <v>127</v>
      </c>
      <c r="FK58" s="5">
        <f t="shared" si="477"/>
        <v>180</v>
      </c>
      <c r="FL58" s="5">
        <f t="shared" ref="FL58" si="478">FL55-FL54</f>
        <v>80</v>
      </c>
      <c r="FM58" s="5">
        <f t="shared" si="475"/>
        <v>113</v>
      </c>
      <c r="FN58" s="5">
        <f t="shared" si="475"/>
        <v>82</v>
      </c>
      <c r="FO58" s="5">
        <f t="shared" ref="FO58:FS58" si="479">FO55-FO54</f>
        <v>132</v>
      </c>
      <c r="FP58" s="5">
        <f t="shared" si="479"/>
        <v>2</v>
      </c>
      <c r="FQ58" s="5">
        <f t="shared" ref="FQ58:FR58" si="480">FQ55-FQ54</f>
        <v>55</v>
      </c>
      <c r="FR58" s="5">
        <f t="shared" si="480"/>
        <v>120</v>
      </c>
      <c r="FS58" s="5">
        <f t="shared" si="479"/>
        <v>48</v>
      </c>
      <c r="FT58" s="5">
        <f t="shared" si="475"/>
        <v>90</v>
      </c>
      <c r="FU58" s="5">
        <f t="shared" ref="FU58" si="481">FU55-FU54</f>
        <v>105</v>
      </c>
      <c r="FV58" s="5">
        <f t="shared" ref="FV58:GT58" si="482">FV55-FV54</f>
        <v>126</v>
      </c>
      <c r="FW58" s="5">
        <f t="shared" si="482"/>
        <v>107</v>
      </c>
      <c r="FX58" s="5">
        <f t="shared" si="482"/>
        <v>132</v>
      </c>
      <c r="FY58" s="5">
        <f t="shared" si="482"/>
        <v>208</v>
      </c>
      <c r="FZ58" s="5">
        <f t="shared" si="482"/>
        <v>62</v>
      </c>
      <c r="GA58" s="5">
        <f t="shared" si="482"/>
        <v>23</v>
      </c>
      <c r="GB58" s="5">
        <f t="shared" si="482"/>
        <v>56</v>
      </c>
      <c r="GC58" s="5">
        <f t="shared" si="482"/>
        <v>-118</v>
      </c>
      <c r="GD58" s="5">
        <f t="shared" si="482"/>
        <v>-196</v>
      </c>
      <c r="GE58" s="5">
        <f t="shared" ref="GE58:GS58" si="483">GE55-GE54</f>
        <v>-211</v>
      </c>
      <c r="GF58" s="5">
        <f t="shared" ref="GF58:GJ58" si="484">GF55-GF54</f>
        <v>50</v>
      </c>
      <c r="GG58" s="5">
        <f t="shared" si="484"/>
        <v>-199</v>
      </c>
      <c r="GH58" s="5">
        <f t="shared" ref="GH58:GI58" si="485">GH55-GH54</f>
        <v>-18</v>
      </c>
      <c r="GI58" s="5">
        <f t="shared" si="485"/>
        <v>-74</v>
      </c>
      <c r="GJ58" s="5">
        <f t="shared" si="484"/>
        <v>-123</v>
      </c>
      <c r="GK58" s="5">
        <f t="shared" si="483"/>
        <v>-265</v>
      </c>
      <c r="GL58" s="5">
        <f t="shared" ref="GL58" si="486">GL55-GL54</f>
        <v>-418</v>
      </c>
      <c r="GM58" s="5">
        <f t="shared" si="483"/>
        <v>-186</v>
      </c>
      <c r="GN58" s="5">
        <f t="shared" ref="GN58:GR58" si="487">GN55-GN54</f>
        <v>-203</v>
      </c>
      <c r="GO58" s="5">
        <f t="shared" si="487"/>
        <v>-28</v>
      </c>
      <c r="GP58" s="5">
        <f t="shared" ref="GP58:GQ58" si="488">GP55-GP54</f>
        <v>595</v>
      </c>
      <c r="GQ58" s="5">
        <f t="shared" si="488"/>
        <v>595</v>
      </c>
      <c r="GR58" s="5">
        <f t="shared" si="487"/>
        <v>595</v>
      </c>
      <c r="GS58" s="5">
        <f t="shared" si="483"/>
        <v>595</v>
      </c>
      <c r="GT58" s="5">
        <f t="shared" si="482"/>
        <v>595</v>
      </c>
    </row>
    <row r="59" spans="2:204" x14ac:dyDescent="0.3">
      <c r="B59" s="75"/>
      <c r="E59" s="50" t="s">
        <v>66</v>
      </c>
      <c r="F59" s="3"/>
      <c r="G59" s="3"/>
      <c r="H59" s="3"/>
      <c r="I59" s="3"/>
      <c r="J59" s="3"/>
      <c r="K59" s="56">
        <f>478+84</f>
        <v>562</v>
      </c>
      <c r="L59" s="56">
        <f>698+145</f>
        <v>843</v>
      </c>
      <c r="M59" s="56">
        <f>915+175</f>
        <v>1090</v>
      </c>
      <c r="N59" s="56">
        <f>1064+200</f>
        <v>1264</v>
      </c>
      <c r="O59" s="56">
        <f>1136+231</f>
        <v>1367</v>
      </c>
      <c r="P59" s="56">
        <f>1297+245</f>
        <v>1542</v>
      </c>
      <c r="Q59" s="56">
        <f>1596+318</f>
        <v>1914</v>
      </c>
      <c r="R59" s="56">
        <f>751+274</f>
        <v>1025</v>
      </c>
      <c r="S59" s="56">
        <f>990+354</f>
        <v>1344</v>
      </c>
      <c r="T59" s="56">
        <f>797+389</f>
        <v>1186</v>
      </c>
      <c r="U59" s="56">
        <f>1006+468</f>
        <v>1474</v>
      </c>
      <c r="V59" s="56">
        <f>1220+470</f>
        <v>1690</v>
      </c>
      <c r="W59" s="56">
        <f>962+423</f>
        <v>1385</v>
      </c>
      <c r="X59" s="56">
        <f>854+469</f>
        <v>1323</v>
      </c>
      <c r="Y59" s="56">
        <f>637+377</f>
        <v>1014</v>
      </c>
      <c r="Z59" s="56">
        <f>781+424</f>
        <v>1205</v>
      </c>
      <c r="AA59" s="56">
        <f>879+436</f>
        <v>1315</v>
      </c>
      <c r="AB59" s="56">
        <f>783+471</f>
        <v>1254</v>
      </c>
      <c r="AC59" s="56">
        <f>840+408</f>
        <v>1248</v>
      </c>
      <c r="AD59" s="56">
        <f>709+324</f>
        <v>1033</v>
      </c>
      <c r="AE59" s="56">
        <f>823+383</f>
        <v>1206</v>
      </c>
      <c r="AF59" s="56">
        <f>882+448</f>
        <v>1330</v>
      </c>
      <c r="AG59" s="56">
        <f>855+429</f>
        <v>1284</v>
      </c>
      <c r="AH59" s="56">
        <f>566+405</f>
        <v>971</v>
      </c>
      <c r="AI59" s="56">
        <f>585+344</f>
        <v>929</v>
      </c>
      <c r="AJ59" s="56">
        <f>564+313</f>
        <v>877</v>
      </c>
      <c r="AK59" s="3">
        <f>678+282</f>
        <v>960</v>
      </c>
      <c r="AL59" s="3">
        <f>905+334</f>
        <v>1239</v>
      </c>
      <c r="AM59" s="3">
        <f>778+348</f>
        <v>1126</v>
      </c>
      <c r="AN59" s="3">
        <f>621+355</f>
        <v>976</v>
      </c>
      <c r="AO59" s="3">
        <f>802+263</f>
        <v>1065</v>
      </c>
      <c r="AP59" s="3">
        <f>773+240</f>
        <v>1013</v>
      </c>
      <c r="AQ59" s="3">
        <f>794+209</f>
        <v>1003</v>
      </c>
      <c r="AR59" s="3">
        <f>559+156</f>
        <v>715</v>
      </c>
      <c r="AS59" s="3">
        <f>286+104</f>
        <v>390</v>
      </c>
      <c r="AT59" s="3">
        <f>342+142</f>
        <v>484</v>
      </c>
      <c r="AU59" s="3">
        <f>172+62</f>
        <v>234</v>
      </c>
      <c r="AV59" s="3">
        <f>80+26</f>
        <v>106</v>
      </c>
      <c r="AW59" s="3">
        <f>82+28</f>
        <v>110</v>
      </c>
      <c r="AX59" s="3">
        <f>54+23</f>
        <v>77</v>
      </c>
      <c r="AY59" s="3">
        <f>32+14</f>
        <v>46</v>
      </c>
      <c r="AZ59" s="3">
        <f>32+17</f>
        <v>49</v>
      </c>
      <c r="BA59" s="3">
        <f>75+21</f>
        <v>96</v>
      </c>
      <c r="BB59" s="3">
        <f>101+53</f>
        <v>154</v>
      </c>
      <c r="BC59" s="3">
        <f>29+20</f>
        <v>49</v>
      </c>
      <c r="BD59" s="3">
        <f>68+37</f>
        <v>105</v>
      </c>
      <c r="BE59" s="3">
        <f>40+21</f>
        <v>61</v>
      </c>
      <c r="BF59" s="3">
        <f>58+23</f>
        <v>81</v>
      </c>
      <c r="BG59" s="3">
        <f>51+24</f>
        <v>75</v>
      </c>
      <c r="BH59" s="3">
        <f>62+28</f>
        <v>90</v>
      </c>
      <c r="BI59" s="3">
        <f>95+41</f>
        <v>136</v>
      </c>
      <c r="BJ59" s="3">
        <f>108+42</f>
        <v>150</v>
      </c>
      <c r="BK59" s="3">
        <f>47+26</f>
        <v>73</v>
      </c>
      <c r="BL59" s="3">
        <f>25+3</f>
        <v>28</v>
      </c>
      <c r="BM59" s="3">
        <f>48+16</f>
        <v>64</v>
      </c>
      <c r="BN59" s="3">
        <f>47+26</f>
        <v>73</v>
      </c>
      <c r="BO59" s="3">
        <f>51+15</f>
        <v>66</v>
      </c>
      <c r="BP59" s="3">
        <f>62+21</f>
        <v>83</v>
      </c>
      <c r="BQ59" s="3">
        <f>47+23</f>
        <v>70</v>
      </c>
      <c r="BR59" s="3">
        <f>57+17</f>
        <v>74</v>
      </c>
      <c r="BS59" s="3">
        <f>58+10</f>
        <v>68</v>
      </c>
      <c r="BT59" s="3">
        <f>19+10</f>
        <v>29</v>
      </c>
      <c r="BU59" s="3">
        <f>76+35</f>
        <v>111</v>
      </c>
      <c r="BV59" s="3">
        <f>3+3</f>
        <v>6</v>
      </c>
      <c r="BW59" s="3">
        <f>8+6</f>
        <v>14</v>
      </c>
      <c r="BX59" s="3">
        <f>32+13</f>
        <v>45</v>
      </c>
      <c r="BY59" s="3">
        <f>45+10</f>
        <v>55</v>
      </c>
      <c r="BZ59" s="3">
        <f>51+31</f>
        <v>82</v>
      </c>
      <c r="CA59" s="3">
        <f>33+14</f>
        <v>47</v>
      </c>
      <c r="CB59" s="3">
        <f>18+18</f>
        <v>36</v>
      </c>
      <c r="CC59" s="3">
        <f>28+16</f>
        <v>44</v>
      </c>
      <c r="CD59" s="3">
        <f>19+21</f>
        <v>40</v>
      </c>
      <c r="CE59" s="3">
        <f t="shared" ref="CE59" si="489">7+11</f>
        <v>18</v>
      </c>
      <c r="CF59" s="3">
        <f>30+10</f>
        <v>40</v>
      </c>
      <c r="CG59" s="3">
        <f>5+2</f>
        <v>7</v>
      </c>
      <c r="CH59" s="3">
        <f>3+2</f>
        <v>5</v>
      </c>
      <c r="CI59" s="3">
        <f>6+2</f>
        <v>8</v>
      </c>
      <c r="CJ59" s="3">
        <f>37+25</f>
        <v>62</v>
      </c>
      <c r="CK59" s="3">
        <f>4+4</f>
        <v>8</v>
      </c>
      <c r="CL59" s="3">
        <f>28+13</f>
        <v>41</v>
      </c>
      <c r="CM59" s="3">
        <f>4+3</f>
        <v>7</v>
      </c>
      <c r="CN59" s="3">
        <f>16+5</f>
        <v>21</v>
      </c>
      <c r="CO59" s="3">
        <f>1+0</f>
        <v>1</v>
      </c>
      <c r="CP59" s="3">
        <f>13+8</f>
        <v>21</v>
      </c>
      <c r="CQ59" s="3">
        <f>24+8</f>
        <v>32</v>
      </c>
      <c r="CR59" s="3">
        <f>7+4</f>
        <v>11</v>
      </c>
      <c r="CS59" s="3">
        <f>21+6</f>
        <v>27</v>
      </c>
      <c r="CT59" s="3">
        <f>13+8</f>
        <v>21</v>
      </c>
      <c r="CU59" s="3">
        <f>7+4</f>
        <v>11</v>
      </c>
      <c r="CV59" s="3">
        <f>8+3</f>
        <v>11</v>
      </c>
      <c r="CW59" s="3">
        <f>24+11</f>
        <v>35</v>
      </c>
      <c r="CX59" s="3">
        <f>77+33</f>
        <v>110</v>
      </c>
      <c r="CY59" s="3">
        <f>63+26</f>
        <v>89</v>
      </c>
      <c r="CZ59" s="3">
        <f>29+23</f>
        <v>52</v>
      </c>
      <c r="DA59" s="3">
        <f>7+7</f>
        <v>14</v>
      </c>
      <c r="DB59" s="3">
        <f>4+5</f>
        <v>9</v>
      </c>
      <c r="DC59" s="3">
        <f>1+3</f>
        <v>4</v>
      </c>
      <c r="DD59" s="3">
        <f>3+4</f>
        <v>7</v>
      </c>
      <c r="DE59" s="3">
        <f>19+10</f>
        <v>29</v>
      </c>
      <c r="DF59" s="3">
        <f>3+1</f>
        <v>4</v>
      </c>
      <c r="DG59" s="3">
        <f>3+2</f>
        <v>5</v>
      </c>
      <c r="DH59" s="3">
        <f>16+8</f>
        <v>24</v>
      </c>
      <c r="DI59" s="3">
        <f>22+0</f>
        <v>22</v>
      </c>
      <c r="DJ59" s="3">
        <f>0+0</f>
        <v>0</v>
      </c>
      <c r="DK59" s="3">
        <f>9+2</f>
        <v>11</v>
      </c>
      <c r="DL59" s="3">
        <f>10+2</f>
        <v>12</v>
      </c>
      <c r="DM59" s="3">
        <f>2+3</f>
        <v>5</v>
      </c>
      <c r="DN59" s="3">
        <f>0+0</f>
        <v>0</v>
      </c>
      <c r="DO59" s="3">
        <f>21+7</f>
        <v>28</v>
      </c>
      <c r="DP59" s="3">
        <f>13+8</f>
        <v>21</v>
      </c>
      <c r="DQ59" s="3">
        <f>2+5</f>
        <v>7</v>
      </c>
      <c r="DR59" s="3">
        <f>13+10</f>
        <v>23</v>
      </c>
      <c r="DS59" s="3">
        <f>1+1</f>
        <v>2</v>
      </c>
      <c r="DT59" s="3">
        <f>18+10</f>
        <v>28</v>
      </c>
      <c r="DU59" s="3">
        <f>0+0</f>
        <v>0</v>
      </c>
      <c r="DV59" s="3">
        <f>18+4</f>
        <v>22</v>
      </c>
      <c r="DW59" s="3">
        <f>11+2</f>
        <v>13</v>
      </c>
      <c r="DX59" s="3">
        <f>22+6</f>
        <v>28</v>
      </c>
      <c r="DY59" s="3">
        <f>2+1</f>
        <v>3</v>
      </c>
      <c r="DZ59" s="3">
        <f>2+0</f>
        <v>2</v>
      </c>
      <c r="EA59" s="3">
        <f>0+3</f>
        <v>3</v>
      </c>
      <c r="EB59" s="3">
        <f>31+6</f>
        <v>37</v>
      </c>
      <c r="EC59" s="3">
        <f>5+5</f>
        <v>10</v>
      </c>
      <c r="ED59" s="3">
        <f>5+3</f>
        <v>8</v>
      </c>
      <c r="EE59" s="3">
        <f>20+3</f>
        <v>23</v>
      </c>
      <c r="EF59" s="3">
        <f>2+1</f>
        <v>3</v>
      </c>
      <c r="EG59" s="3">
        <f>1+4</f>
        <v>5</v>
      </c>
      <c r="EH59" s="3">
        <f>3+3</f>
        <v>6</v>
      </c>
      <c r="EI59" s="3">
        <f>7+2</f>
        <v>9</v>
      </c>
      <c r="EJ59" s="3">
        <f>8+3</f>
        <v>11</v>
      </c>
      <c r="EK59" s="3">
        <f>5+4</f>
        <v>9</v>
      </c>
      <c r="EL59" s="3">
        <f>3+0</f>
        <v>3</v>
      </c>
      <c r="EM59" s="3">
        <f>7+3</f>
        <v>10</v>
      </c>
      <c r="EN59" s="3">
        <f>1+3</f>
        <v>4</v>
      </c>
      <c r="EO59" s="3">
        <f>2+2</f>
        <v>4</v>
      </c>
      <c r="EP59" s="3">
        <f>0+1</f>
        <v>1</v>
      </c>
      <c r="EQ59" s="3">
        <f>25+10</f>
        <v>35</v>
      </c>
      <c r="ER59" s="3">
        <f>11+3</f>
        <v>14</v>
      </c>
      <c r="ES59" s="3">
        <f>4+1</f>
        <v>5</v>
      </c>
      <c r="ET59" s="3">
        <f>7+3</f>
        <v>10</v>
      </c>
      <c r="EU59" s="3">
        <f>6+5</f>
        <v>11</v>
      </c>
      <c r="EV59" s="3">
        <f>1+1</f>
        <v>2</v>
      </c>
      <c r="EW59" s="3">
        <f>1+1</f>
        <v>2</v>
      </c>
      <c r="EX59" s="3">
        <f>13+5</f>
        <v>18</v>
      </c>
      <c r="EY59" s="3">
        <f>0+1</f>
        <v>1</v>
      </c>
      <c r="EZ59" s="3">
        <f>1+0</f>
        <v>1</v>
      </c>
      <c r="FA59" s="3">
        <f>7+3</f>
        <v>10</v>
      </c>
      <c r="FB59" s="3">
        <f>14+1</f>
        <v>15</v>
      </c>
      <c r="FC59" s="3">
        <f>6+1</f>
        <v>7</v>
      </c>
      <c r="FD59" s="3">
        <f>11+7</f>
        <v>18</v>
      </c>
      <c r="FE59" s="3">
        <f>32+5</f>
        <v>37</v>
      </c>
      <c r="FF59" s="3">
        <f>30+7</f>
        <v>37</v>
      </c>
      <c r="FG59" s="3">
        <f>18+8</f>
        <v>26</v>
      </c>
      <c r="FH59" s="3">
        <f>18+8</f>
        <v>26</v>
      </c>
      <c r="FI59" s="3">
        <f>32+12</f>
        <v>44</v>
      </c>
      <c r="FJ59" s="3">
        <f>48+21</f>
        <v>69</v>
      </c>
      <c r="FK59" s="3">
        <f>48+18</f>
        <v>66</v>
      </c>
      <c r="FL59" s="3">
        <f>55+10</f>
        <v>65</v>
      </c>
      <c r="FM59" s="3">
        <f>34+8</f>
        <v>42</v>
      </c>
      <c r="FN59" s="3">
        <f>96+25</f>
        <v>121</v>
      </c>
      <c r="FO59" s="3">
        <f>96+25</f>
        <v>121</v>
      </c>
      <c r="FP59" s="3">
        <f>84+34</f>
        <v>118</v>
      </c>
      <c r="FQ59" s="3">
        <f>93+9</f>
        <v>102</v>
      </c>
      <c r="FR59" s="3">
        <f>93+9</f>
        <v>102</v>
      </c>
      <c r="FS59" s="3">
        <f>59+14</f>
        <v>73</v>
      </c>
      <c r="FT59" s="3">
        <f>71+18</f>
        <v>89</v>
      </c>
      <c r="FU59" s="3">
        <f>42+10</f>
        <v>52</v>
      </c>
      <c r="FV59" s="3">
        <f>59+10</f>
        <v>69</v>
      </c>
      <c r="FW59" s="3">
        <f>57+9</f>
        <v>66</v>
      </c>
      <c r="FX59" s="3">
        <f>62+15</f>
        <v>77</v>
      </c>
      <c r="FY59" s="3">
        <f>12+11</f>
        <v>23</v>
      </c>
      <c r="FZ59" s="3">
        <f>37+15</f>
        <v>52</v>
      </c>
      <c r="GA59" s="3">
        <f>18+1</f>
        <v>19</v>
      </c>
      <c r="GB59" s="3">
        <f>29+8</f>
        <v>37</v>
      </c>
      <c r="GC59" s="3">
        <f>75+24</f>
        <v>99</v>
      </c>
      <c r="GD59" s="3">
        <f>125+32</f>
        <v>157</v>
      </c>
      <c r="GE59" s="3">
        <f>155+28</f>
        <v>183</v>
      </c>
      <c r="GF59" s="3">
        <f>117+23</f>
        <v>140</v>
      </c>
      <c r="GG59" s="3">
        <f>136+39</f>
        <v>175</v>
      </c>
      <c r="GH59" s="3">
        <f>143+46</f>
        <v>189</v>
      </c>
      <c r="GI59" s="3">
        <f>216+57</f>
        <v>273</v>
      </c>
      <c r="GJ59" s="3">
        <f>364+115</f>
        <v>479</v>
      </c>
      <c r="GK59" s="3">
        <f>223+120</f>
        <v>343</v>
      </c>
      <c r="GL59" s="3">
        <f>223+120</f>
        <v>343</v>
      </c>
      <c r="GM59" s="3">
        <f>299+180</f>
        <v>479</v>
      </c>
      <c r="GN59" s="3">
        <f>234+182</f>
        <v>416</v>
      </c>
      <c r="GO59" s="3">
        <f>176+182</f>
        <v>358</v>
      </c>
      <c r="GP59" s="3"/>
      <c r="GQ59" s="3"/>
      <c r="GR59" s="3"/>
      <c r="GS59" s="3"/>
      <c r="GT59" s="3"/>
    </row>
    <row r="60" spans="2:204" hidden="1" x14ac:dyDescent="0.3">
      <c r="B60" s="75"/>
      <c r="E60" s="50" t="s">
        <v>67</v>
      </c>
      <c r="F60" s="49"/>
      <c r="G60" s="49" t="str">
        <f t="shared" ref="G60:K60" si="490">IFERROR((G59-F59)/F59,"")</f>
        <v/>
      </c>
      <c r="H60" s="49" t="str">
        <f t="shared" si="490"/>
        <v/>
      </c>
      <c r="I60" s="49" t="str">
        <f t="shared" si="490"/>
        <v/>
      </c>
      <c r="J60" s="49" t="str">
        <f t="shared" si="490"/>
        <v/>
      </c>
      <c r="K60" s="49" t="str">
        <f t="shared" si="490"/>
        <v/>
      </c>
      <c r="L60" s="49">
        <f t="shared" ref="L60" si="491">IFERROR((L59-K59)/K59,"")</f>
        <v>0.5</v>
      </c>
      <c r="M60" s="49">
        <f t="shared" ref="M60" si="492">IFERROR((M59-L59)/L59,"")</f>
        <v>0.2930011862396204</v>
      </c>
      <c r="N60" s="49">
        <f t="shared" ref="N60" si="493">IFERROR((N59-M59)/M59,"")</f>
        <v>0.15963302752293579</v>
      </c>
      <c r="O60" s="49">
        <f t="shared" ref="O60" si="494">IFERROR((O59-N59)/N59,"")</f>
        <v>8.1487341772151903E-2</v>
      </c>
      <c r="P60" s="49">
        <f t="shared" ref="P60" si="495">IFERROR((P59-O59)/O59,"")</f>
        <v>0.12801755669348938</v>
      </c>
      <c r="Q60" s="49">
        <f t="shared" ref="Q60" si="496">IFERROR((Q59-P59)/P59,"")</f>
        <v>0.24124513618677043</v>
      </c>
      <c r="R60" s="49">
        <f t="shared" ref="R60" si="497">IFERROR((R59-Q59)/Q59,"")</f>
        <v>-0.46447230929989552</v>
      </c>
      <c r="S60" s="49">
        <f t="shared" ref="S60" si="498">IFERROR((S59-R59)/R59,"")</f>
        <v>0.31121951219512195</v>
      </c>
      <c r="T60" s="49">
        <f t="shared" ref="T60" si="499">IFERROR((T59-S59)/S59,"")</f>
        <v>-0.11755952380952381</v>
      </c>
      <c r="U60" s="49">
        <f t="shared" ref="U60" si="500">IFERROR((U59-T59)/T59,"")</f>
        <v>0.24283305227655985</v>
      </c>
      <c r="V60" s="49">
        <f t="shared" ref="V60" si="501">IFERROR((V59-U59)/U59,"")</f>
        <v>0.14654002713704206</v>
      </c>
      <c r="W60" s="49">
        <f t="shared" ref="W60" si="502">IFERROR((W59-V59)/V59,"")</f>
        <v>-0.18047337278106509</v>
      </c>
      <c r="X60" s="49">
        <f t="shared" ref="X60" si="503">IFERROR((X59-W59)/W59,"")</f>
        <v>-4.4765342960288806E-2</v>
      </c>
      <c r="Y60" s="49">
        <f t="shared" ref="Y60" si="504">IFERROR((Y59-X59)/X59,"")</f>
        <v>-0.23356009070294784</v>
      </c>
      <c r="Z60" s="49">
        <f t="shared" ref="Z60" si="505">IFERROR((Z59-Y59)/Y59,"")</f>
        <v>0.18836291913214989</v>
      </c>
      <c r="AA60" s="49">
        <f t="shared" ref="AA60" si="506">IFERROR((AA59-Z59)/Z59,"")</f>
        <v>9.1286307053941904E-2</v>
      </c>
      <c r="AB60" s="49">
        <f t="shared" ref="AB60" si="507">IFERROR((AB59-AA59)/AA59,"")</f>
        <v>-4.6387832699619769E-2</v>
      </c>
      <c r="AC60" s="49">
        <f t="shared" ref="AC60" si="508">IFERROR((AC59-AB59)/AB59,"")</f>
        <v>-4.7846889952153108E-3</v>
      </c>
      <c r="AD60" s="49">
        <f t="shared" ref="AD60" si="509">IFERROR((AD59-AC59)/AC59,"")</f>
        <v>-0.17227564102564102</v>
      </c>
      <c r="AE60" s="49">
        <f t="shared" ref="AE60" si="510">IFERROR((AE59-AD59)/AD59,"")</f>
        <v>0.16747337850919652</v>
      </c>
      <c r="AF60" s="49">
        <f t="shared" ref="AF60" si="511">IFERROR((AF59-AE59)/AE59,"")</f>
        <v>0.10281923714759536</v>
      </c>
      <c r="AG60" s="49">
        <f t="shared" ref="AG60" si="512">IFERROR((AG59-AF59)/AF59,"")</f>
        <v>-3.4586466165413533E-2</v>
      </c>
      <c r="AH60" s="49">
        <f t="shared" ref="AH60" si="513">IFERROR((AH59-AG59)/AG59,"")</f>
        <v>-0.24376947040498442</v>
      </c>
      <c r="AI60" s="49">
        <f t="shared" ref="AI60" si="514">IFERROR((AI59-AH59)/AH59,"")</f>
        <v>-4.325437693099897E-2</v>
      </c>
      <c r="AJ60" s="49">
        <f t="shared" ref="AJ60" si="515">IFERROR((AJ59-AI59)/AI59,"")</f>
        <v>-5.5974165769644778E-2</v>
      </c>
      <c r="AK60" s="49">
        <f t="shared" ref="AK60" si="516">IFERROR((AK59-AJ59)/AJ59,"")</f>
        <v>9.4640820980615742E-2</v>
      </c>
      <c r="AL60" s="49">
        <f t="shared" ref="AL60" si="517">IFERROR((AL59-AK59)/AK59,"")</f>
        <v>0.29062500000000002</v>
      </c>
      <c r="AM60" s="49">
        <f t="shared" ref="AM60" si="518">IFERROR((AM59-AL59)/AL59,"")</f>
        <v>-9.1202582728006451E-2</v>
      </c>
      <c r="AN60" s="49">
        <f t="shared" ref="AN60" si="519">IFERROR((AN59-AM59)/AM59,"")</f>
        <v>-0.13321492007104796</v>
      </c>
      <c r="AO60" s="49">
        <f t="shared" ref="AO60" si="520">IFERROR((AO59-AN59)/AN59,"")</f>
        <v>9.1188524590163939E-2</v>
      </c>
      <c r="AP60" s="49">
        <f t="shared" ref="AP60" si="521">IFERROR((AP59-AO59)/AO59,"")</f>
        <v>-4.8826291079812206E-2</v>
      </c>
      <c r="AQ60" s="49">
        <f t="shared" ref="AQ60" si="522">IFERROR((AQ59-AP59)/AP59,"")</f>
        <v>-9.8716683119447184E-3</v>
      </c>
      <c r="AR60" s="49">
        <f t="shared" ref="AR60" si="523">IFERROR((AR59-AQ59)/AQ59,"")</f>
        <v>-0.28713858424725824</v>
      </c>
      <c r="AS60" s="49">
        <f t="shared" ref="AS60" si="524">IFERROR((AS59-AR59)/AR59,"")</f>
        <v>-0.45454545454545453</v>
      </c>
      <c r="AT60" s="49">
        <f t="shared" ref="AT60" si="525">IFERROR((AT59-AS59)/AS59,"")</f>
        <v>0.24102564102564103</v>
      </c>
      <c r="AU60" s="49">
        <f t="shared" ref="AU60" si="526">IFERROR((AU59-AT59)/AT59,"")</f>
        <v>-0.51652892561983466</v>
      </c>
      <c r="AV60" s="49">
        <f t="shared" ref="AV60" si="527">IFERROR((AV59-AU59)/AU59,"")</f>
        <v>-0.54700854700854706</v>
      </c>
      <c r="AW60" s="49">
        <f t="shared" ref="AW60" si="528">IFERROR((AW59-AV59)/AV59,"")</f>
        <v>3.7735849056603772E-2</v>
      </c>
      <c r="AX60" s="49">
        <f t="shared" ref="AX60" si="529">IFERROR((AX59-AW59)/AW59,"")</f>
        <v>-0.3</v>
      </c>
      <c r="AY60" s="49">
        <f t="shared" ref="AY60" si="530">IFERROR((AY59-AX59)/AX59,"")</f>
        <v>-0.40259740259740262</v>
      </c>
      <c r="AZ60" s="49">
        <f t="shared" ref="AZ60" si="531">IFERROR((AZ59-AY59)/AY59,"")</f>
        <v>6.5217391304347824E-2</v>
      </c>
      <c r="BA60" s="49">
        <f t="shared" ref="BA60" si="532">IFERROR((BA59-AZ59)/AZ59,"")</f>
        <v>0.95918367346938771</v>
      </c>
      <c r="BB60" s="49">
        <f t="shared" ref="BB60" si="533">IFERROR((BB59-BA59)/BA59,"")</f>
        <v>0.60416666666666663</v>
      </c>
      <c r="BC60" s="49">
        <f t="shared" ref="BC60" si="534">IFERROR((BC59-BB59)/BB59,"")</f>
        <v>-0.68181818181818177</v>
      </c>
      <c r="BD60" s="49">
        <f t="shared" ref="BD60" si="535">IFERROR((BD59-BC59)/BC59,"")</f>
        <v>1.1428571428571428</v>
      </c>
      <c r="BE60" s="49">
        <f t="shared" ref="BE60" si="536">IFERROR((BE59-BD59)/BD59,"")</f>
        <v>-0.41904761904761906</v>
      </c>
      <c r="BF60" s="49">
        <f t="shared" ref="BF60" si="537">IFERROR((BF59-BE59)/BE59,"")</f>
        <v>0.32786885245901637</v>
      </c>
      <c r="BG60" s="49">
        <f t="shared" ref="BG60" si="538">IFERROR((BG59-BF59)/BF59,"")</f>
        <v>-7.407407407407407E-2</v>
      </c>
      <c r="BH60" s="49">
        <f t="shared" ref="BH60" si="539">IFERROR((BH59-BG59)/BG59,"")</f>
        <v>0.2</v>
      </c>
      <c r="BI60" s="49">
        <f t="shared" ref="BI60" si="540">IFERROR((BI59-BH59)/BH59,"")</f>
        <v>0.51111111111111107</v>
      </c>
      <c r="BJ60" s="49">
        <f t="shared" ref="BJ60" si="541">IFERROR((BJ59-BI59)/BI59,"")</f>
        <v>0.10294117647058823</v>
      </c>
      <c r="BK60" s="49">
        <f t="shared" ref="BK60" si="542">IFERROR((BK59-BJ59)/BJ59,"")</f>
        <v>-0.51333333333333331</v>
      </c>
      <c r="BL60" s="49">
        <f t="shared" ref="BL60" si="543">IFERROR((BL59-BK59)/BK59,"")</f>
        <v>-0.61643835616438358</v>
      </c>
      <c r="BM60" s="49">
        <f t="shared" ref="BM60" si="544">IFERROR((BM59-BL59)/BL59,"")</f>
        <v>1.2857142857142858</v>
      </c>
      <c r="BN60" s="49">
        <f t="shared" ref="BN60" si="545">IFERROR((BN59-BM59)/BM59,"")</f>
        <v>0.140625</v>
      </c>
      <c r="BO60" s="49">
        <f t="shared" ref="BO60" si="546">IFERROR((BO59-BN59)/BN59,"")</f>
        <v>-9.5890410958904104E-2</v>
      </c>
      <c r="BP60" s="49">
        <f t="shared" ref="BP60" si="547">IFERROR((BP59-BO59)/BO59,"")</f>
        <v>0.25757575757575757</v>
      </c>
      <c r="BQ60" s="49">
        <f t="shared" ref="BQ60" si="548">IFERROR((BQ59-BP59)/BP59,"")</f>
        <v>-0.15662650602409639</v>
      </c>
      <c r="BR60" s="49">
        <f t="shared" ref="BR60" si="549">IFERROR((BR59-BQ59)/BQ59,"")</f>
        <v>5.7142857142857141E-2</v>
      </c>
      <c r="BS60" s="49">
        <f t="shared" ref="BS60" si="550">IFERROR((BS59-BR59)/BR59,"")</f>
        <v>-8.1081081081081086E-2</v>
      </c>
      <c r="BT60" s="49">
        <f t="shared" ref="BT60" si="551">IFERROR((BT59-BS59)/BS59,"")</f>
        <v>-0.57352941176470584</v>
      </c>
      <c r="BU60" s="49">
        <f t="shared" ref="BU60" si="552">IFERROR((BU59-BT59)/BT59,"")</f>
        <v>2.8275862068965516</v>
      </c>
      <c r="BV60" s="49">
        <f t="shared" ref="BV60" si="553">IFERROR((BV59-BU59)/BU59,"")</f>
        <v>-0.94594594594594594</v>
      </c>
      <c r="BW60" s="49">
        <f t="shared" ref="BW60" si="554">IFERROR((BW59-BV59)/BV59,"")</f>
        <v>1.3333333333333333</v>
      </c>
      <c r="BX60" s="49">
        <f t="shared" ref="BX60" si="555">IFERROR((BX59-BW59)/BW59,"")</f>
        <v>2.2142857142857144</v>
      </c>
      <c r="BY60" s="49">
        <f t="shared" ref="BY60" si="556">IFERROR((BY59-BX59)/BX59,"")</f>
        <v>0.22222222222222221</v>
      </c>
      <c r="BZ60" s="49">
        <f t="shared" ref="BZ60" si="557">IFERROR((BZ59-BY59)/BY59,"")</f>
        <v>0.49090909090909091</v>
      </c>
      <c r="CA60" s="49">
        <f t="shared" ref="CA60" si="558">IFERROR((CA59-BZ59)/BZ59,"")</f>
        <v>-0.42682926829268292</v>
      </c>
      <c r="CB60" s="49">
        <f t="shared" ref="CB60" si="559">IFERROR((CB59-CA59)/CA59,"")</f>
        <v>-0.23404255319148937</v>
      </c>
      <c r="CC60" s="49">
        <f t="shared" ref="CC60" si="560">IFERROR((CC59-CB59)/CB59,"")</f>
        <v>0.22222222222222221</v>
      </c>
      <c r="CD60" s="49">
        <f t="shared" ref="CD60" si="561">IFERROR((CD59-CC59)/CC59,"")</f>
        <v>-9.0909090909090912E-2</v>
      </c>
      <c r="CE60" s="49">
        <f t="shared" ref="CE60" si="562">IFERROR((CE59-CD59)/CD59,"")</f>
        <v>-0.55000000000000004</v>
      </c>
      <c r="CF60" s="49">
        <f t="shared" ref="CF60" si="563">IFERROR((CF59-CE59)/CE59,"")</f>
        <v>1.2222222222222223</v>
      </c>
      <c r="CG60" s="49">
        <f t="shared" ref="CG60" si="564">IFERROR((CG59-CF59)/CF59,"")</f>
        <v>-0.82499999999999996</v>
      </c>
      <c r="CH60" s="49">
        <f t="shared" ref="CH60" si="565">IFERROR((CH59-CG59)/CG59,"")</f>
        <v>-0.2857142857142857</v>
      </c>
      <c r="CI60" s="49">
        <f t="shared" ref="CI60" si="566">IFERROR((CI59-CH59)/CH59,"")</f>
        <v>0.6</v>
      </c>
      <c r="CJ60" s="49">
        <f t="shared" ref="CJ60" si="567">IFERROR((CJ59-CI59)/CI59,"")</f>
        <v>6.75</v>
      </c>
      <c r="CK60" s="49">
        <f t="shared" ref="CK60" si="568">IFERROR((CK59-CJ59)/CJ59,"")</f>
        <v>-0.87096774193548387</v>
      </c>
      <c r="CL60" s="49">
        <f t="shared" ref="CL60" si="569">IFERROR((CL59-CK59)/CK59,"")</f>
        <v>4.125</v>
      </c>
      <c r="CM60" s="49">
        <f t="shared" ref="CM60" si="570">IFERROR((CM59-CL59)/CL59,"")</f>
        <v>-0.82926829268292679</v>
      </c>
      <c r="CN60" s="49">
        <f t="shared" ref="CN60" si="571">IFERROR((CN59-CM59)/CM59,"")</f>
        <v>2</v>
      </c>
      <c r="CO60" s="49">
        <f t="shared" ref="CO60" si="572">IFERROR((CO59-CN59)/CN59,"")</f>
        <v>-0.95238095238095233</v>
      </c>
      <c r="CP60" s="49">
        <f t="shared" ref="CP60" si="573">IFERROR((CP59-CO59)/CO59,"")</f>
        <v>20</v>
      </c>
      <c r="CQ60" s="49">
        <f t="shared" ref="CQ60" si="574">IFERROR((CQ59-CP59)/CP59,"")</f>
        <v>0.52380952380952384</v>
      </c>
      <c r="CR60" s="49">
        <f t="shared" ref="CR60" si="575">IFERROR((CR59-CQ59)/CQ59,"")</f>
        <v>-0.65625</v>
      </c>
      <c r="CS60" s="49">
        <f t="shared" ref="CS60" si="576">IFERROR((CS59-CR59)/CR59,"")</f>
        <v>1.4545454545454546</v>
      </c>
      <c r="CT60" s="49">
        <f t="shared" ref="CT60" si="577">IFERROR((CT59-CS59)/CS59,"")</f>
        <v>-0.22222222222222221</v>
      </c>
      <c r="CU60" s="49">
        <f t="shared" ref="CU60" si="578">IFERROR((CU59-CT59)/CT59,"")</f>
        <v>-0.47619047619047616</v>
      </c>
      <c r="CV60" s="49">
        <f t="shared" ref="CV60" si="579">IFERROR((CV59-CU59)/CU59,"")</f>
        <v>0</v>
      </c>
      <c r="CW60" s="49">
        <f t="shared" ref="CW60" si="580">IFERROR((CW59-CV59)/CV59,"")</f>
        <v>2.1818181818181817</v>
      </c>
      <c r="CX60" s="49">
        <f t="shared" ref="CX60" si="581">IFERROR((CX59-CW59)/CW59,"")</f>
        <v>2.1428571428571428</v>
      </c>
      <c r="CY60" s="49">
        <f t="shared" ref="CY60" si="582">IFERROR((CY59-CX59)/CX59,"")</f>
        <v>-0.19090909090909092</v>
      </c>
      <c r="CZ60" s="49">
        <f t="shared" ref="CZ60" si="583">IFERROR((CZ59-CY59)/CY59,"")</f>
        <v>-0.4157303370786517</v>
      </c>
      <c r="DA60" s="49">
        <f t="shared" ref="DA60" si="584">IFERROR((DA59-CZ59)/CZ59,"")</f>
        <v>-0.73076923076923073</v>
      </c>
      <c r="DB60" s="49">
        <f t="shared" ref="DB60" si="585">IFERROR((DB59-DA59)/DA59,"")</f>
        <v>-0.35714285714285715</v>
      </c>
      <c r="DC60" s="49">
        <f t="shared" ref="DC60" si="586">IFERROR((DC59-DB59)/DB59,"")</f>
        <v>-0.55555555555555558</v>
      </c>
      <c r="DD60" s="49">
        <f t="shared" ref="DD60" si="587">IFERROR((DD59-DC59)/DC59,"")</f>
        <v>0.75</v>
      </c>
      <c r="DE60" s="49">
        <f t="shared" ref="DE60" si="588">IFERROR((DE59-DD59)/DD59,"")</f>
        <v>3.1428571428571428</v>
      </c>
      <c r="DF60" s="49">
        <f t="shared" ref="DF60" si="589">IFERROR((DF59-DE59)/DE59,"")</f>
        <v>-0.86206896551724133</v>
      </c>
      <c r="DG60" s="49">
        <f t="shared" ref="DG60" si="590">IFERROR((DG59-DF59)/DF59,"")</f>
        <v>0.25</v>
      </c>
      <c r="DH60" s="49">
        <f t="shared" ref="DH60" si="591">IFERROR((DH59-DG59)/DG59,"")</f>
        <v>3.8</v>
      </c>
      <c r="DI60" s="49">
        <f t="shared" ref="DI60" si="592">IFERROR((DI59-DH59)/DH59,"")</f>
        <v>-8.3333333333333329E-2</v>
      </c>
      <c r="DJ60" s="49">
        <f t="shared" ref="DJ60" si="593">IFERROR((DJ59-DI59)/DI59,"")</f>
        <v>-1</v>
      </c>
      <c r="DK60" s="49" t="str">
        <f t="shared" ref="DK60" si="594">IFERROR((DK59-DJ59)/DJ59,"")</f>
        <v/>
      </c>
      <c r="DL60" s="49">
        <f t="shared" ref="DL60" si="595">IFERROR((DL59-DK59)/DK59,"")</f>
        <v>9.0909090909090912E-2</v>
      </c>
      <c r="DM60" s="49">
        <f t="shared" ref="DM60" si="596">IFERROR((DM59-DL59)/DL59,"")</f>
        <v>-0.58333333333333337</v>
      </c>
      <c r="DN60" s="49">
        <f t="shared" ref="DN60" si="597">IFERROR((DN59-DM59)/DM59,"")</f>
        <v>-1</v>
      </c>
      <c r="DO60" s="49" t="str">
        <f t="shared" ref="DO60" si="598">IFERROR((DO59-DN59)/DN59,"")</f>
        <v/>
      </c>
      <c r="DP60" s="49">
        <f t="shared" ref="DP60" si="599">IFERROR((DP59-DO59)/DO59,"")</f>
        <v>-0.25</v>
      </c>
      <c r="DQ60" s="49">
        <f t="shared" ref="DQ60" si="600">IFERROR((DQ59-DP59)/DP59,"")</f>
        <v>-0.66666666666666663</v>
      </c>
      <c r="DR60" s="49">
        <f t="shared" ref="DR60" si="601">IFERROR((DR59-DQ59)/DQ59,"")</f>
        <v>2.2857142857142856</v>
      </c>
      <c r="DS60" s="49">
        <f t="shared" ref="DS60" si="602">IFERROR((DS59-DR59)/DR59,"")</f>
        <v>-0.91304347826086951</v>
      </c>
      <c r="DT60" s="49">
        <f t="shared" ref="DT60" si="603">IFERROR((DT59-DS59)/DS59,"")</f>
        <v>13</v>
      </c>
      <c r="DU60" s="49">
        <f t="shared" ref="DU60" si="604">IFERROR((DU59-DT59)/DT59,"")</f>
        <v>-1</v>
      </c>
      <c r="DV60" s="49" t="str">
        <f t="shared" ref="DV60" si="605">IFERROR((DV59-DU59)/DU59,"")</f>
        <v/>
      </c>
      <c r="DW60" s="49">
        <f t="shared" ref="DW60" si="606">IFERROR((DW59-DV59)/DV59,"")</f>
        <v>-0.40909090909090912</v>
      </c>
      <c r="DX60" s="49">
        <f t="shared" ref="DX60" si="607">IFERROR((DX59-DW59)/DW59,"")</f>
        <v>1.1538461538461537</v>
      </c>
      <c r="DY60" s="49">
        <f t="shared" ref="DY60" si="608">IFERROR((DY59-DX59)/DX59,"")</f>
        <v>-0.8928571428571429</v>
      </c>
      <c r="DZ60" s="49">
        <f t="shared" ref="DZ60" si="609">IFERROR((DZ59-DY59)/DY59,"")</f>
        <v>-0.33333333333333331</v>
      </c>
      <c r="EA60" s="49">
        <f t="shared" ref="EA60" si="610">IFERROR((EA59-DZ59)/DZ59,"")</f>
        <v>0.5</v>
      </c>
      <c r="EB60" s="49">
        <f t="shared" ref="EB60" si="611">IFERROR((EB59-EA59)/EA59,"")</f>
        <v>11.333333333333334</v>
      </c>
      <c r="EC60" s="49">
        <f t="shared" ref="EC60" si="612">IFERROR((EC59-EB59)/EB59,"")</f>
        <v>-0.72972972972972971</v>
      </c>
      <c r="ED60" s="49">
        <f t="shared" ref="ED60" si="613">IFERROR((ED59-EC59)/EC59,"")</f>
        <v>-0.2</v>
      </c>
      <c r="EE60" s="49">
        <f t="shared" ref="EE60" si="614">IFERROR((EE59-ED59)/ED59,"")</f>
        <v>1.875</v>
      </c>
      <c r="EF60" s="49">
        <f t="shared" ref="EF60" si="615">IFERROR((EF59-EE59)/EE59,"")</f>
        <v>-0.86956521739130432</v>
      </c>
      <c r="EG60" s="49">
        <f t="shared" ref="EG60" si="616">IFERROR((EG59-EF59)/EF59,"")</f>
        <v>0.66666666666666663</v>
      </c>
      <c r="EH60" s="49">
        <f t="shared" ref="EH60" si="617">IFERROR((EH59-EG59)/EG59,"")</f>
        <v>0.2</v>
      </c>
      <c r="EI60" s="49">
        <f t="shared" ref="EI60" si="618">IFERROR((EI59-EH59)/EH59,"")</f>
        <v>0.5</v>
      </c>
      <c r="EJ60" s="49">
        <f t="shared" ref="EJ60" si="619">IFERROR((EJ59-EI59)/EI59,"")</f>
        <v>0.22222222222222221</v>
      </c>
      <c r="EK60" s="49">
        <f t="shared" ref="EK60" si="620">IFERROR((EK59-EJ59)/EJ59,"")</f>
        <v>-0.18181818181818182</v>
      </c>
      <c r="EL60" s="49">
        <f t="shared" ref="EL60" si="621">IFERROR((EL59-EK59)/EK59,"")</f>
        <v>-0.66666666666666663</v>
      </c>
      <c r="EM60" s="49">
        <f t="shared" ref="EM60" si="622">IFERROR((EM59-EL59)/EL59,"")</f>
        <v>2.3333333333333335</v>
      </c>
      <c r="EN60" s="49">
        <f t="shared" ref="EN60" si="623">IFERROR((EN59-EM59)/EM59,"")</f>
        <v>-0.6</v>
      </c>
      <c r="EO60" s="49">
        <f t="shared" ref="EO60" si="624">IFERROR((EO59-EN59)/EN59,"")</f>
        <v>0</v>
      </c>
      <c r="EP60" s="49">
        <f t="shared" ref="EP60" si="625">IFERROR((EP59-EO59)/EO59,"")</f>
        <v>-0.75</v>
      </c>
      <c r="EQ60" s="49">
        <f t="shared" ref="EQ60" si="626">IFERROR((EQ59-EP59)/EP59,"")</f>
        <v>34</v>
      </c>
      <c r="ER60" s="49">
        <f t="shared" ref="ER60" si="627">IFERROR((ER59-EQ59)/EQ59,"")</f>
        <v>-0.6</v>
      </c>
      <c r="ES60" s="49">
        <f t="shared" ref="ES60" si="628">IFERROR((ES59-ER59)/ER59,"")</f>
        <v>-0.6428571428571429</v>
      </c>
      <c r="ET60" s="49">
        <f t="shared" ref="ET60" si="629">IFERROR((ET59-ES59)/ES59,"")</f>
        <v>1</v>
      </c>
      <c r="EU60" s="49">
        <f t="shared" ref="EU60" si="630">IFERROR((EU59-ET59)/ET59,"")</f>
        <v>0.1</v>
      </c>
      <c r="EV60" s="49">
        <f t="shared" ref="EV60" si="631">IFERROR((EV59-EU59)/EU59,"")</f>
        <v>-0.81818181818181823</v>
      </c>
      <c r="EW60" s="49">
        <f t="shared" ref="EW60" si="632">IFERROR((EW59-EV59)/EV59,"")</f>
        <v>0</v>
      </c>
      <c r="EX60" s="49">
        <f t="shared" ref="EX60" si="633">IFERROR((EX59-EW59)/EW59,"")</f>
        <v>8</v>
      </c>
      <c r="EY60" s="49">
        <f t="shared" ref="EY60" si="634">IFERROR((EY59-EX59)/EX59,"")</f>
        <v>-0.94444444444444442</v>
      </c>
      <c r="EZ60" s="49">
        <f t="shared" ref="EZ60" si="635">IFERROR((EZ59-EY59)/EY59,"")</f>
        <v>0</v>
      </c>
      <c r="FA60" s="49">
        <f t="shared" ref="FA60" si="636">IFERROR((FA59-EZ59)/EZ59,"")</f>
        <v>9</v>
      </c>
      <c r="FB60" s="49">
        <f t="shared" ref="FB60" si="637">IFERROR((FB59-FA59)/FA59,"")</f>
        <v>0.5</v>
      </c>
      <c r="FC60" s="49">
        <f t="shared" ref="FC60" si="638">IFERROR((FC59-FB59)/FB59,"")</f>
        <v>-0.53333333333333333</v>
      </c>
      <c r="FD60" s="49">
        <f t="shared" ref="FD60" si="639">IFERROR((FD59-FC59)/FC59,"")</f>
        <v>1.5714285714285714</v>
      </c>
      <c r="FE60" s="49">
        <f t="shared" ref="FE60" si="640">IFERROR((FE59-FD59)/FD59,"")</f>
        <v>1.0555555555555556</v>
      </c>
      <c r="FF60" s="49">
        <f t="shared" ref="FF60" si="641">IFERROR((FF59-FE59)/FE59,"")</f>
        <v>0</v>
      </c>
      <c r="FG60" s="49">
        <f t="shared" ref="FG60" si="642">IFERROR((FG59-FF59)/FF59,"")</f>
        <v>-0.29729729729729731</v>
      </c>
      <c r="FH60" s="49">
        <f t="shared" ref="FH60" si="643">IFERROR((FH59-FG59)/FG59,"")</f>
        <v>0</v>
      </c>
      <c r="FI60" s="49">
        <f t="shared" ref="FI60" si="644">IFERROR((FI59-FH59)/FH59,"")</f>
        <v>0.69230769230769229</v>
      </c>
      <c r="FJ60" s="49">
        <f t="shared" ref="FJ60" si="645">IFERROR((FJ59-FI59)/FI59,"")</f>
        <v>0.56818181818181823</v>
      </c>
      <c r="FK60" s="49">
        <f t="shared" ref="FK60" si="646">IFERROR((FK59-FJ59)/FJ59,"")</f>
        <v>-4.3478260869565216E-2</v>
      </c>
      <c r="FL60" s="49">
        <f t="shared" ref="FL60" si="647">IFERROR((FL59-FK59)/FK59,"")</f>
        <v>-1.5151515151515152E-2</v>
      </c>
      <c r="FM60" s="49">
        <f t="shared" ref="FM60" si="648">IFERROR((FM59-FL59)/FL59,"")</f>
        <v>-0.35384615384615387</v>
      </c>
      <c r="FN60" s="49">
        <f t="shared" ref="FN60" si="649">IFERROR((FN59-FM59)/FM59,"")</f>
        <v>1.8809523809523809</v>
      </c>
      <c r="FO60" s="49">
        <f t="shared" ref="FO60" si="650">IFERROR((FO59-FN59)/FN59,"")</f>
        <v>0</v>
      </c>
      <c r="FP60" s="49">
        <f t="shared" ref="FP60" si="651">IFERROR((FP59-FO59)/FO59,"")</f>
        <v>-2.4793388429752067E-2</v>
      </c>
      <c r="FQ60" s="49">
        <f>IFERROR((FQ59-CJ59)/CJ59,"")</f>
        <v>0.64516129032258063</v>
      </c>
      <c r="FR60" s="49">
        <f>IFERROR((FR59-CK59)/CK59,"")</f>
        <v>11.75</v>
      </c>
      <c r="FS60" s="49">
        <f>IFERROR((FS59-CL59)/CL59,"")</f>
        <v>0.78048780487804881</v>
      </c>
      <c r="FT60" s="49">
        <f>IFERROR((FT59-CM59)/CM59,"")</f>
        <v>11.714285714285714</v>
      </c>
      <c r="FU60" s="49">
        <f>IFERROR((FU59-CI59)/CI59,"")</f>
        <v>5.5</v>
      </c>
      <c r="FV60" s="49">
        <f>IFERROR((FV59-CJ59)/CJ59,"")</f>
        <v>0.11290322580645161</v>
      </c>
      <c r="FW60" s="49">
        <f>IFERROR((FW59-CK59)/CK59,"")</f>
        <v>7.25</v>
      </c>
      <c r="FX60" s="49">
        <f>IFERROR((FX59-CL59)/CL59,"")</f>
        <v>0.87804878048780488</v>
      </c>
      <c r="FY60" s="49">
        <f>IFERROR((FY59-CJ59)/CJ59,"")</f>
        <v>-0.62903225806451613</v>
      </c>
      <c r="FZ60" s="49">
        <f>IFERROR((FZ59-CK59)/CK59,"")</f>
        <v>5.5</v>
      </c>
      <c r="GA60" s="49">
        <f>IFERROR((GA59-CL59)/CL59,"")</f>
        <v>-0.53658536585365857</v>
      </c>
      <c r="GB60" s="49">
        <f>IFERROR((GB59-CM59)/CM59,"")</f>
        <v>4.2857142857142856</v>
      </c>
      <c r="GC60" s="49">
        <f>IFERROR((GC59-CJ59)/CJ59,"")</f>
        <v>0.59677419354838712</v>
      </c>
      <c r="GD60" s="49">
        <f>IFERROR((GD59-CK59)/CK59,"")</f>
        <v>18.625</v>
      </c>
      <c r="GE60" s="49">
        <f>IFERROR((GE59-CL59)/CL59,"")</f>
        <v>3.4634146341463414</v>
      </c>
      <c r="GF60" s="49">
        <f>IFERROR((GF59-CL59)/CL59,"")</f>
        <v>2.4146341463414633</v>
      </c>
      <c r="GG60" s="49">
        <f t="shared" ref="GG60:GK60" si="652">IFERROR((GG59-CI59)/CI59,"")</f>
        <v>20.875</v>
      </c>
      <c r="GH60" s="49">
        <f t="shared" si="652"/>
        <v>2.0483870967741935</v>
      </c>
      <c r="GI60" s="49">
        <f t="shared" si="652"/>
        <v>33.125</v>
      </c>
      <c r="GJ60" s="49">
        <f t="shared" si="652"/>
        <v>10.682926829268293</v>
      </c>
      <c r="GK60" s="49">
        <f t="shared" si="652"/>
        <v>48</v>
      </c>
      <c r="GL60" s="49">
        <f>IFERROR((GL59-CI59)/CI59,"")</f>
        <v>41.875</v>
      </c>
      <c r="GM60" s="49">
        <f>IFERROR((GM59-CJ59)/CJ59,"")</f>
        <v>6.725806451612903</v>
      </c>
      <c r="GN60" s="49">
        <f>IFERROR((GN59-CK59)/CK59,"")</f>
        <v>51</v>
      </c>
      <c r="GO60" s="49">
        <f>IFERROR((GO59-CL59)/CL59,"")</f>
        <v>7.7317073170731705</v>
      </c>
      <c r="GP60" s="49">
        <f>IFERROR((GP59-CJ59)/CJ59,"")</f>
        <v>-1</v>
      </c>
      <c r="GQ60" s="49">
        <f>IFERROR((GQ59-CK59)/CK59,"")</f>
        <v>-1</v>
      </c>
      <c r="GR60" s="49">
        <f>IFERROR((GR59-CL59)/CL59,"")</f>
        <v>-1</v>
      </c>
      <c r="GS60" s="49">
        <f>IFERROR((GS59-CM59)/CM59,"")</f>
        <v>-1</v>
      </c>
      <c r="GT60" s="49">
        <f>IFERROR((GT59-CN59)/CN59,"")</f>
        <v>-1</v>
      </c>
    </row>
    <row r="61" spans="2:204" x14ac:dyDescent="0.3">
      <c r="B61" s="75"/>
      <c r="E61" s="52" t="s">
        <v>69</v>
      </c>
      <c r="F61" s="53">
        <v>557</v>
      </c>
      <c r="G61" s="53">
        <v>492</v>
      </c>
      <c r="H61" s="53">
        <v>410</v>
      </c>
      <c r="I61" s="53">
        <v>734</v>
      </c>
      <c r="J61" s="53">
        <v>946</v>
      </c>
      <c r="K61" s="53">
        <v>904</v>
      </c>
      <c r="L61" s="53">
        <v>985</v>
      </c>
      <c r="M61" s="53">
        <v>1141</v>
      </c>
      <c r="N61" s="53">
        <v>802</v>
      </c>
      <c r="O61" s="53">
        <v>560</v>
      </c>
      <c r="P61" s="53">
        <v>1283</v>
      </c>
      <c r="Q61" s="53">
        <v>1269</v>
      </c>
      <c r="R61" s="53">
        <v>1153</v>
      </c>
      <c r="S61" s="53">
        <v>1084</v>
      </c>
      <c r="T61" s="53">
        <v>813</v>
      </c>
      <c r="U61" s="53">
        <v>743</v>
      </c>
      <c r="V61" s="53">
        <v>583</v>
      </c>
      <c r="W61" s="53">
        <v>1283</v>
      </c>
      <c r="X61" s="53">
        <v>1269</v>
      </c>
      <c r="Y61" s="53">
        <v>629</v>
      </c>
      <c r="Z61" s="53">
        <v>591</v>
      </c>
      <c r="AA61" s="53">
        <v>461</v>
      </c>
      <c r="AB61" s="53">
        <v>357</v>
      </c>
      <c r="AC61" s="53">
        <v>253</v>
      </c>
      <c r="AD61" s="53">
        <v>811</v>
      </c>
      <c r="AE61" s="53">
        <v>818</v>
      </c>
      <c r="AF61" s="53">
        <v>598</v>
      </c>
      <c r="AG61" s="53">
        <v>557</v>
      </c>
      <c r="AH61" s="53">
        <v>564</v>
      </c>
      <c r="AI61" s="53">
        <v>364</v>
      </c>
      <c r="AJ61" s="53">
        <v>282</v>
      </c>
      <c r="AK61" s="53">
        <v>711</v>
      </c>
      <c r="AL61" s="53">
        <v>692</v>
      </c>
      <c r="AM61" s="53">
        <v>672</v>
      </c>
      <c r="AN61" s="53">
        <v>684</v>
      </c>
      <c r="AO61" s="53">
        <v>614</v>
      </c>
      <c r="AP61" s="53">
        <v>406</v>
      </c>
      <c r="AQ61" s="53">
        <v>322</v>
      </c>
      <c r="AR61" s="53">
        <v>130</v>
      </c>
      <c r="AS61" s="53">
        <v>627</v>
      </c>
      <c r="AT61" s="53">
        <v>562</v>
      </c>
      <c r="AU61" s="53">
        <v>530</v>
      </c>
      <c r="AV61" s="53">
        <v>489</v>
      </c>
      <c r="AW61" s="53">
        <v>382</v>
      </c>
      <c r="AX61" s="53">
        <v>242</v>
      </c>
      <c r="AY61" s="53">
        <v>201</v>
      </c>
      <c r="AZ61" s="53">
        <v>595</v>
      </c>
      <c r="BA61" s="53">
        <v>513</v>
      </c>
      <c r="BB61" s="53">
        <v>463</v>
      </c>
      <c r="BC61" s="53">
        <v>404</v>
      </c>
      <c r="BD61" s="53">
        <v>316</v>
      </c>
      <c r="BE61" s="53">
        <v>190</v>
      </c>
      <c r="BF61" s="53">
        <v>573</v>
      </c>
      <c r="BG61" s="53">
        <v>477</v>
      </c>
      <c r="BH61" s="53">
        <v>319</v>
      </c>
      <c r="BI61" s="53">
        <v>290</v>
      </c>
      <c r="BJ61" s="53">
        <v>278</v>
      </c>
      <c r="BK61" s="53">
        <v>237</v>
      </c>
      <c r="BL61" s="53">
        <v>158</v>
      </c>
      <c r="BM61" s="53">
        <v>375</v>
      </c>
      <c r="BN61" s="53">
        <v>342</v>
      </c>
      <c r="BO61" s="53">
        <v>319</v>
      </c>
      <c r="BP61" s="53">
        <v>270</v>
      </c>
      <c r="BQ61" s="53">
        <v>249</v>
      </c>
      <c r="BR61" s="53">
        <v>177</v>
      </c>
      <c r="BS61" s="53">
        <v>113</v>
      </c>
      <c r="BT61" s="53">
        <v>357</v>
      </c>
      <c r="BU61" s="53">
        <v>314</v>
      </c>
      <c r="BV61" s="53">
        <v>240</v>
      </c>
      <c r="BW61" s="53">
        <v>244</v>
      </c>
      <c r="BX61" s="53">
        <v>199</v>
      </c>
      <c r="BY61" s="53">
        <v>145</v>
      </c>
      <c r="BZ61" s="53">
        <v>79</v>
      </c>
      <c r="CA61" s="53">
        <v>257</v>
      </c>
      <c r="CB61" s="53">
        <v>247</v>
      </c>
      <c r="CC61" s="53">
        <v>241</v>
      </c>
      <c r="CD61" s="53">
        <v>222</v>
      </c>
      <c r="CE61" s="53">
        <v>210</v>
      </c>
      <c r="CF61" s="53">
        <v>162</v>
      </c>
      <c r="CG61" s="53">
        <v>99</v>
      </c>
      <c r="CH61" s="53">
        <v>154</v>
      </c>
      <c r="CI61" s="53">
        <v>299</v>
      </c>
      <c r="CJ61" s="53">
        <v>230</v>
      </c>
      <c r="CK61" s="53">
        <v>206</v>
      </c>
      <c r="CL61" s="53">
        <v>178</v>
      </c>
      <c r="CM61" s="53">
        <v>155</v>
      </c>
      <c r="CN61" s="53">
        <v>100</v>
      </c>
      <c r="CO61" s="53">
        <v>256</v>
      </c>
      <c r="CP61" s="53">
        <v>236</v>
      </c>
      <c r="CQ61" s="53">
        <v>220</v>
      </c>
      <c r="CR61" s="53">
        <v>194</v>
      </c>
      <c r="CS61" s="53">
        <v>178</v>
      </c>
      <c r="CT61" s="53">
        <v>137</v>
      </c>
      <c r="CU61" s="53">
        <v>85</v>
      </c>
      <c r="CV61" s="53">
        <v>239</v>
      </c>
      <c r="CW61" s="53">
        <v>218</v>
      </c>
      <c r="CX61" s="53">
        <v>272</v>
      </c>
      <c r="CY61" s="53">
        <v>251</v>
      </c>
      <c r="CZ61" s="53">
        <v>236</v>
      </c>
      <c r="DA61" s="53">
        <v>150</v>
      </c>
      <c r="DB61" s="53">
        <v>89</v>
      </c>
      <c r="DC61" s="53">
        <v>225</v>
      </c>
      <c r="DD61" s="53">
        <v>236</v>
      </c>
      <c r="DE61" s="53">
        <v>218</v>
      </c>
      <c r="DF61" s="53">
        <v>212</v>
      </c>
      <c r="DG61" s="53">
        <v>202</v>
      </c>
      <c r="DH61" s="53">
        <v>117</v>
      </c>
      <c r="DI61" s="53">
        <v>90</v>
      </c>
      <c r="DJ61" s="53">
        <v>222</v>
      </c>
      <c r="DK61" s="53">
        <v>209</v>
      </c>
      <c r="DL61" s="53">
        <v>203</v>
      </c>
      <c r="DM61" s="53">
        <v>206</v>
      </c>
      <c r="DN61" s="53">
        <v>200</v>
      </c>
      <c r="DO61" s="53">
        <v>109</v>
      </c>
      <c r="DP61" s="53">
        <v>81</v>
      </c>
      <c r="DQ61" s="53">
        <v>208</v>
      </c>
      <c r="DR61" s="53">
        <v>195</v>
      </c>
      <c r="DS61" s="53">
        <v>201</v>
      </c>
      <c r="DT61" s="53">
        <v>186</v>
      </c>
      <c r="DU61" s="53">
        <v>174</v>
      </c>
      <c r="DV61" s="53">
        <v>104</v>
      </c>
      <c r="DW61" s="53">
        <v>79</v>
      </c>
      <c r="DX61" s="53">
        <v>102</v>
      </c>
      <c r="DY61" s="53">
        <v>235</v>
      </c>
      <c r="DZ61" s="53">
        <v>231</v>
      </c>
      <c r="EA61" s="53">
        <v>221</v>
      </c>
      <c r="EB61" s="53">
        <v>198</v>
      </c>
      <c r="EC61" s="53">
        <v>127</v>
      </c>
      <c r="ED61" s="53">
        <v>89</v>
      </c>
      <c r="EE61" s="53">
        <v>252</v>
      </c>
      <c r="EF61" s="53">
        <v>237</v>
      </c>
      <c r="EG61" s="53">
        <v>217</v>
      </c>
      <c r="EH61" s="53">
        <v>140</v>
      </c>
      <c r="EI61" s="53">
        <v>127</v>
      </c>
      <c r="EJ61" s="53">
        <v>88</v>
      </c>
      <c r="EK61" s="53">
        <v>63</v>
      </c>
      <c r="EL61" s="53">
        <v>259</v>
      </c>
      <c r="EM61" s="53">
        <v>251</v>
      </c>
      <c r="EN61" s="53">
        <v>234</v>
      </c>
      <c r="EO61" s="53">
        <v>226</v>
      </c>
      <c r="EP61" s="53">
        <v>216</v>
      </c>
      <c r="EQ61" s="53">
        <v>135</v>
      </c>
      <c r="ER61" s="53">
        <v>91</v>
      </c>
      <c r="ES61" s="53">
        <v>244</v>
      </c>
      <c r="ET61" s="53">
        <v>227</v>
      </c>
      <c r="EU61" s="53">
        <v>214</v>
      </c>
      <c r="EV61" s="53">
        <v>219</v>
      </c>
      <c r="EW61" s="53">
        <v>204</v>
      </c>
      <c r="EX61" s="53">
        <v>124</v>
      </c>
      <c r="EY61" s="53">
        <v>88</v>
      </c>
      <c r="EZ61" s="53">
        <v>271</v>
      </c>
      <c r="FA61" s="53">
        <v>251</v>
      </c>
      <c r="FB61" s="53">
        <v>243</v>
      </c>
      <c r="FC61" s="53">
        <v>266</v>
      </c>
      <c r="FD61" s="53">
        <v>247</v>
      </c>
      <c r="FE61" s="53">
        <v>150</v>
      </c>
      <c r="FF61" s="53">
        <v>106</v>
      </c>
      <c r="FG61" s="53">
        <v>276</v>
      </c>
      <c r="FH61" s="53">
        <v>256</v>
      </c>
      <c r="FI61" s="53">
        <v>241</v>
      </c>
      <c r="FJ61" s="53">
        <v>218</v>
      </c>
      <c r="FK61" s="53">
        <v>201</v>
      </c>
      <c r="FL61" s="53">
        <v>133</v>
      </c>
      <c r="FM61" s="53">
        <v>87</v>
      </c>
      <c r="FN61" s="53">
        <v>276</v>
      </c>
      <c r="FO61" s="53">
        <v>250</v>
      </c>
      <c r="FP61" s="53">
        <v>186</v>
      </c>
      <c r="FQ61" s="53">
        <v>270</v>
      </c>
      <c r="FR61" s="53">
        <v>262</v>
      </c>
      <c r="FS61" s="53">
        <v>157</v>
      </c>
      <c r="FT61" s="53">
        <v>108</v>
      </c>
      <c r="FU61" s="53">
        <v>275</v>
      </c>
      <c r="FV61" s="53">
        <v>260</v>
      </c>
      <c r="FW61" s="53">
        <v>251</v>
      </c>
      <c r="FX61" s="53">
        <v>237</v>
      </c>
      <c r="FY61" s="53">
        <v>221</v>
      </c>
      <c r="FZ61" s="53">
        <v>142</v>
      </c>
      <c r="GA61" s="53">
        <v>108</v>
      </c>
      <c r="GB61" s="53">
        <v>293</v>
      </c>
      <c r="GC61" s="53">
        <v>269</v>
      </c>
      <c r="GD61" s="53">
        <v>508</v>
      </c>
      <c r="GE61" s="53">
        <v>506</v>
      </c>
      <c r="GF61" s="53">
        <v>524</v>
      </c>
      <c r="GG61" s="53">
        <v>463</v>
      </c>
      <c r="GH61" s="53">
        <v>432</v>
      </c>
      <c r="GI61" s="53">
        <v>667</v>
      </c>
      <c r="GJ61" s="53">
        <v>620</v>
      </c>
      <c r="GK61" s="53">
        <v>787</v>
      </c>
      <c r="GL61" s="53">
        <v>739</v>
      </c>
      <c r="GM61" s="53">
        <v>835</v>
      </c>
      <c r="GN61" s="53">
        <v>608</v>
      </c>
      <c r="GO61" s="53">
        <v>429</v>
      </c>
      <c r="GP61" s="53"/>
      <c r="GQ61" s="53"/>
      <c r="GR61" s="53"/>
      <c r="GS61" s="53"/>
      <c r="GT61" s="53"/>
    </row>
    <row r="62" spans="2:204" x14ac:dyDescent="0.3">
      <c r="B62" s="75"/>
      <c r="E62" s="51" t="s">
        <v>68</v>
      </c>
      <c r="F62" s="3">
        <f t="shared" ref="F62:AK62" si="653">F61+F59</f>
        <v>557</v>
      </c>
      <c r="G62" s="3">
        <f t="shared" si="653"/>
        <v>492</v>
      </c>
      <c r="H62" s="3">
        <f t="shared" si="653"/>
        <v>410</v>
      </c>
      <c r="I62" s="3">
        <f t="shared" si="653"/>
        <v>734</v>
      </c>
      <c r="J62" s="3">
        <f t="shared" si="653"/>
        <v>946</v>
      </c>
      <c r="K62" s="3">
        <f t="shared" si="653"/>
        <v>1466</v>
      </c>
      <c r="L62" s="3">
        <f t="shared" si="653"/>
        <v>1828</v>
      </c>
      <c r="M62" s="3">
        <f t="shared" si="653"/>
        <v>2231</v>
      </c>
      <c r="N62" s="3">
        <f t="shared" si="653"/>
        <v>2066</v>
      </c>
      <c r="O62" s="3">
        <f t="shared" si="653"/>
        <v>1927</v>
      </c>
      <c r="P62" s="3">
        <f t="shared" si="653"/>
        <v>2825</v>
      </c>
      <c r="Q62" s="3">
        <f t="shared" si="653"/>
        <v>3183</v>
      </c>
      <c r="R62" s="3">
        <f t="shared" si="653"/>
        <v>2178</v>
      </c>
      <c r="S62" s="3">
        <f t="shared" si="653"/>
        <v>2428</v>
      </c>
      <c r="T62" s="3">
        <f t="shared" si="653"/>
        <v>1999</v>
      </c>
      <c r="U62" s="3">
        <f t="shared" si="653"/>
        <v>2217</v>
      </c>
      <c r="V62" s="3">
        <f t="shared" si="653"/>
        <v>2273</v>
      </c>
      <c r="W62" s="3">
        <f t="shared" si="653"/>
        <v>2668</v>
      </c>
      <c r="X62" s="3">
        <f t="shared" si="653"/>
        <v>2592</v>
      </c>
      <c r="Y62" s="3">
        <f t="shared" si="653"/>
        <v>1643</v>
      </c>
      <c r="Z62" s="3">
        <f t="shared" si="653"/>
        <v>1796</v>
      </c>
      <c r="AA62" s="3">
        <f t="shared" si="653"/>
        <v>1776</v>
      </c>
      <c r="AB62" s="3">
        <f t="shared" si="653"/>
        <v>1611</v>
      </c>
      <c r="AC62" s="3">
        <f t="shared" si="653"/>
        <v>1501</v>
      </c>
      <c r="AD62" s="3">
        <f t="shared" si="653"/>
        <v>1844</v>
      </c>
      <c r="AE62" s="3">
        <f t="shared" si="653"/>
        <v>2024</v>
      </c>
      <c r="AF62" s="3">
        <f t="shared" si="653"/>
        <v>1928</v>
      </c>
      <c r="AG62" s="3">
        <f t="shared" si="653"/>
        <v>1841</v>
      </c>
      <c r="AH62" s="3">
        <f t="shared" si="653"/>
        <v>1535</v>
      </c>
      <c r="AI62" s="3">
        <f t="shared" si="653"/>
        <v>1293</v>
      </c>
      <c r="AJ62" s="3">
        <f t="shared" si="653"/>
        <v>1159</v>
      </c>
      <c r="AK62" s="3">
        <f t="shared" si="653"/>
        <v>1671</v>
      </c>
      <c r="AL62" s="3">
        <f t="shared" ref="AL62" si="654">AL61+AL59</f>
        <v>1931</v>
      </c>
      <c r="AM62" s="3">
        <f t="shared" ref="AM62" si="655">AM61+AM59</f>
        <v>1798</v>
      </c>
      <c r="AN62" s="3">
        <f t="shared" ref="AN62" si="656">AN61+AN59</f>
        <v>1660</v>
      </c>
      <c r="AO62" s="3">
        <f t="shared" ref="AO62" si="657">AO61+AO59</f>
        <v>1679</v>
      </c>
      <c r="AP62" s="3">
        <f t="shared" ref="AP62" si="658">AP61+AP59</f>
        <v>1419</v>
      </c>
      <c r="AQ62" s="3">
        <f t="shared" ref="AQ62" si="659">AQ61+AQ59</f>
        <v>1325</v>
      </c>
      <c r="AR62" s="3">
        <f t="shared" ref="AR62" si="660">AR61+AR59</f>
        <v>845</v>
      </c>
      <c r="AS62" s="3">
        <f t="shared" ref="AS62" si="661">AS61+AS59</f>
        <v>1017</v>
      </c>
      <c r="AT62" s="3">
        <f t="shared" ref="AT62" si="662">AT61+AT59</f>
        <v>1046</v>
      </c>
      <c r="AU62" s="3">
        <f t="shared" ref="AU62" si="663">AU61+AU59</f>
        <v>764</v>
      </c>
      <c r="AV62" s="3">
        <f t="shared" ref="AV62" si="664">AV61+AV59</f>
        <v>595</v>
      </c>
      <c r="AW62" s="3">
        <f t="shared" ref="AW62" si="665">AW61+AW59</f>
        <v>492</v>
      </c>
      <c r="AX62" s="3">
        <f t="shared" ref="AX62" si="666">AX61+AX59</f>
        <v>319</v>
      </c>
      <c r="AY62" s="3">
        <f t="shared" ref="AY62" si="667">AY61+AY59</f>
        <v>247</v>
      </c>
      <c r="AZ62" s="3">
        <f t="shared" ref="AZ62" si="668">AZ61+AZ59</f>
        <v>644</v>
      </c>
      <c r="BA62" s="3">
        <f t="shared" ref="BA62" si="669">BA61+BA59</f>
        <v>609</v>
      </c>
      <c r="BB62" s="3">
        <f t="shared" ref="BB62:BD62" si="670">BB61+BB59</f>
        <v>617</v>
      </c>
      <c r="BC62" s="3">
        <f t="shared" si="670"/>
        <v>453</v>
      </c>
      <c r="BD62" s="3">
        <f t="shared" si="670"/>
        <v>421</v>
      </c>
      <c r="BE62" s="3">
        <f t="shared" ref="BE62:CD62" si="671">BE61+BE59</f>
        <v>251</v>
      </c>
      <c r="BF62" s="3">
        <f t="shared" si="671"/>
        <v>654</v>
      </c>
      <c r="BG62" s="3">
        <f t="shared" ref="BG62" si="672">BG61+BG59</f>
        <v>552</v>
      </c>
      <c r="BH62" s="3">
        <f t="shared" si="671"/>
        <v>409</v>
      </c>
      <c r="BI62" s="3">
        <f t="shared" ref="BI62" si="673">BI61+BI59</f>
        <v>426</v>
      </c>
      <c r="BJ62" s="3">
        <f t="shared" si="671"/>
        <v>428</v>
      </c>
      <c r="BK62" s="3">
        <f t="shared" ref="BK62" si="674">BK61+BK59</f>
        <v>310</v>
      </c>
      <c r="BL62" s="3">
        <f t="shared" si="671"/>
        <v>186</v>
      </c>
      <c r="BM62" s="3">
        <f t="shared" ref="BM62:BN62" si="675">BM61+BM59</f>
        <v>439</v>
      </c>
      <c r="BN62" s="3">
        <f t="shared" si="675"/>
        <v>415</v>
      </c>
      <c r="BO62" s="3">
        <f t="shared" si="671"/>
        <v>385</v>
      </c>
      <c r="BP62" s="3">
        <f t="shared" ref="BP62" si="676">BP61+BP59</f>
        <v>353</v>
      </c>
      <c r="BQ62" s="3">
        <f t="shared" si="671"/>
        <v>319</v>
      </c>
      <c r="BR62" s="3">
        <f t="shared" ref="BR62" si="677">BR61+BR59</f>
        <v>251</v>
      </c>
      <c r="BS62" s="3">
        <f t="shared" si="671"/>
        <v>181</v>
      </c>
      <c r="BT62" s="3">
        <f t="shared" si="671"/>
        <v>386</v>
      </c>
      <c r="BU62" s="3">
        <f t="shared" ref="BU62:BV62" si="678">BU61+BU59</f>
        <v>425</v>
      </c>
      <c r="BV62" s="3">
        <f t="shared" si="678"/>
        <v>246</v>
      </c>
      <c r="BW62" s="3">
        <f t="shared" si="671"/>
        <v>258</v>
      </c>
      <c r="BX62" s="3">
        <f t="shared" si="671"/>
        <v>244</v>
      </c>
      <c r="BY62" s="3">
        <f t="shared" ref="BY62:BZ62" si="679">BY61+BY59</f>
        <v>200</v>
      </c>
      <c r="BZ62" s="3">
        <f t="shared" si="679"/>
        <v>161</v>
      </c>
      <c r="CA62" s="3">
        <f t="shared" si="671"/>
        <v>304</v>
      </c>
      <c r="CB62" s="3">
        <f t="shared" si="671"/>
        <v>283</v>
      </c>
      <c r="CC62" s="3">
        <f t="shared" ref="CC62" si="680">CC61+CC59</f>
        <v>285</v>
      </c>
      <c r="CD62" s="3">
        <f t="shared" si="671"/>
        <v>262</v>
      </c>
      <c r="CE62" s="3">
        <f t="shared" ref="CE62:CG62" si="681">CE54+CE59</f>
        <v>211</v>
      </c>
      <c r="CF62" s="3">
        <f t="shared" si="681"/>
        <v>220</v>
      </c>
      <c r="CG62" s="3">
        <f t="shared" si="681"/>
        <v>96</v>
      </c>
      <c r="CH62" s="3">
        <f t="shared" ref="CH62:EA62" si="682">CH54+CH59</f>
        <v>173</v>
      </c>
      <c r="CI62" s="3">
        <f t="shared" si="682"/>
        <v>272</v>
      </c>
      <c r="CJ62" s="3">
        <f t="shared" si="682"/>
        <v>286</v>
      </c>
      <c r="CK62" s="3">
        <f t="shared" si="682"/>
        <v>205</v>
      </c>
      <c r="CL62" s="3">
        <f t="shared" si="682"/>
        <v>196</v>
      </c>
      <c r="CM62" s="3">
        <f t="shared" si="682"/>
        <v>137</v>
      </c>
      <c r="CN62" s="3">
        <f t="shared" si="682"/>
        <v>103</v>
      </c>
      <c r="CO62" s="3">
        <f t="shared" si="682"/>
        <v>253</v>
      </c>
      <c r="CP62" s="3">
        <f t="shared" si="682"/>
        <v>253</v>
      </c>
      <c r="CQ62" s="3">
        <f t="shared" si="682"/>
        <v>189</v>
      </c>
      <c r="CR62" s="3">
        <f t="shared" ref="CR62:DZ62" si="683">CR54+CR59</f>
        <v>254</v>
      </c>
      <c r="CS62" s="3">
        <f t="shared" si="683"/>
        <v>215</v>
      </c>
      <c r="CT62" s="3">
        <f t="shared" ref="CT62" si="684">CT54+CT59</f>
        <v>158</v>
      </c>
      <c r="CU62" s="3">
        <f t="shared" si="683"/>
        <v>111</v>
      </c>
      <c r="CV62" s="3">
        <f t="shared" ref="CV62" si="685">CV54+CV59</f>
        <v>270</v>
      </c>
      <c r="CW62" s="3">
        <f t="shared" si="683"/>
        <v>364</v>
      </c>
      <c r="CX62" s="3">
        <f t="shared" ref="CX62" si="686">CX54+CX59</f>
        <v>425</v>
      </c>
      <c r="CY62" s="3">
        <f t="shared" si="683"/>
        <v>307</v>
      </c>
      <c r="CZ62" s="3">
        <f t="shared" ref="CZ62:DA62" si="687">CZ54+CZ59</f>
        <v>217</v>
      </c>
      <c r="DA62" s="3">
        <f t="shared" si="687"/>
        <v>121</v>
      </c>
      <c r="DB62" s="3">
        <f t="shared" si="683"/>
        <v>104</v>
      </c>
      <c r="DC62" s="3">
        <f t="shared" ref="DC62" si="688">DC54+DC59</f>
        <v>211</v>
      </c>
      <c r="DD62" s="3">
        <f t="shared" si="683"/>
        <v>255</v>
      </c>
      <c r="DE62" s="3">
        <f t="shared" si="683"/>
        <v>223</v>
      </c>
      <c r="DF62" s="3">
        <f t="shared" si="683"/>
        <v>191</v>
      </c>
      <c r="DG62" s="3">
        <f t="shared" si="683"/>
        <v>181</v>
      </c>
      <c r="DH62" s="3">
        <f t="shared" ref="DH62:DI62" si="689">DH54+DH59</f>
        <v>154</v>
      </c>
      <c r="DI62" s="3">
        <f t="shared" si="689"/>
        <v>118</v>
      </c>
      <c r="DJ62" s="3">
        <f t="shared" si="683"/>
        <v>342</v>
      </c>
      <c r="DK62" s="3">
        <f t="shared" si="683"/>
        <v>215</v>
      </c>
      <c r="DL62" s="3">
        <f t="shared" ref="DL62:DQ62" si="690">DL54+DL59</f>
        <v>229</v>
      </c>
      <c r="DM62" s="3">
        <f t="shared" si="690"/>
        <v>228</v>
      </c>
      <c r="DN62" s="3">
        <f t="shared" ref="DN62:DP62" si="691">DN54+DN59</f>
        <v>143</v>
      </c>
      <c r="DO62" s="3">
        <f t="shared" ref="DO62" si="692">DO54+DO59</f>
        <v>157</v>
      </c>
      <c r="DP62" s="3">
        <f t="shared" si="691"/>
        <v>89</v>
      </c>
      <c r="DQ62" s="3">
        <f t="shared" si="690"/>
        <v>254</v>
      </c>
      <c r="DR62" s="3">
        <f t="shared" si="683"/>
        <v>225</v>
      </c>
      <c r="DS62" s="3">
        <f t="shared" ref="DS62" si="693">DS54+DS59</f>
        <v>237</v>
      </c>
      <c r="DT62" s="3">
        <f t="shared" si="683"/>
        <v>229</v>
      </c>
      <c r="DU62" s="3">
        <f t="shared" ref="DU62:DV62" si="694">DU54+DU59</f>
        <v>199</v>
      </c>
      <c r="DV62" s="3">
        <f t="shared" si="694"/>
        <v>169</v>
      </c>
      <c r="DW62" s="3">
        <f t="shared" si="683"/>
        <v>109</v>
      </c>
      <c r="DX62" s="3">
        <f t="shared" ref="DX62:DY62" si="695">DX54+DX59</f>
        <v>135</v>
      </c>
      <c r="DY62" s="3">
        <f t="shared" si="695"/>
        <v>267</v>
      </c>
      <c r="DZ62" s="3">
        <f t="shared" si="683"/>
        <v>262</v>
      </c>
      <c r="EA62" s="3">
        <f t="shared" si="682"/>
        <v>203</v>
      </c>
      <c r="EB62" s="3">
        <f t="shared" ref="EB62:FN62" si="696">EB54+EB59</f>
        <v>248</v>
      </c>
      <c r="EC62" s="3">
        <f t="shared" ref="EC62:ED62" si="697">EC54+EC59</f>
        <v>130</v>
      </c>
      <c r="ED62" s="3">
        <f t="shared" si="697"/>
        <v>107</v>
      </c>
      <c r="EE62" s="3">
        <f t="shared" si="696"/>
        <v>242</v>
      </c>
      <c r="EF62" s="3">
        <f t="shared" ref="EF62" si="698">EF54+EF59</f>
        <v>199</v>
      </c>
      <c r="EG62" s="3">
        <f t="shared" si="696"/>
        <v>206</v>
      </c>
      <c r="EH62" s="3">
        <f t="shared" ref="EH62:EI62" si="699">EH54+EH59</f>
        <v>136</v>
      </c>
      <c r="EI62" s="3">
        <f t="shared" si="699"/>
        <v>127</v>
      </c>
      <c r="EJ62" s="3">
        <f t="shared" si="696"/>
        <v>101</v>
      </c>
      <c r="EK62" s="3">
        <f t="shared" ref="EK62:EL62" si="700">EK54+EK59</f>
        <v>89</v>
      </c>
      <c r="EL62" s="3">
        <f t="shared" si="700"/>
        <v>259</v>
      </c>
      <c r="EM62" s="3">
        <f t="shared" si="696"/>
        <v>244</v>
      </c>
      <c r="EN62" s="3">
        <f t="shared" si="696"/>
        <v>223</v>
      </c>
      <c r="EO62" s="3">
        <f t="shared" si="696"/>
        <v>243</v>
      </c>
      <c r="EP62" s="3">
        <f t="shared" ref="EP62" si="701">EP54+EP59</f>
        <v>232</v>
      </c>
      <c r="EQ62" s="3">
        <f t="shared" ref="EQ62:ER62" si="702">EQ54+EQ59</f>
        <v>185</v>
      </c>
      <c r="ER62" s="3">
        <f t="shared" si="702"/>
        <v>116</v>
      </c>
      <c r="ES62" s="3">
        <f t="shared" si="696"/>
        <v>272</v>
      </c>
      <c r="ET62" s="3">
        <f t="shared" ref="ET62:EW62" si="703">ET54+ET59</f>
        <v>246</v>
      </c>
      <c r="EU62" s="3">
        <f t="shared" ref="EU62:EV62" si="704">EU54+EU59</f>
        <v>275</v>
      </c>
      <c r="EV62" s="3">
        <f t="shared" si="704"/>
        <v>248</v>
      </c>
      <c r="EW62" s="3">
        <f t="shared" si="703"/>
        <v>232</v>
      </c>
      <c r="EX62" s="3">
        <f t="shared" si="696"/>
        <v>172</v>
      </c>
      <c r="EY62" s="3">
        <f t="shared" si="696"/>
        <v>132</v>
      </c>
      <c r="EZ62" s="3">
        <f t="shared" si="696"/>
        <v>255</v>
      </c>
      <c r="FA62" s="3">
        <f t="shared" si="696"/>
        <v>258</v>
      </c>
      <c r="FB62" s="3">
        <f t="shared" ref="FB62:FD62" si="705">FB54+FB59</f>
        <v>298</v>
      </c>
      <c r="FC62" s="3">
        <f t="shared" si="705"/>
        <v>273</v>
      </c>
      <c r="FD62" s="3">
        <f t="shared" si="705"/>
        <v>246</v>
      </c>
      <c r="FE62" s="3">
        <f t="shared" si="696"/>
        <v>190</v>
      </c>
      <c r="FF62" s="3">
        <f t="shared" si="696"/>
        <v>161</v>
      </c>
      <c r="FG62" s="3">
        <f t="shared" si="696"/>
        <v>308</v>
      </c>
      <c r="FH62" s="3">
        <f t="shared" si="696"/>
        <v>267</v>
      </c>
      <c r="FI62" s="3">
        <f t="shared" si="696"/>
        <v>288</v>
      </c>
      <c r="FJ62" s="3">
        <f t="shared" ref="FJ62:FK62" si="706">FJ54+FJ59</f>
        <v>319</v>
      </c>
      <c r="FK62" s="3">
        <f t="shared" si="706"/>
        <v>263</v>
      </c>
      <c r="FL62" s="3">
        <f t="shared" ref="FL62" si="707">FL54+FL59</f>
        <v>194</v>
      </c>
      <c r="FM62" s="3">
        <f t="shared" si="696"/>
        <v>138</v>
      </c>
      <c r="FN62" s="3">
        <f t="shared" si="696"/>
        <v>416</v>
      </c>
      <c r="FO62" s="3">
        <f t="shared" ref="FO62" si="708">FO54+FO59</f>
        <v>366</v>
      </c>
      <c r="FP62" s="3">
        <f t="shared" ref="FP62:FU62" si="709">FP54+FP59</f>
        <v>259</v>
      </c>
      <c r="FQ62" s="3">
        <f t="shared" si="709"/>
        <v>424</v>
      </c>
      <c r="FR62" s="3">
        <f t="shared" si="709"/>
        <v>359</v>
      </c>
      <c r="FS62" s="3">
        <f t="shared" si="709"/>
        <v>234</v>
      </c>
      <c r="FT62" s="3">
        <f t="shared" si="709"/>
        <v>208</v>
      </c>
      <c r="FU62" s="3">
        <f t="shared" si="709"/>
        <v>324</v>
      </c>
      <c r="FV62" s="3">
        <f t="shared" ref="FV62:GD62" si="710">FV54+FV59</f>
        <v>320</v>
      </c>
      <c r="FW62" s="3">
        <f t="shared" si="710"/>
        <v>336</v>
      </c>
      <c r="FX62" s="3">
        <f t="shared" si="710"/>
        <v>322</v>
      </c>
      <c r="FY62" s="3">
        <f t="shared" si="710"/>
        <v>192</v>
      </c>
      <c r="FZ62" s="3">
        <f t="shared" ref="FZ62:GB62" si="711">FZ54+FZ59</f>
        <v>199</v>
      </c>
      <c r="GA62" s="3">
        <f t="shared" si="711"/>
        <v>134</v>
      </c>
      <c r="GB62" s="3">
        <f t="shared" si="711"/>
        <v>358</v>
      </c>
      <c r="GC62" s="3">
        <f t="shared" si="710"/>
        <v>449</v>
      </c>
      <c r="GD62" s="3">
        <f t="shared" si="710"/>
        <v>658</v>
      </c>
      <c r="GE62" s="3">
        <f t="shared" ref="GE62" si="712">GE54+GE59</f>
        <v>699</v>
      </c>
      <c r="GF62" s="3">
        <f t="shared" ref="GF62:GG62" si="713">GF54+GF59</f>
        <v>685</v>
      </c>
      <c r="GG62" s="3">
        <f t="shared" si="713"/>
        <v>650</v>
      </c>
      <c r="GH62" s="3">
        <f t="shared" ref="GH62:GT62" si="714">GH54+GH59</f>
        <v>483</v>
      </c>
      <c r="GI62" s="3">
        <f t="shared" si="714"/>
        <v>942</v>
      </c>
      <c r="GJ62" s="3">
        <f t="shared" si="714"/>
        <v>1197</v>
      </c>
      <c r="GK62" s="3">
        <f t="shared" si="714"/>
        <v>1203</v>
      </c>
      <c r="GL62" s="3">
        <f t="shared" ref="GL62:GM62" si="715">GL54+GL59</f>
        <v>1356</v>
      </c>
      <c r="GM62" s="3">
        <f t="shared" si="715"/>
        <v>1260</v>
      </c>
      <c r="GN62" s="3">
        <f t="shared" si="714"/>
        <v>897</v>
      </c>
      <c r="GO62" s="3">
        <f t="shared" ref="GO62:GS62" si="716">GO54+GO59</f>
        <v>662</v>
      </c>
      <c r="GP62" s="3">
        <f t="shared" si="716"/>
        <v>0</v>
      </c>
      <c r="GQ62" s="3">
        <f t="shared" ref="GQ62:GR62" si="717">GQ54+GQ59</f>
        <v>0</v>
      </c>
      <c r="GR62" s="3">
        <f t="shared" si="717"/>
        <v>0</v>
      </c>
      <c r="GS62" s="3">
        <f t="shared" si="716"/>
        <v>0</v>
      </c>
      <c r="GT62" s="3">
        <f t="shared" si="714"/>
        <v>0</v>
      </c>
    </row>
    <row r="63" spans="2:204" x14ac:dyDescent="0.3">
      <c r="B63" s="75"/>
      <c r="C63" s="32"/>
      <c r="D63" s="32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</row>
    <row r="64" spans="2:204" x14ac:dyDescent="0.3">
      <c r="B64" s="75"/>
      <c r="I64" s="22"/>
      <c r="J64" s="22"/>
      <c r="K64" s="22"/>
      <c r="L64" s="22"/>
      <c r="M64" s="22"/>
      <c r="N64" s="22"/>
      <c r="O64" s="22"/>
    </row>
    <row r="65" spans="2:206" x14ac:dyDescent="0.3">
      <c r="B65" s="75"/>
      <c r="E65" s="37" t="s">
        <v>17</v>
      </c>
      <c r="I65" s="22"/>
      <c r="J65" s="22"/>
      <c r="K65" s="22"/>
      <c r="L65" s="22"/>
      <c r="M65" s="22"/>
      <c r="N65" s="22"/>
      <c r="O65" s="22"/>
      <c r="GU65" s="77" t="s">
        <v>34</v>
      </c>
      <c r="GV65" s="77"/>
      <c r="GW65" s="77"/>
    </row>
    <row r="66" spans="2:206" ht="20.399999999999999" customHeight="1" x14ac:dyDescent="0.3">
      <c r="B66" s="75"/>
      <c r="E66" s="38" t="s">
        <v>18</v>
      </c>
      <c r="F66" s="39">
        <f>F67+F68</f>
        <v>23</v>
      </c>
      <c r="G66" s="39">
        <f t="shared" ref="G66" si="718">G67+G68</f>
        <v>11</v>
      </c>
      <c r="H66" s="39">
        <f t="shared" ref="H66" si="719">H67+H68</f>
        <v>16</v>
      </c>
      <c r="I66" s="39">
        <f t="shared" ref="I66" si="720">I67+I68</f>
        <v>47</v>
      </c>
      <c r="J66" s="39">
        <f t="shared" ref="J66" si="721">J67+J68</f>
        <v>42</v>
      </c>
      <c r="K66" s="39">
        <f t="shared" ref="K66" si="722">K67+K68</f>
        <v>64</v>
      </c>
      <c r="L66" s="39">
        <f t="shared" ref="L66" si="723">L67+L68</f>
        <v>51</v>
      </c>
      <c r="M66" s="39">
        <f t="shared" ref="M66" si="724">M67+M68</f>
        <v>48</v>
      </c>
      <c r="N66" s="39">
        <f t="shared" ref="N66" si="725">N67+N68</f>
        <v>20</v>
      </c>
      <c r="O66" s="39">
        <f t="shared" ref="O66" si="726">O67+O68</f>
        <v>26</v>
      </c>
      <c r="P66" s="39">
        <f t="shared" ref="P66:GT66" si="727">P67+P68</f>
        <v>61</v>
      </c>
      <c r="Q66" s="39">
        <f t="shared" si="727"/>
        <v>47</v>
      </c>
      <c r="R66" s="39">
        <f t="shared" ref="R66:W66" si="728">R67+R68</f>
        <v>70</v>
      </c>
      <c r="S66" s="39">
        <f t="shared" ref="S66:U66" si="729">S67+S68</f>
        <v>51</v>
      </c>
      <c r="T66" s="39">
        <f t="shared" si="729"/>
        <v>54</v>
      </c>
      <c r="U66" s="39">
        <f t="shared" si="729"/>
        <v>23</v>
      </c>
      <c r="V66" s="39">
        <f t="shared" si="728"/>
        <v>24</v>
      </c>
      <c r="W66" s="39">
        <f t="shared" si="728"/>
        <v>44</v>
      </c>
      <c r="X66" s="39">
        <f t="shared" ref="X66:CN66" si="730">X67+X68</f>
        <v>66</v>
      </c>
      <c r="Y66" s="39">
        <f t="shared" ref="Y66:CJ66" si="731">Y67+Y68</f>
        <v>51</v>
      </c>
      <c r="Z66" s="39">
        <f t="shared" si="731"/>
        <v>32</v>
      </c>
      <c r="AA66" s="39">
        <f t="shared" si="731"/>
        <v>42</v>
      </c>
      <c r="AB66" s="39">
        <f t="shared" si="731"/>
        <v>14</v>
      </c>
      <c r="AC66" s="39">
        <f t="shared" si="731"/>
        <v>16</v>
      </c>
      <c r="AD66" s="39">
        <f t="shared" si="731"/>
        <v>45</v>
      </c>
      <c r="AE66" s="39">
        <f t="shared" si="731"/>
        <v>58</v>
      </c>
      <c r="AF66" s="39">
        <f t="shared" si="731"/>
        <v>39</v>
      </c>
      <c r="AG66" s="39">
        <f t="shared" si="731"/>
        <v>51</v>
      </c>
      <c r="AH66" s="39">
        <f t="shared" si="731"/>
        <v>39</v>
      </c>
      <c r="AI66" s="39">
        <f t="shared" si="731"/>
        <v>18</v>
      </c>
      <c r="AJ66" s="39">
        <f t="shared" ref="AJ66" si="732">AJ67+AJ68</f>
        <v>17</v>
      </c>
      <c r="AK66" s="39">
        <f t="shared" si="731"/>
        <v>64</v>
      </c>
      <c r="AL66" s="39">
        <f t="shared" ref="AL66" si="733">AL67+AL68</f>
        <v>45</v>
      </c>
      <c r="AM66" s="39">
        <f t="shared" si="731"/>
        <v>80</v>
      </c>
      <c r="AN66" s="39">
        <f t="shared" si="731"/>
        <v>58</v>
      </c>
      <c r="AO66" s="39">
        <f t="shared" si="731"/>
        <v>54</v>
      </c>
      <c r="AP66" s="39">
        <f t="shared" ref="AP66" si="734">AP67+AP68</f>
        <v>22</v>
      </c>
      <c r="AQ66" s="39">
        <f t="shared" si="731"/>
        <v>14</v>
      </c>
      <c r="AR66" s="39">
        <f t="shared" ref="AR66" si="735">AR67+AR68</f>
        <v>24</v>
      </c>
      <c r="AS66" s="39">
        <f t="shared" si="731"/>
        <v>82</v>
      </c>
      <c r="AT66" s="39">
        <f t="shared" ref="AT66" si="736">AT67+AT68</f>
        <v>71</v>
      </c>
      <c r="AU66" s="39">
        <f t="shared" si="731"/>
        <v>46</v>
      </c>
      <c r="AV66" s="39">
        <f t="shared" ref="AV66:AW66" si="737">AV67+AV68</f>
        <v>47</v>
      </c>
      <c r="AW66" s="39">
        <f t="shared" si="737"/>
        <v>33</v>
      </c>
      <c r="AX66" s="39">
        <f t="shared" si="731"/>
        <v>31</v>
      </c>
      <c r="AY66" s="39">
        <f t="shared" ref="AY66:AZ66" si="738">AY67+AY68</f>
        <v>22</v>
      </c>
      <c r="AZ66" s="39">
        <f t="shared" si="738"/>
        <v>77</v>
      </c>
      <c r="BA66" s="39">
        <f t="shared" si="731"/>
        <v>79</v>
      </c>
      <c r="BB66" s="39">
        <f t="shared" ref="BB66:BC66" si="739">BB67+BB68</f>
        <v>49</v>
      </c>
      <c r="BC66" s="39">
        <f t="shared" si="739"/>
        <v>45</v>
      </c>
      <c r="BD66" s="39">
        <f t="shared" si="731"/>
        <v>30</v>
      </c>
      <c r="BE66" s="39">
        <f t="shared" ref="BE66" si="740">BE67+BE68</f>
        <v>20</v>
      </c>
      <c r="BF66" s="39">
        <f t="shared" si="731"/>
        <v>47</v>
      </c>
      <c r="BG66" s="39">
        <f t="shared" ref="BG66" si="741">BG67+BG68</f>
        <v>60</v>
      </c>
      <c r="BH66" s="39">
        <f t="shared" si="731"/>
        <v>39</v>
      </c>
      <c r="BI66" s="39">
        <f t="shared" ref="BI66" si="742">BI67+BI68</f>
        <v>46</v>
      </c>
      <c r="BJ66" s="39">
        <f t="shared" si="731"/>
        <v>37</v>
      </c>
      <c r="BK66" s="39">
        <f t="shared" ref="BK66" si="743">BK67+BK68</f>
        <v>21</v>
      </c>
      <c r="BL66" s="39">
        <f t="shared" si="731"/>
        <v>16</v>
      </c>
      <c r="BM66" s="39">
        <f t="shared" ref="BM66:BN66" si="744">BM67+BM68</f>
        <v>46</v>
      </c>
      <c r="BN66" s="39">
        <f t="shared" si="744"/>
        <v>56</v>
      </c>
      <c r="BO66" s="39">
        <f t="shared" si="731"/>
        <v>44</v>
      </c>
      <c r="BP66" s="39">
        <f t="shared" ref="BP66" si="745">BP67+BP68</f>
        <v>49</v>
      </c>
      <c r="BQ66" s="39">
        <f t="shared" si="731"/>
        <v>39</v>
      </c>
      <c r="BR66" s="39">
        <f t="shared" ref="BR66" si="746">BR67+BR68</f>
        <v>19</v>
      </c>
      <c r="BS66" s="39">
        <f t="shared" si="731"/>
        <v>13</v>
      </c>
      <c r="BT66" s="39">
        <f t="shared" si="731"/>
        <v>47</v>
      </c>
      <c r="BU66" s="39">
        <f t="shared" ref="BU66:BV66" si="747">BU67+BU68</f>
        <v>42</v>
      </c>
      <c r="BV66" s="39">
        <f t="shared" si="747"/>
        <v>20</v>
      </c>
      <c r="BW66" s="39">
        <f t="shared" si="731"/>
        <v>14</v>
      </c>
      <c r="BX66" s="39">
        <f t="shared" si="731"/>
        <v>18</v>
      </c>
      <c r="BY66" s="39">
        <f t="shared" ref="BY66:BZ66" si="748">BY67+BY68</f>
        <v>12</v>
      </c>
      <c r="BZ66" s="39">
        <f t="shared" si="748"/>
        <v>8</v>
      </c>
      <c r="CA66" s="39">
        <f t="shared" si="731"/>
        <v>29</v>
      </c>
      <c r="CB66" s="39">
        <f t="shared" si="731"/>
        <v>22</v>
      </c>
      <c r="CC66" s="39">
        <f t="shared" ref="CC66" si="749">CC67+CC68</f>
        <v>31</v>
      </c>
      <c r="CD66" s="39">
        <f t="shared" si="731"/>
        <v>24</v>
      </c>
      <c r="CE66" s="39">
        <f t="shared" ref="CE66:CF66" si="750">CE67+CE68</f>
        <v>29</v>
      </c>
      <c r="CF66" s="39">
        <f t="shared" si="750"/>
        <v>59</v>
      </c>
      <c r="CG66" s="39">
        <f t="shared" si="731"/>
        <v>15</v>
      </c>
      <c r="CH66" s="39">
        <f t="shared" ref="CH66:CI66" si="751">CH67+CH68</f>
        <v>20</v>
      </c>
      <c r="CI66" s="39">
        <f t="shared" si="751"/>
        <v>39</v>
      </c>
      <c r="CJ66" s="39">
        <f t="shared" si="731"/>
        <v>36</v>
      </c>
      <c r="CK66" s="39">
        <f t="shared" ref="CK66:CM66" si="752">CK67+CK68</f>
        <v>29</v>
      </c>
      <c r="CL66" s="39">
        <f t="shared" ref="CL66" si="753">CL67+CL68</f>
        <v>24</v>
      </c>
      <c r="CM66" s="39">
        <f t="shared" si="752"/>
        <v>11</v>
      </c>
      <c r="CN66" s="39">
        <f t="shared" si="730"/>
        <v>14</v>
      </c>
      <c r="CO66" s="39">
        <f t="shared" ref="CO66:EZ66" si="754">CO67+CO68</f>
        <v>46</v>
      </c>
      <c r="CP66" s="39">
        <f t="shared" ref="CP66:DZ66" si="755">CP67+CP68</f>
        <v>26</v>
      </c>
      <c r="CQ66" s="39">
        <f t="shared" si="755"/>
        <v>24</v>
      </c>
      <c r="CR66" s="39">
        <f t="shared" ref="CR66" si="756">CR67+CR68</f>
        <v>22</v>
      </c>
      <c r="CS66" s="39">
        <f t="shared" si="755"/>
        <v>24</v>
      </c>
      <c r="CT66" s="39">
        <f t="shared" ref="CT66" si="757">CT67+CT68</f>
        <v>9</v>
      </c>
      <c r="CU66" s="39">
        <f t="shared" si="755"/>
        <v>10</v>
      </c>
      <c r="CV66" s="39">
        <f t="shared" ref="CV66" si="758">CV67+CV68</f>
        <v>36</v>
      </c>
      <c r="CW66" s="39">
        <f t="shared" si="755"/>
        <v>51</v>
      </c>
      <c r="CX66" s="39">
        <f t="shared" ref="CX66" si="759">CX67+CX68</f>
        <v>27</v>
      </c>
      <c r="CY66" s="39">
        <f t="shared" si="755"/>
        <v>30</v>
      </c>
      <c r="CZ66" s="39">
        <f t="shared" ref="CZ66:DA66" si="760">CZ67+CZ68</f>
        <v>22</v>
      </c>
      <c r="DA66" s="39">
        <f t="shared" si="760"/>
        <v>10</v>
      </c>
      <c r="DB66" s="39">
        <f t="shared" si="755"/>
        <v>15</v>
      </c>
      <c r="DC66" s="39">
        <f t="shared" ref="DC66" si="761">DC67+DC68</f>
        <v>36</v>
      </c>
      <c r="DD66" s="39">
        <f t="shared" si="755"/>
        <v>32</v>
      </c>
      <c r="DE66" s="39">
        <f t="shared" si="755"/>
        <v>17</v>
      </c>
      <c r="DF66" s="39">
        <f t="shared" si="755"/>
        <v>23</v>
      </c>
      <c r="DG66" s="39">
        <f t="shared" si="755"/>
        <v>20</v>
      </c>
      <c r="DH66" s="39">
        <f t="shared" ref="DH66:DI66" si="762">DH67+DH68</f>
        <v>19</v>
      </c>
      <c r="DI66" s="39">
        <f t="shared" si="762"/>
        <v>8</v>
      </c>
      <c r="DJ66" s="39">
        <f t="shared" si="755"/>
        <v>130</v>
      </c>
      <c r="DK66" s="39">
        <f t="shared" si="755"/>
        <v>51</v>
      </c>
      <c r="DL66" s="39">
        <f t="shared" ref="DL66:DQ66" si="763">DL67+DL68</f>
        <v>25</v>
      </c>
      <c r="DM66" s="39">
        <f t="shared" si="763"/>
        <v>19</v>
      </c>
      <c r="DN66" s="39">
        <f t="shared" ref="DN66:DP66" si="764">DN67+DN68</f>
        <v>14</v>
      </c>
      <c r="DO66" s="39">
        <f t="shared" ref="DO66" si="765">DO67+DO68</f>
        <v>8</v>
      </c>
      <c r="DP66" s="39">
        <f t="shared" si="764"/>
        <v>12</v>
      </c>
      <c r="DQ66" s="39">
        <f t="shared" si="763"/>
        <v>31</v>
      </c>
      <c r="DR66" s="39">
        <f t="shared" si="755"/>
        <v>21</v>
      </c>
      <c r="DS66" s="39">
        <f t="shared" ref="DS66" si="766">DS67+DS68</f>
        <v>18</v>
      </c>
      <c r="DT66" s="39">
        <f t="shared" si="755"/>
        <v>28</v>
      </c>
      <c r="DU66" s="39">
        <f t="shared" ref="DU66:DV66" si="767">DU67+DU68</f>
        <v>29</v>
      </c>
      <c r="DV66" s="39">
        <f t="shared" si="767"/>
        <v>9</v>
      </c>
      <c r="DW66" s="39">
        <f t="shared" si="755"/>
        <v>3</v>
      </c>
      <c r="DX66" s="39">
        <f t="shared" ref="DX66:DY66" si="768">DX67+DX68</f>
        <v>12</v>
      </c>
      <c r="DY66" s="39">
        <f t="shared" si="768"/>
        <v>23</v>
      </c>
      <c r="DZ66" s="39">
        <f t="shared" si="755"/>
        <v>19</v>
      </c>
      <c r="EA66" s="39">
        <f t="shared" si="754"/>
        <v>6</v>
      </c>
      <c r="EB66" s="39">
        <f t="shared" si="754"/>
        <v>14</v>
      </c>
      <c r="EC66" s="39">
        <f t="shared" ref="EC66:ED66" si="769">EC67+EC68</f>
        <v>7</v>
      </c>
      <c r="ED66" s="39">
        <f t="shared" si="769"/>
        <v>5</v>
      </c>
      <c r="EE66" s="39">
        <f t="shared" si="754"/>
        <v>15</v>
      </c>
      <c r="EF66" s="39">
        <f t="shared" ref="EF66" si="770">EF67+EF68</f>
        <v>17</v>
      </c>
      <c r="EG66" s="39">
        <f t="shared" si="754"/>
        <v>21</v>
      </c>
      <c r="EH66" s="39">
        <f t="shared" ref="EH66:EI66" si="771">EH67+EH68</f>
        <v>14</v>
      </c>
      <c r="EI66" s="39">
        <f t="shared" si="771"/>
        <v>15</v>
      </c>
      <c r="EJ66" s="39">
        <f t="shared" si="754"/>
        <v>5</v>
      </c>
      <c r="EK66" s="39">
        <f t="shared" ref="EK66:EL66" si="772">EK67+EK68</f>
        <v>4</v>
      </c>
      <c r="EL66" s="39">
        <f t="shared" si="772"/>
        <v>13</v>
      </c>
      <c r="EM66" s="39">
        <f t="shared" si="754"/>
        <v>18</v>
      </c>
      <c r="EN66" s="39">
        <f t="shared" si="754"/>
        <v>7</v>
      </c>
      <c r="EO66" s="39">
        <f t="shared" si="754"/>
        <v>12</v>
      </c>
      <c r="EP66" s="39">
        <f t="shared" ref="EP66" si="773">EP67+EP68</f>
        <v>14</v>
      </c>
      <c r="EQ66" s="39">
        <f t="shared" ref="EQ66:ER66" si="774">EQ67+EQ68</f>
        <v>7</v>
      </c>
      <c r="ER66" s="39">
        <f t="shared" si="774"/>
        <v>3</v>
      </c>
      <c r="ES66" s="39">
        <f t="shared" si="754"/>
        <v>25</v>
      </c>
      <c r="ET66" s="39">
        <f t="shared" ref="ET66:EW66" si="775">ET67+ET68</f>
        <v>21</v>
      </c>
      <c r="EU66" s="39">
        <f t="shared" ref="EU66:EV66" si="776">EU67+EU68</f>
        <v>20</v>
      </c>
      <c r="EV66" s="39">
        <f t="shared" si="776"/>
        <v>13</v>
      </c>
      <c r="EW66" s="39">
        <f t="shared" si="775"/>
        <v>19</v>
      </c>
      <c r="EX66" s="39">
        <f t="shared" si="754"/>
        <v>5</v>
      </c>
      <c r="EY66" s="39">
        <f t="shared" si="754"/>
        <v>7</v>
      </c>
      <c r="EZ66" s="39">
        <f t="shared" si="754"/>
        <v>16</v>
      </c>
      <c r="FA66" s="39">
        <f t="shared" ref="FA66:GS66" si="777">FA67+FA68</f>
        <v>8</v>
      </c>
      <c r="FB66" s="39">
        <f t="shared" ref="FB66:FD66" si="778">FB67+FB68</f>
        <v>10</v>
      </c>
      <c r="FC66" s="39">
        <f t="shared" si="778"/>
        <v>14</v>
      </c>
      <c r="FD66" s="39">
        <f t="shared" si="778"/>
        <v>12</v>
      </c>
      <c r="FE66" s="39">
        <f t="shared" si="777"/>
        <v>7</v>
      </c>
      <c r="FF66" s="39">
        <f t="shared" si="777"/>
        <v>4</v>
      </c>
      <c r="FG66" s="39">
        <f t="shared" si="777"/>
        <v>14</v>
      </c>
      <c r="FH66" s="39">
        <f t="shared" si="777"/>
        <v>16</v>
      </c>
      <c r="FI66" s="39">
        <f t="shared" si="777"/>
        <v>16</v>
      </c>
      <c r="FJ66" s="39">
        <f t="shared" ref="FJ66:FK66" si="779">FJ67+FJ68</f>
        <v>22</v>
      </c>
      <c r="FK66" s="39">
        <f t="shared" si="779"/>
        <v>11</v>
      </c>
      <c r="FL66" s="39">
        <f t="shared" ref="FL66" si="780">FL67+FL68</f>
        <v>6</v>
      </c>
      <c r="FM66" s="39">
        <f t="shared" si="777"/>
        <v>0</v>
      </c>
      <c r="FN66" s="39">
        <f t="shared" si="777"/>
        <v>18</v>
      </c>
      <c r="FO66" s="39">
        <f t="shared" ref="FO66:FS66" si="781">FO67+FO68</f>
        <v>13</v>
      </c>
      <c r="FP66" s="39">
        <f t="shared" si="781"/>
        <v>14</v>
      </c>
      <c r="FQ66" s="39">
        <f t="shared" ref="FQ66:FR66" si="782">FQ67+FQ68</f>
        <v>13</v>
      </c>
      <c r="FR66" s="39">
        <f t="shared" si="782"/>
        <v>7</v>
      </c>
      <c r="FS66" s="39">
        <f t="shared" si="781"/>
        <v>6</v>
      </c>
      <c r="FT66" s="39">
        <f t="shared" si="777"/>
        <v>4</v>
      </c>
      <c r="FU66" s="39">
        <f t="shared" ref="FU66" si="783">FU67+FU68</f>
        <v>7</v>
      </c>
      <c r="FV66" s="39">
        <f t="shared" si="777"/>
        <v>16</v>
      </c>
      <c r="FW66" s="39">
        <f t="shared" ref="FW66:GA66" si="784">FW67+FW68</f>
        <v>12</v>
      </c>
      <c r="FX66" s="39">
        <f t="shared" si="784"/>
        <v>5</v>
      </c>
      <c r="FY66" s="39">
        <f t="shared" ref="FY66:FZ66" si="785">FY67+FY68</f>
        <v>5</v>
      </c>
      <c r="FZ66" s="39">
        <f t="shared" si="785"/>
        <v>11</v>
      </c>
      <c r="GA66" s="39">
        <f t="shared" si="784"/>
        <v>3</v>
      </c>
      <c r="GB66" s="39">
        <f t="shared" si="777"/>
        <v>18</v>
      </c>
      <c r="GC66" s="39">
        <f t="shared" ref="GC66:GJ66" si="786">GC67+GC68</f>
        <v>24</v>
      </c>
      <c r="GD66" s="39">
        <f t="shared" si="786"/>
        <v>22</v>
      </c>
      <c r="GE66" s="39">
        <f t="shared" si="786"/>
        <v>26</v>
      </c>
      <c r="GF66" s="39">
        <f t="shared" si="786"/>
        <v>20</v>
      </c>
      <c r="GG66" s="39">
        <f t="shared" si="786"/>
        <v>33</v>
      </c>
      <c r="GH66" s="39">
        <f t="shared" ref="GH66:GI66" si="787">GH67+GH68</f>
        <v>12</v>
      </c>
      <c r="GI66" s="39">
        <f t="shared" si="787"/>
        <v>52</v>
      </c>
      <c r="GJ66" s="39">
        <f t="shared" si="786"/>
        <v>31</v>
      </c>
      <c r="GK66" s="39">
        <f t="shared" si="777"/>
        <v>48</v>
      </c>
      <c r="GL66" s="39">
        <f t="shared" ref="GL66" si="788">GL67+GL68</f>
        <v>51</v>
      </c>
      <c r="GM66" s="39">
        <f t="shared" si="777"/>
        <v>36</v>
      </c>
      <c r="GN66" s="39">
        <f t="shared" ref="GN66:GR66" si="789">GN67+GN68</f>
        <v>14</v>
      </c>
      <c r="GO66" s="39">
        <f t="shared" si="789"/>
        <v>15</v>
      </c>
      <c r="GP66" s="39">
        <f t="shared" ref="GP66:GQ66" si="790">GP67+GP68</f>
        <v>0</v>
      </c>
      <c r="GQ66" s="39">
        <f t="shared" si="790"/>
        <v>0</v>
      </c>
      <c r="GR66" s="39">
        <f t="shared" si="789"/>
        <v>0</v>
      </c>
      <c r="GS66" s="39">
        <f t="shared" si="777"/>
        <v>0</v>
      </c>
      <c r="GT66" s="39">
        <f t="shared" si="727"/>
        <v>0</v>
      </c>
      <c r="GU66" s="78"/>
      <c r="GV66" s="78"/>
      <c r="GW66" s="78"/>
      <c r="GX66" s="70">
        <f>SUM(DG66:EK66)</f>
        <v>622</v>
      </c>
    </row>
    <row r="67" spans="2:206" ht="14.4" customHeight="1" outlineLevel="1" x14ac:dyDescent="0.3">
      <c r="B67" s="75"/>
      <c r="E67" s="40" t="s">
        <v>21</v>
      </c>
      <c r="F67" s="22">
        <v>18</v>
      </c>
      <c r="G67" s="22">
        <v>6</v>
      </c>
      <c r="H67" s="22">
        <v>9</v>
      </c>
      <c r="I67" s="22">
        <v>39</v>
      </c>
      <c r="J67" s="22">
        <v>29</v>
      </c>
      <c r="K67" s="22">
        <v>42</v>
      </c>
      <c r="L67" s="22">
        <v>29</v>
      </c>
      <c r="M67" s="22">
        <v>30</v>
      </c>
      <c r="N67" s="22">
        <v>19</v>
      </c>
      <c r="O67" s="22">
        <v>17</v>
      </c>
      <c r="P67" s="22">
        <v>47</v>
      </c>
      <c r="Q67" s="22">
        <v>35</v>
      </c>
      <c r="R67" s="22">
        <v>47</v>
      </c>
      <c r="S67" s="22">
        <v>39</v>
      </c>
      <c r="T67" s="22">
        <v>28</v>
      </c>
      <c r="U67" s="22">
        <v>12</v>
      </c>
      <c r="V67" s="22">
        <v>19</v>
      </c>
      <c r="W67" s="22">
        <v>25</v>
      </c>
      <c r="X67" s="22">
        <v>27</v>
      </c>
      <c r="Y67" s="22">
        <v>32</v>
      </c>
      <c r="Z67" s="22">
        <v>21</v>
      </c>
      <c r="AA67" s="22">
        <v>29</v>
      </c>
      <c r="AB67" s="22">
        <v>12</v>
      </c>
      <c r="AC67" s="22">
        <v>12</v>
      </c>
      <c r="AD67" s="22">
        <v>28</v>
      </c>
      <c r="AE67" s="22">
        <v>46</v>
      </c>
      <c r="AF67" s="22">
        <v>25</v>
      </c>
      <c r="AG67" s="22">
        <v>38</v>
      </c>
      <c r="AH67" s="22">
        <v>28</v>
      </c>
      <c r="AI67" s="22">
        <v>16</v>
      </c>
      <c r="AJ67" s="22">
        <v>16</v>
      </c>
      <c r="AK67" s="22">
        <v>32</v>
      </c>
      <c r="AL67" s="22">
        <v>37</v>
      </c>
      <c r="AM67" s="22">
        <v>48</v>
      </c>
      <c r="AN67" s="22">
        <v>35</v>
      </c>
      <c r="AO67" s="22">
        <v>28</v>
      </c>
      <c r="AP67" s="22">
        <v>19</v>
      </c>
      <c r="AQ67" s="22">
        <v>13</v>
      </c>
      <c r="AR67" s="22">
        <v>19</v>
      </c>
      <c r="AS67" s="22">
        <v>59</v>
      </c>
      <c r="AT67" s="22">
        <v>39</v>
      </c>
      <c r="AU67" s="22">
        <v>27</v>
      </c>
      <c r="AV67" s="22">
        <v>26</v>
      </c>
      <c r="AW67" s="22">
        <v>27</v>
      </c>
      <c r="AX67" s="22">
        <v>15</v>
      </c>
      <c r="AY67" s="22">
        <v>17</v>
      </c>
      <c r="AZ67" s="22">
        <v>52</v>
      </c>
      <c r="BA67" s="22">
        <v>52</v>
      </c>
      <c r="BB67" s="22">
        <v>40</v>
      </c>
      <c r="BC67" s="22">
        <v>32</v>
      </c>
      <c r="BD67" s="22">
        <v>17</v>
      </c>
      <c r="BE67" s="22">
        <v>17</v>
      </c>
      <c r="BF67" s="22">
        <v>38</v>
      </c>
      <c r="BG67" s="22">
        <v>43</v>
      </c>
      <c r="BH67" s="22">
        <v>22</v>
      </c>
      <c r="BI67" s="22">
        <v>29</v>
      </c>
      <c r="BJ67" s="22">
        <v>23</v>
      </c>
      <c r="BK67" s="22">
        <v>15</v>
      </c>
      <c r="BL67" s="22">
        <v>13</v>
      </c>
      <c r="BM67" s="22">
        <v>30</v>
      </c>
      <c r="BN67" s="22">
        <v>34</v>
      </c>
      <c r="BO67" s="22">
        <v>30</v>
      </c>
      <c r="BP67" s="22">
        <v>43</v>
      </c>
      <c r="BQ67" s="22">
        <v>24</v>
      </c>
      <c r="BR67" s="22">
        <v>9</v>
      </c>
      <c r="BS67" s="22">
        <v>7</v>
      </c>
      <c r="BT67" s="22">
        <v>34</v>
      </c>
      <c r="BU67" s="22">
        <v>19</v>
      </c>
      <c r="BV67" s="22">
        <v>10</v>
      </c>
      <c r="BW67" s="22">
        <v>10</v>
      </c>
      <c r="BX67" s="22">
        <v>13</v>
      </c>
      <c r="BY67" s="22">
        <v>11</v>
      </c>
      <c r="BZ67" s="22">
        <v>7</v>
      </c>
      <c r="CA67" s="22">
        <v>23</v>
      </c>
      <c r="CB67" s="22">
        <v>18</v>
      </c>
      <c r="CC67" s="22">
        <v>27</v>
      </c>
      <c r="CD67" s="22">
        <v>21</v>
      </c>
      <c r="CE67" s="22">
        <v>20</v>
      </c>
      <c r="CF67" s="22">
        <v>57</v>
      </c>
      <c r="CG67" s="22">
        <v>13</v>
      </c>
      <c r="CH67" s="22">
        <v>14</v>
      </c>
      <c r="CI67" s="22">
        <v>34</v>
      </c>
      <c r="CJ67" s="22">
        <v>31</v>
      </c>
      <c r="CK67" s="22">
        <v>21</v>
      </c>
      <c r="CL67" s="22">
        <v>23</v>
      </c>
      <c r="CM67" s="22">
        <v>7</v>
      </c>
      <c r="CN67" s="22">
        <v>11</v>
      </c>
      <c r="CO67" s="22">
        <v>34</v>
      </c>
      <c r="CP67" s="22">
        <v>19</v>
      </c>
      <c r="CQ67" s="22">
        <v>12</v>
      </c>
      <c r="CR67" s="22">
        <v>16</v>
      </c>
      <c r="CS67" s="22">
        <v>16</v>
      </c>
      <c r="CT67" s="22">
        <v>7</v>
      </c>
      <c r="CU67" s="22">
        <v>10</v>
      </c>
      <c r="CV67" s="22">
        <v>25</v>
      </c>
      <c r="CW67" s="22">
        <v>29</v>
      </c>
      <c r="CX67" s="22">
        <v>14</v>
      </c>
      <c r="CY67" s="22">
        <v>20</v>
      </c>
      <c r="CZ67" s="22">
        <v>14</v>
      </c>
      <c r="DA67" s="22">
        <v>7</v>
      </c>
      <c r="DB67" s="22">
        <v>11</v>
      </c>
      <c r="DC67" s="22">
        <v>29</v>
      </c>
      <c r="DD67" s="22">
        <v>19</v>
      </c>
      <c r="DE67" s="22">
        <v>10</v>
      </c>
      <c r="DF67" s="22">
        <v>15</v>
      </c>
      <c r="DG67" s="22">
        <v>17</v>
      </c>
      <c r="DH67" s="22">
        <v>10</v>
      </c>
      <c r="DI67" s="22">
        <v>6</v>
      </c>
      <c r="DJ67" s="22">
        <v>128</v>
      </c>
      <c r="DK67" s="22">
        <v>45</v>
      </c>
      <c r="DL67" s="22">
        <v>16</v>
      </c>
      <c r="DM67" s="22">
        <v>16</v>
      </c>
      <c r="DN67" s="22">
        <v>14</v>
      </c>
      <c r="DO67" s="22">
        <v>4</v>
      </c>
      <c r="DP67" s="22">
        <v>12</v>
      </c>
      <c r="DQ67" s="22">
        <v>26</v>
      </c>
      <c r="DR67" s="22">
        <v>18</v>
      </c>
      <c r="DS67" s="22">
        <v>12</v>
      </c>
      <c r="DT67" s="22">
        <v>22</v>
      </c>
      <c r="DU67" s="22">
        <v>26</v>
      </c>
      <c r="DV67" s="22">
        <v>3</v>
      </c>
      <c r="DW67" s="22">
        <v>2</v>
      </c>
      <c r="DX67" s="22">
        <v>9</v>
      </c>
      <c r="DY67" s="22">
        <v>17</v>
      </c>
      <c r="DZ67" s="22">
        <v>15</v>
      </c>
      <c r="EA67" s="22">
        <v>5</v>
      </c>
      <c r="EB67" s="22">
        <v>10</v>
      </c>
      <c r="EC67" s="22">
        <v>7</v>
      </c>
      <c r="ED67" s="22">
        <v>4</v>
      </c>
      <c r="EE67" s="22">
        <v>8</v>
      </c>
      <c r="EF67" s="22">
        <v>15</v>
      </c>
      <c r="EG67" s="22">
        <v>16</v>
      </c>
      <c r="EH67" s="22">
        <v>12</v>
      </c>
      <c r="EI67" s="22">
        <v>12</v>
      </c>
      <c r="EJ67" s="22">
        <v>4</v>
      </c>
      <c r="EK67" s="22">
        <v>4</v>
      </c>
      <c r="EL67" s="22">
        <v>11</v>
      </c>
      <c r="EM67" s="22">
        <v>17</v>
      </c>
      <c r="EN67" s="22">
        <v>6</v>
      </c>
      <c r="EO67" s="22">
        <v>8</v>
      </c>
      <c r="EP67" s="22">
        <v>10</v>
      </c>
      <c r="EQ67" s="22">
        <v>4</v>
      </c>
      <c r="ER67" s="22">
        <v>3</v>
      </c>
      <c r="ES67" s="22">
        <v>17</v>
      </c>
      <c r="ET67" s="22">
        <v>21</v>
      </c>
      <c r="EU67" s="22">
        <v>15</v>
      </c>
      <c r="EV67" s="22">
        <v>7</v>
      </c>
      <c r="EW67" s="22">
        <v>11</v>
      </c>
      <c r="EX67" s="22">
        <v>4</v>
      </c>
      <c r="EY67" s="22">
        <v>7</v>
      </c>
      <c r="EZ67" s="22">
        <v>9</v>
      </c>
      <c r="FA67" s="22">
        <v>7</v>
      </c>
      <c r="FB67" s="22">
        <v>8</v>
      </c>
      <c r="FC67" s="22">
        <v>10</v>
      </c>
      <c r="FD67" s="22">
        <v>11</v>
      </c>
      <c r="FE67" s="22">
        <v>6</v>
      </c>
      <c r="FF67" s="22">
        <v>4</v>
      </c>
      <c r="FG67" s="22">
        <v>9</v>
      </c>
      <c r="FH67" s="22">
        <v>12</v>
      </c>
      <c r="FI67" s="22">
        <v>13</v>
      </c>
      <c r="FJ67" s="22">
        <v>11</v>
      </c>
      <c r="FK67" s="22">
        <v>5</v>
      </c>
      <c r="FL67" s="22">
        <v>6</v>
      </c>
      <c r="FM67" s="22">
        <v>0</v>
      </c>
      <c r="FN67" s="22">
        <v>9</v>
      </c>
      <c r="FO67" s="22">
        <v>12</v>
      </c>
      <c r="FP67" s="22">
        <v>12</v>
      </c>
      <c r="FQ67" s="22">
        <v>9</v>
      </c>
      <c r="FR67" s="22">
        <v>5</v>
      </c>
      <c r="FS67" s="22">
        <v>5</v>
      </c>
      <c r="FT67" s="22">
        <v>3</v>
      </c>
      <c r="FU67" s="22">
        <v>7</v>
      </c>
      <c r="FV67" s="22">
        <v>15</v>
      </c>
      <c r="FW67" s="22">
        <v>8</v>
      </c>
      <c r="FX67" s="22">
        <v>5</v>
      </c>
      <c r="FY67" s="22">
        <v>4</v>
      </c>
      <c r="FZ67" s="22">
        <v>9</v>
      </c>
      <c r="GA67" s="22">
        <v>2</v>
      </c>
      <c r="GB67" s="22">
        <v>11</v>
      </c>
      <c r="GC67" s="22">
        <v>12</v>
      </c>
      <c r="GD67" s="22">
        <v>14</v>
      </c>
      <c r="GE67" s="22">
        <v>15</v>
      </c>
      <c r="GF67" s="22">
        <v>14</v>
      </c>
      <c r="GG67" s="22">
        <v>23</v>
      </c>
      <c r="GH67" s="22">
        <v>4</v>
      </c>
      <c r="GI67" s="22">
        <v>38</v>
      </c>
      <c r="GJ67" s="22">
        <v>24</v>
      </c>
      <c r="GK67" s="22">
        <v>37</v>
      </c>
      <c r="GL67" s="22">
        <v>28</v>
      </c>
      <c r="GM67" s="22">
        <v>22</v>
      </c>
      <c r="GN67" s="22">
        <v>10</v>
      </c>
      <c r="GO67" s="22">
        <v>9</v>
      </c>
      <c r="GP67" s="22"/>
      <c r="GQ67" s="22"/>
      <c r="GR67" s="22"/>
      <c r="GS67" s="22"/>
      <c r="GT67" s="22"/>
      <c r="GX67" s="69">
        <f>SUM(CD67:DF67)</f>
        <v>559</v>
      </c>
    </row>
    <row r="68" spans="2:206" ht="14.4" customHeight="1" outlineLevel="1" x14ac:dyDescent="0.3">
      <c r="B68" s="75"/>
      <c r="E68" s="41" t="s">
        <v>22</v>
      </c>
      <c r="F68" s="42">
        <v>5</v>
      </c>
      <c r="G68" s="42">
        <v>5</v>
      </c>
      <c r="H68" s="42">
        <v>7</v>
      </c>
      <c r="I68" s="42">
        <v>8</v>
      </c>
      <c r="J68" s="42">
        <v>13</v>
      </c>
      <c r="K68" s="42">
        <v>22</v>
      </c>
      <c r="L68" s="42">
        <v>22</v>
      </c>
      <c r="M68" s="42">
        <v>18</v>
      </c>
      <c r="N68" s="42">
        <v>1</v>
      </c>
      <c r="O68" s="42">
        <v>9</v>
      </c>
      <c r="P68" s="42">
        <v>14</v>
      </c>
      <c r="Q68" s="42">
        <v>12</v>
      </c>
      <c r="R68" s="42">
        <v>23</v>
      </c>
      <c r="S68" s="42">
        <v>12</v>
      </c>
      <c r="T68" s="42">
        <v>26</v>
      </c>
      <c r="U68" s="42">
        <v>11</v>
      </c>
      <c r="V68" s="42">
        <v>5</v>
      </c>
      <c r="W68" s="42">
        <v>19</v>
      </c>
      <c r="X68" s="42">
        <v>39</v>
      </c>
      <c r="Y68" s="42">
        <v>19</v>
      </c>
      <c r="Z68" s="42">
        <v>11</v>
      </c>
      <c r="AA68" s="42">
        <v>13</v>
      </c>
      <c r="AB68" s="42">
        <v>2</v>
      </c>
      <c r="AC68" s="42">
        <v>4</v>
      </c>
      <c r="AD68" s="42">
        <v>17</v>
      </c>
      <c r="AE68" s="42">
        <v>12</v>
      </c>
      <c r="AF68" s="42">
        <v>14</v>
      </c>
      <c r="AG68" s="42">
        <v>13</v>
      </c>
      <c r="AH68" s="42">
        <v>11</v>
      </c>
      <c r="AI68" s="42">
        <v>2</v>
      </c>
      <c r="AJ68" s="42">
        <v>1</v>
      </c>
      <c r="AK68" s="42">
        <v>32</v>
      </c>
      <c r="AL68" s="42">
        <v>8</v>
      </c>
      <c r="AM68" s="42">
        <v>32</v>
      </c>
      <c r="AN68" s="42">
        <v>23</v>
      </c>
      <c r="AO68" s="42">
        <v>26</v>
      </c>
      <c r="AP68" s="42">
        <v>3</v>
      </c>
      <c r="AQ68" s="42">
        <v>1</v>
      </c>
      <c r="AR68" s="42">
        <v>5</v>
      </c>
      <c r="AS68" s="42">
        <v>23</v>
      </c>
      <c r="AT68" s="42">
        <v>32</v>
      </c>
      <c r="AU68" s="42">
        <v>19</v>
      </c>
      <c r="AV68" s="42">
        <v>21</v>
      </c>
      <c r="AW68" s="42">
        <v>6</v>
      </c>
      <c r="AX68" s="42">
        <v>16</v>
      </c>
      <c r="AY68" s="42">
        <v>5</v>
      </c>
      <c r="AZ68" s="42">
        <v>25</v>
      </c>
      <c r="BA68" s="42">
        <v>27</v>
      </c>
      <c r="BB68" s="42">
        <v>9</v>
      </c>
      <c r="BC68" s="42">
        <v>13</v>
      </c>
      <c r="BD68" s="42">
        <v>13</v>
      </c>
      <c r="BE68" s="42">
        <v>3</v>
      </c>
      <c r="BF68" s="42">
        <v>9</v>
      </c>
      <c r="BG68" s="42">
        <v>17</v>
      </c>
      <c r="BH68" s="42">
        <v>17</v>
      </c>
      <c r="BI68" s="42">
        <v>17</v>
      </c>
      <c r="BJ68" s="42">
        <v>14</v>
      </c>
      <c r="BK68" s="42">
        <v>6</v>
      </c>
      <c r="BL68" s="42">
        <v>3</v>
      </c>
      <c r="BM68" s="42">
        <v>16</v>
      </c>
      <c r="BN68" s="42">
        <v>22</v>
      </c>
      <c r="BO68" s="42">
        <v>14</v>
      </c>
      <c r="BP68" s="42">
        <v>6</v>
      </c>
      <c r="BQ68" s="42">
        <v>15</v>
      </c>
      <c r="BR68" s="42">
        <v>10</v>
      </c>
      <c r="BS68" s="42">
        <v>6</v>
      </c>
      <c r="BT68" s="42">
        <v>13</v>
      </c>
      <c r="BU68" s="42">
        <v>23</v>
      </c>
      <c r="BV68" s="42">
        <v>10</v>
      </c>
      <c r="BW68" s="42">
        <v>4</v>
      </c>
      <c r="BX68" s="42">
        <v>5</v>
      </c>
      <c r="BY68" s="42">
        <v>1</v>
      </c>
      <c r="BZ68" s="42">
        <v>1</v>
      </c>
      <c r="CA68" s="42">
        <v>6</v>
      </c>
      <c r="CB68" s="42">
        <v>4</v>
      </c>
      <c r="CC68" s="42">
        <v>4</v>
      </c>
      <c r="CD68" s="42">
        <v>3</v>
      </c>
      <c r="CE68" s="42">
        <v>9</v>
      </c>
      <c r="CF68" s="42">
        <v>2</v>
      </c>
      <c r="CG68" s="42">
        <v>2</v>
      </c>
      <c r="CH68" s="42">
        <v>6</v>
      </c>
      <c r="CI68" s="42">
        <v>5</v>
      </c>
      <c r="CJ68" s="42">
        <v>5</v>
      </c>
      <c r="CK68" s="42">
        <v>8</v>
      </c>
      <c r="CL68" s="42">
        <v>1</v>
      </c>
      <c r="CM68" s="42">
        <v>4</v>
      </c>
      <c r="CN68" s="42">
        <v>3</v>
      </c>
      <c r="CO68" s="42">
        <v>12</v>
      </c>
      <c r="CP68" s="42">
        <v>7</v>
      </c>
      <c r="CQ68" s="42">
        <v>12</v>
      </c>
      <c r="CR68" s="42">
        <v>6</v>
      </c>
      <c r="CS68" s="42">
        <v>8</v>
      </c>
      <c r="CT68" s="42">
        <v>2</v>
      </c>
      <c r="CU68" s="42">
        <v>0</v>
      </c>
      <c r="CV68" s="42">
        <v>11</v>
      </c>
      <c r="CW68" s="42">
        <v>22</v>
      </c>
      <c r="CX68" s="42">
        <v>13</v>
      </c>
      <c r="CY68" s="42">
        <v>10</v>
      </c>
      <c r="CZ68" s="42">
        <v>8</v>
      </c>
      <c r="DA68" s="42">
        <v>3</v>
      </c>
      <c r="DB68" s="42">
        <v>4</v>
      </c>
      <c r="DC68" s="42">
        <v>7</v>
      </c>
      <c r="DD68" s="42">
        <v>13</v>
      </c>
      <c r="DE68" s="42">
        <v>7</v>
      </c>
      <c r="DF68" s="42">
        <v>8</v>
      </c>
      <c r="DG68" s="42">
        <v>3</v>
      </c>
      <c r="DH68" s="42">
        <v>9</v>
      </c>
      <c r="DI68" s="42">
        <v>2</v>
      </c>
      <c r="DJ68" s="42">
        <v>2</v>
      </c>
      <c r="DK68" s="42">
        <v>6</v>
      </c>
      <c r="DL68" s="42">
        <v>9</v>
      </c>
      <c r="DM68" s="42">
        <v>3</v>
      </c>
      <c r="DN68" s="42">
        <v>0</v>
      </c>
      <c r="DO68" s="42">
        <v>4</v>
      </c>
      <c r="DP68" s="42">
        <v>0</v>
      </c>
      <c r="DQ68" s="42">
        <v>5</v>
      </c>
      <c r="DR68" s="42">
        <v>3</v>
      </c>
      <c r="DS68" s="42">
        <v>6</v>
      </c>
      <c r="DT68" s="42">
        <v>6</v>
      </c>
      <c r="DU68" s="42">
        <v>3</v>
      </c>
      <c r="DV68" s="42">
        <v>6</v>
      </c>
      <c r="DW68" s="42">
        <v>1</v>
      </c>
      <c r="DX68" s="42">
        <v>3</v>
      </c>
      <c r="DY68" s="42">
        <v>6</v>
      </c>
      <c r="DZ68" s="42">
        <v>4</v>
      </c>
      <c r="EA68" s="42">
        <v>1</v>
      </c>
      <c r="EB68" s="42">
        <v>4</v>
      </c>
      <c r="EC68" s="42">
        <v>0</v>
      </c>
      <c r="ED68" s="42">
        <v>1</v>
      </c>
      <c r="EE68" s="42">
        <v>7</v>
      </c>
      <c r="EF68" s="42">
        <v>2</v>
      </c>
      <c r="EG68" s="42">
        <v>5</v>
      </c>
      <c r="EH68" s="42">
        <v>2</v>
      </c>
      <c r="EI68" s="42">
        <v>3</v>
      </c>
      <c r="EJ68" s="42">
        <v>1</v>
      </c>
      <c r="EK68" s="42">
        <v>0</v>
      </c>
      <c r="EL68" s="42">
        <v>2</v>
      </c>
      <c r="EM68" s="42">
        <v>1</v>
      </c>
      <c r="EN68" s="42">
        <v>1</v>
      </c>
      <c r="EO68" s="42">
        <v>4</v>
      </c>
      <c r="EP68" s="42">
        <v>4</v>
      </c>
      <c r="EQ68" s="42">
        <v>3</v>
      </c>
      <c r="ER68" s="42">
        <v>0</v>
      </c>
      <c r="ES68" s="42">
        <v>8</v>
      </c>
      <c r="ET68" s="42">
        <v>0</v>
      </c>
      <c r="EU68" s="42">
        <v>5</v>
      </c>
      <c r="EV68" s="42">
        <v>6</v>
      </c>
      <c r="EW68" s="42">
        <v>8</v>
      </c>
      <c r="EX68" s="42">
        <v>1</v>
      </c>
      <c r="EY68" s="42">
        <v>0</v>
      </c>
      <c r="EZ68" s="42">
        <v>7</v>
      </c>
      <c r="FA68" s="42">
        <v>1</v>
      </c>
      <c r="FB68" s="42">
        <v>2</v>
      </c>
      <c r="FC68" s="42">
        <v>4</v>
      </c>
      <c r="FD68" s="42">
        <v>1</v>
      </c>
      <c r="FE68" s="42">
        <v>1</v>
      </c>
      <c r="FF68" s="42">
        <v>0</v>
      </c>
      <c r="FG68" s="42">
        <v>5</v>
      </c>
      <c r="FH68" s="42">
        <v>4</v>
      </c>
      <c r="FI68" s="42">
        <v>3</v>
      </c>
      <c r="FJ68" s="42">
        <v>11</v>
      </c>
      <c r="FK68" s="42">
        <v>6</v>
      </c>
      <c r="FL68" s="42">
        <v>0</v>
      </c>
      <c r="FM68" s="42">
        <v>0</v>
      </c>
      <c r="FN68" s="42">
        <v>9</v>
      </c>
      <c r="FO68" s="42">
        <v>1</v>
      </c>
      <c r="FP68" s="42">
        <v>2</v>
      </c>
      <c r="FQ68" s="42">
        <v>4</v>
      </c>
      <c r="FR68" s="42">
        <v>2</v>
      </c>
      <c r="FS68" s="42">
        <v>1</v>
      </c>
      <c r="FT68" s="42">
        <v>1</v>
      </c>
      <c r="FU68" s="42">
        <v>0</v>
      </c>
      <c r="FV68" s="42">
        <v>1</v>
      </c>
      <c r="FW68" s="42">
        <v>4</v>
      </c>
      <c r="FX68" s="42">
        <v>0</v>
      </c>
      <c r="FY68" s="42">
        <v>1</v>
      </c>
      <c r="FZ68" s="42">
        <v>2</v>
      </c>
      <c r="GA68" s="42">
        <v>1</v>
      </c>
      <c r="GB68" s="42">
        <v>7</v>
      </c>
      <c r="GC68" s="42">
        <v>12</v>
      </c>
      <c r="GD68" s="42">
        <v>8</v>
      </c>
      <c r="GE68" s="42">
        <v>11</v>
      </c>
      <c r="GF68" s="42">
        <v>6</v>
      </c>
      <c r="GG68" s="42">
        <v>10</v>
      </c>
      <c r="GH68" s="42">
        <v>8</v>
      </c>
      <c r="GI68" s="42">
        <v>14</v>
      </c>
      <c r="GJ68" s="42">
        <v>7</v>
      </c>
      <c r="GK68" s="42">
        <v>11</v>
      </c>
      <c r="GL68" s="42">
        <v>23</v>
      </c>
      <c r="GM68" s="42">
        <v>14</v>
      </c>
      <c r="GN68" s="42">
        <v>4</v>
      </c>
      <c r="GO68" s="42">
        <v>6</v>
      </c>
      <c r="GP68" s="42"/>
      <c r="GQ68" s="42"/>
      <c r="GR68" s="42"/>
      <c r="GS68" s="42"/>
      <c r="GT68" s="42"/>
      <c r="GX68" s="69">
        <f>SUM(CD68:DF68)</f>
        <v>201</v>
      </c>
    </row>
    <row r="69" spans="2:206" ht="20.399999999999999" customHeight="1" x14ac:dyDescent="0.3">
      <c r="B69" s="75"/>
      <c r="E69" s="43" t="s">
        <v>19</v>
      </c>
      <c r="F69" s="21">
        <v>79</v>
      </c>
      <c r="G69" s="21">
        <v>34</v>
      </c>
      <c r="H69" s="21">
        <v>31</v>
      </c>
      <c r="I69" s="21">
        <v>52</v>
      </c>
      <c r="J69" s="21">
        <v>57</v>
      </c>
      <c r="K69" s="21">
        <v>58</v>
      </c>
      <c r="L69" s="21">
        <v>62</v>
      </c>
      <c r="M69" s="21">
        <v>88</v>
      </c>
      <c r="N69" s="21">
        <v>35</v>
      </c>
      <c r="O69" s="21">
        <v>33</v>
      </c>
      <c r="P69" s="21">
        <v>93</v>
      </c>
      <c r="Q69" s="21">
        <v>65</v>
      </c>
      <c r="R69" s="21">
        <v>91</v>
      </c>
      <c r="S69" s="21">
        <v>109</v>
      </c>
      <c r="T69" s="21">
        <v>95</v>
      </c>
      <c r="U69" s="21">
        <v>57</v>
      </c>
      <c r="V69" s="21">
        <v>24</v>
      </c>
      <c r="W69" s="21">
        <v>71</v>
      </c>
      <c r="X69" s="21">
        <v>49</v>
      </c>
      <c r="Y69" s="21">
        <v>63</v>
      </c>
      <c r="Z69" s="21">
        <v>66</v>
      </c>
      <c r="AA69" s="21">
        <v>54</v>
      </c>
      <c r="AB69" s="21">
        <v>47</v>
      </c>
      <c r="AC69" s="21">
        <v>24</v>
      </c>
      <c r="AD69" s="21">
        <v>88</v>
      </c>
      <c r="AE69" s="21">
        <v>79</v>
      </c>
      <c r="AF69" s="21">
        <v>80</v>
      </c>
      <c r="AG69" s="21">
        <v>54</v>
      </c>
      <c r="AH69" s="21">
        <v>52</v>
      </c>
      <c r="AI69" s="21">
        <v>23</v>
      </c>
      <c r="AJ69" s="21">
        <v>14</v>
      </c>
      <c r="AK69" s="21">
        <v>66</v>
      </c>
      <c r="AL69" s="21">
        <v>38</v>
      </c>
      <c r="AM69" s="21">
        <v>56</v>
      </c>
      <c r="AN69" s="21">
        <v>47</v>
      </c>
      <c r="AO69" s="21">
        <v>41</v>
      </c>
      <c r="AP69" s="21">
        <v>21</v>
      </c>
      <c r="AQ69" s="21">
        <v>20</v>
      </c>
      <c r="AR69" s="21">
        <v>21</v>
      </c>
      <c r="AS69" s="21">
        <v>55</v>
      </c>
      <c r="AT69" s="21">
        <v>40</v>
      </c>
      <c r="AU69" s="21">
        <v>44</v>
      </c>
      <c r="AV69" s="21">
        <v>45</v>
      </c>
      <c r="AW69" s="21">
        <v>24</v>
      </c>
      <c r="AX69" s="21">
        <v>20</v>
      </c>
      <c r="AY69" s="21">
        <v>18</v>
      </c>
      <c r="AZ69" s="21">
        <v>37</v>
      </c>
      <c r="BA69" s="21">
        <v>43</v>
      </c>
      <c r="BB69" s="21">
        <v>43</v>
      </c>
      <c r="BC69" s="21">
        <v>33</v>
      </c>
      <c r="BD69" s="21">
        <v>20</v>
      </c>
      <c r="BE69" s="21">
        <v>11</v>
      </c>
      <c r="BF69" s="21">
        <v>33</v>
      </c>
      <c r="BG69" s="21">
        <v>32</v>
      </c>
      <c r="BH69" s="21">
        <v>23</v>
      </c>
      <c r="BI69" s="21">
        <v>22</v>
      </c>
      <c r="BJ69" s="21">
        <v>16</v>
      </c>
      <c r="BK69" s="21">
        <v>9</v>
      </c>
      <c r="BL69" s="21">
        <v>3</v>
      </c>
      <c r="BM69" s="21">
        <v>42</v>
      </c>
      <c r="BN69" s="21">
        <v>17</v>
      </c>
      <c r="BO69" s="21">
        <v>35</v>
      </c>
      <c r="BP69" s="21">
        <v>23</v>
      </c>
      <c r="BQ69" s="21">
        <v>21</v>
      </c>
      <c r="BR69" s="21">
        <v>8</v>
      </c>
      <c r="BS69" s="21">
        <v>6</v>
      </c>
      <c r="BT69" s="21">
        <v>21</v>
      </c>
      <c r="BU69" s="21">
        <v>19</v>
      </c>
      <c r="BV69" s="21">
        <v>25</v>
      </c>
      <c r="BW69" s="21">
        <v>26</v>
      </c>
      <c r="BX69" s="21">
        <v>23</v>
      </c>
      <c r="BY69" s="21">
        <v>8</v>
      </c>
      <c r="BZ69" s="21">
        <v>14</v>
      </c>
      <c r="CA69" s="21">
        <v>46</v>
      </c>
      <c r="CB69" s="21">
        <v>25</v>
      </c>
      <c r="CC69" s="21">
        <v>47</v>
      </c>
      <c r="CD69" s="21">
        <v>18</v>
      </c>
      <c r="CE69" s="21">
        <v>25</v>
      </c>
      <c r="CF69" s="21">
        <v>11</v>
      </c>
      <c r="CG69" s="21">
        <v>8</v>
      </c>
      <c r="CH69" s="21">
        <v>14</v>
      </c>
      <c r="CI69" s="21">
        <v>40</v>
      </c>
      <c r="CJ69" s="21">
        <v>25</v>
      </c>
      <c r="CK69" s="21">
        <v>19</v>
      </c>
      <c r="CL69" s="21">
        <v>9</v>
      </c>
      <c r="CM69" s="21">
        <v>14</v>
      </c>
      <c r="CN69" s="21">
        <v>9</v>
      </c>
      <c r="CO69" s="21">
        <v>25</v>
      </c>
      <c r="CP69" s="21">
        <v>21</v>
      </c>
      <c r="CQ69" s="21">
        <v>19</v>
      </c>
      <c r="CR69" s="21">
        <v>39</v>
      </c>
      <c r="CS69" s="21">
        <v>20</v>
      </c>
      <c r="CT69" s="21">
        <v>23</v>
      </c>
      <c r="CU69" s="21">
        <v>4</v>
      </c>
      <c r="CV69" s="21">
        <v>21</v>
      </c>
      <c r="CW69" s="21">
        <v>48</v>
      </c>
      <c r="CX69" s="21">
        <v>31</v>
      </c>
      <c r="CY69" s="21">
        <v>19</v>
      </c>
      <c r="CZ69" s="21">
        <v>21</v>
      </c>
      <c r="DA69" s="21">
        <v>9</v>
      </c>
      <c r="DB69" s="21">
        <v>6</v>
      </c>
      <c r="DC69" s="21">
        <v>30</v>
      </c>
      <c r="DD69" s="21">
        <v>40</v>
      </c>
      <c r="DE69" s="21">
        <v>27</v>
      </c>
      <c r="DF69" s="21">
        <v>29</v>
      </c>
      <c r="DG69" s="21">
        <v>21</v>
      </c>
      <c r="DH69" s="21">
        <v>10</v>
      </c>
      <c r="DI69" s="21">
        <v>11</v>
      </c>
      <c r="DJ69" s="21">
        <v>25</v>
      </c>
      <c r="DK69" s="21">
        <v>36</v>
      </c>
      <c r="DL69" s="21">
        <v>20</v>
      </c>
      <c r="DM69" s="21">
        <v>31</v>
      </c>
      <c r="DN69" s="21">
        <v>20</v>
      </c>
      <c r="DO69" s="21">
        <v>11</v>
      </c>
      <c r="DP69" s="21">
        <v>6</v>
      </c>
      <c r="DQ69" s="21">
        <v>25</v>
      </c>
      <c r="DR69" s="21">
        <v>22</v>
      </c>
      <c r="DS69" s="21">
        <v>31</v>
      </c>
      <c r="DT69" s="21">
        <v>27</v>
      </c>
      <c r="DU69" s="21">
        <v>21</v>
      </c>
      <c r="DV69" s="21">
        <v>12</v>
      </c>
      <c r="DW69" s="21">
        <v>8</v>
      </c>
      <c r="DX69" s="21">
        <v>22</v>
      </c>
      <c r="DY69" s="21">
        <v>29</v>
      </c>
      <c r="DZ69" s="21">
        <v>48</v>
      </c>
      <c r="EA69" s="21">
        <v>10</v>
      </c>
      <c r="EB69" s="21">
        <v>30</v>
      </c>
      <c r="EC69" s="21">
        <v>12</v>
      </c>
      <c r="ED69" s="21">
        <v>3</v>
      </c>
      <c r="EE69" s="21">
        <v>17</v>
      </c>
      <c r="EF69" s="21">
        <v>26</v>
      </c>
      <c r="EG69" s="21">
        <v>22</v>
      </c>
      <c r="EH69" s="21">
        <v>9</v>
      </c>
      <c r="EI69" s="21">
        <v>11</v>
      </c>
      <c r="EJ69" s="21">
        <v>8</v>
      </c>
      <c r="EK69" s="21">
        <v>6</v>
      </c>
      <c r="EL69" s="21">
        <v>24</v>
      </c>
      <c r="EM69" s="21">
        <v>24</v>
      </c>
      <c r="EN69" s="21">
        <v>21</v>
      </c>
      <c r="EO69" s="21">
        <v>22</v>
      </c>
      <c r="EP69" s="21">
        <v>22</v>
      </c>
      <c r="EQ69" s="21">
        <v>7</v>
      </c>
      <c r="ER69" s="21">
        <v>5</v>
      </c>
      <c r="ES69" s="21">
        <v>20</v>
      </c>
      <c r="ET69" s="21">
        <v>20</v>
      </c>
      <c r="EU69" s="21">
        <v>17</v>
      </c>
      <c r="EV69" s="21">
        <v>22</v>
      </c>
      <c r="EW69" s="21">
        <v>13</v>
      </c>
      <c r="EX69" s="21">
        <v>9</v>
      </c>
      <c r="EY69" s="21">
        <v>4</v>
      </c>
      <c r="EZ69" s="21">
        <v>15</v>
      </c>
      <c r="FA69" s="21">
        <v>24</v>
      </c>
      <c r="FB69" s="21">
        <v>20</v>
      </c>
      <c r="FC69" s="21">
        <v>28</v>
      </c>
      <c r="FD69" s="21">
        <v>11</v>
      </c>
      <c r="FE69" s="21">
        <v>8</v>
      </c>
      <c r="FF69" s="21">
        <v>2</v>
      </c>
      <c r="FG69" s="21">
        <v>14</v>
      </c>
      <c r="FH69" s="21">
        <v>18</v>
      </c>
      <c r="FI69" s="21">
        <v>33</v>
      </c>
      <c r="FJ69" s="21">
        <v>23</v>
      </c>
      <c r="FK69" s="21">
        <v>21</v>
      </c>
      <c r="FL69" s="21">
        <v>6</v>
      </c>
      <c r="FM69" s="21">
        <v>3</v>
      </c>
      <c r="FN69" s="21">
        <v>20</v>
      </c>
      <c r="FO69" s="21">
        <v>25</v>
      </c>
      <c r="FP69" s="21">
        <v>18</v>
      </c>
      <c r="FQ69" s="21">
        <v>16</v>
      </c>
      <c r="FR69" s="21">
        <v>19</v>
      </c>
      <c r="FS69" s="21">
        <v>13</v>
      </c>
      <c r="FT69" s="21">
        <v>6</v>
      </c>
      <c r="FU69" s="21">
        <v>14</v>
      </c>
      <c r="FV69" s="21">
        <v>13</v>
      </c>
      <c r="FW69" s="21">
        <v>23</v>
      </c>
      <c r="FX69" s="21">
        <v>19</v>
      </c>
      <c r="FY69" s="21">
        <v>17</v>
      </c>
      <c r="FZ69" s="21">
        <v>6</v>
      </c>
      <c r="GA69" s="21">
        <v>10</v>
      </c>
      <c r="GB69" s="21">
        <v>22</v>
      </c>
      <c r="GC69" s="21">
        <v>35</v>
      </c>
      <c r="GD69" s="21">
        <v>46</v>
      </c>
      <c r="GE69" s="21">
        <v>34</v>
      </c>
      <c r="GF69" s="21">
        <v>46</v>
      </c>
      <c r="GG69" s="21">
        <v>28</v>
      </c>
      <c r="GH69" s="21">
        <v>28</v>
      </c>
      <c r="GI69" s="21">
        <v>74</v>
      </c>
      <c r="GJ69" s="21">
        <v>71</v>
      </c>
      <c r="GK69" s="21">
        <v>59</v>
      </c>
      <c r="GL69" s="21">
        <v>88</v>
      </c>
      <c r="GM69" s="21">
        <v>48</v>
      </c>
      <c r="GN69" s="21">
        <v>28</v>
      </c>
      <c r="GO69" s="21">
        <v>16</v>
      </c>
      <c r="GU69" s="78"/>
      <c r="GV69" s="78"/>
      <c r="GW69" s="78"/>
      <c r="GX69" s="29">
        <f>SUM(DG69:EK69)</f>
        <v>590</v>
      </c>
    </row>
    <row r="70" spans="2:206" ht="20.399999999999999" customHeight="1" x14ac:dyDescent="0.3">
      <c r="B70" s="75"/>
      <c r="E70" s="38" t="s">
        <v>20</v>
      </c>
      <c r="F70" s="39">
        <f>F71+F72</f>
        <v>515</v>
      </c>
      <c r="G70" s="39">
        <f t="shared" ref="G70:GT70" si="791">G71+G72</f>
        <v>424</v>
      </c>
      <c r="H70" s="39">
        <f t="shared" si="791"/>
        <v>438</v>
      </c>
      <c r="I70" s="39">
        <f t="shared" si="791"/>
        <v>626</v>
      </c>
      <c r="J70" s="39">
        <f t="shared" si="791"/>
        <v>976</v>
      </c>
      <c r="K70" s="39">
        <f t="shared" si="791"/>
        <v>952</v>
      </c>
      <c r="L70" s="39">
        <f t="shared" si="791"/>
        <v>962</v>
      </c>
      <c r="M70" s="39">
        <f t="shared" si="791"/>
        <v>948</v>
      </c>
      <c r="N70" s="39">
        <f t="shared" si="791"/>
        <v>770</v>
      </c>
      <c r="O70" s="39">
        <f t="shared" si="791"/>
        <v>494</v>
      </c>
      <c r="P70" s="39">
        <f t="shared" si="791"/>
        <v>1128</v>
      </c>
      <c r="Q70" s="39">
        <f t="shared" si="791"/>
        <v>873</v>
      </c>
      <c r="R70" s="39">
        <f t="shared" ref="R70:CN70" si="792">R71+R72</f>
        <v>982</v>
      </c>
      <c r="S70" s="39">
        <f t="shared" ref="S70:U70" si="793">S71+S72</f>
        <v>748</v>
      </c>
      <c r="T70" s="39">
        <f t="shared" si="793"/>
        <v>733</v>
      </c>
      <c r="U70" s="39">
        <f t="shared" si="793"/>
        <v>455</v>
      </c>
      <c r="V70" s="39">
        <f t="shared" si="792"/>
        <v>256</v>
      </c>
      <c r="W70" s="39">
        <f t="shared" si="792"/>
        <v>500</v>
      </c>
      <c r="X70" s="39">
        <f t="shared" ref="X70:CJ70" si="794">X71+X72</f>
        <v>480</v>
      </c>
      <c r="Y70" s="39">
        <f t="shared" si="794"/>
        <v>500</v>
      </c>
      <c r="Z70" s="39">
        <f t="shared" si="794"/>
        <v>463</v>
      </c>
      <c r="AA70" s="39">
        <f t="shared" si="794"/>
        <v>365</v>
      </c>
      <c r="AB70" s="39">
        <f t="shared" si="794"/>
        <v>256</v>
      </c>
      <c r="AC70" s="39">
        <f t="shared" si="794"/>
        <v>213</v>
      </c>
      <c r="AD70" s="39">
        <f t="shared" si="794"/>
        <v>473</v>
      </c>
      <c r="AE70" s="39">
        <f t="shared" si="794"/>
        <v>454</v>
      </c>
      <c r="AF70" s="39">
        <f t="shared" si="794"/>
        <v>441</v>
      </c>
      <c r="AG70" s="39">
        <f t="shared" si="794"/>
        <v>366</v>
      </c>
      <c r="AH70" s="39">
        <f t="shared" si="794"/>
        <v>341</v>
      </c>
      <c r="AI70" s="39">
        <f t="shared" si="794"/>
        <v>326</v>
      </c>
      <c r="AJ70" s="39">
        <f t="shared" ref="AJ70" si="795">AJ71+AJ72</f>
        <v>268</v>
      </c>
      <c r="AK70" s="39">
        <f t="shared" si="794"/>
        <v>757</v>
      </c>
      <c r="AL70" s="39">
        <f t="shared" ref="AL70" si="796">AL71+AL72</f>
        <v>541</v>
      </c>
      <c r="AM70" s="39">
        <f t="shared" si="794"/>
        <v>519</v>
      </c>
      <c r="AN70" s="39">
        <f t="shared" si="794"/>
        <v>634</v>
      </c>
      <c r="AO70" s="39">
        <f t="shared" si="794"/>
        <v>613</v>
      </c>
      <c r="AP70" s="39">
        <f t="shared" ref="AP70" si="797">AP71+AP72</f>
        <v>392</v>
      </c>
      <c r="AQ70" s="39">
        <f t="shared" si="794"/>
        <v>222</v>
      </c>
      <c r="AR70" s="39">
        <f t="shared" ref="AR70" si="798">AR71+AR72</f>
        <v>132</v>
      </c>
      <c r="AS70" s="39">
        <f t="shared" si="794"/>
        <v>495</v>
      </c>
      <c r="AT70" s="39">
        <f t="shared" ref="AT70" si="799">AT71+AT72</f>
        <v>377</v>
      </c>
      <c r="AU70" s="39">
        <f t="shared" si="794"/>
        <v>327</v>
      </c>
      <c r="AV70" s="39">
        <f t="shared" ref="AV70:AW70" si="800">AV71+AV72</f>
        <v>320</v>
      </c>
      <c r="AW70" s="39">
        <f t="shared" si="800"/>
        <v>218</v>
      </c>
      <c r="AX70" s="39">
        <f t="shared" si="794"/>
        <v>125</v>
      </c>
      <c r="AY70" s="39">
        <f t="shared" ref="AY70:AZ70" si="801">AY71+AY72</f>
        <v>89</v>
      </c>
      <c r="AZ70" s="39">
        <f t="shared" si="801"/>
        <v>386</v>
      </c>
      <c r="BA70" s="39">
        <f t="shared" si="794"/>
        <v>373</v>
      </c>
      <c r="BB70" s="39">
        <f t="shared" ref="BB70:BC70" si="802">BB71+BB72</f>
        <v>255</v>
      </c>
      <c r="BC70" s="39">
        <f t="shared" si="802"/>
        <v>245</v>
      </c>
      <c r="BD70" s="39">
        <f t="shared" si="794"/>
        <v>149</v>
      </c>
      <c r="BE70" s="39">
        <f t="shared" ref="BE70" si="803">BE71+BE72</f>
        <v>145</v>
      </c>
      <c r="BF70" s="39">
        <f t="shared" si="794"/>
        <v>290</v>
      </c>
      <c r="BG70" s="39">
        <f t="shared" ref="BG70" si="804">BG71+BG72</f>
        <v>265</v>
      </c>
      <c r="BH70" s="39">
        <f t="shared" si="794"/>
        <v>235</v>
      </c>
      <c r="BI70" s="39">
        <f t="shared" ref="BI70" si="805">BI71+BI72</f>
        <v>217</v>
      </c>
      <c r="BJ70" s="39">
        <f t="shared" si="794"/>
        <v>190</v>
      </c>
      <c r="BK70" s="39">
        <f t="shared" ref="BK70" si="806">BK71+BK72</f>
        <v>135</v>
      </c>
      <c r="BL70" s="39">
        <f t="shared" si="794"/>
        <v>105</v>
      </c>
      <c r="BM70" s="39">
        <f t="shared" ref="BM70:BN70" si="807">BM71+BM72</f>
        <v>223</v>
      </c>
      <c r="BN70" s="39">
        <f t="shared" si="807"/>
        <v>280</v>
      </c>
      <c r="BO70" s="39">
        <f t="shared" si="794"/>
        <v>251</v>
      </c>
      <c r="BP70" s="39">
        <f t="shared" ref="BP70" si="808">BP71+BP72</f>
        <v>251</v>
      </c>
      <c r="BQ70" s="39">
        <f t="shared" si="794"/>
        <v>250</v>
      </c>
      <c r="BR70" s="39">
        <f t="shared" ref="BR70" si="809">BR71+BR72</f>
        <v>151</v>
      </c>
      <c r="BS70" s="39">
        <f t="shared" si="794"/>
        <v>75</v>
      </c>
      <c r="BT70" s="39">
        <f t="shared" si="794"/>
        <v>210</v>
      </c>
      <c r="BU70" s="39">
        <f t="shared" ref="BU70:BV70" si="810">BU71+BU72</f>
        <v>224</v>
      </c>
      <c r="BV70" s="39">
        <f t="shared" si="810"/>
        <v>161</v>
      </c>
      <c r="BW70" s="39">
        <f t="shared" si="794"/>
        <v>174</v>
      </c>
      <c r="BX70" s="39">
        <f t="shared" si="794"/>
        <v>151</v>
      </c>
      <c r="BY70" s="39">
        <f t="shared" ref="BY70:BZ70" si="811">BY71+BY72</f>
        <v>129</v>
      </c>
      <c r="BZ70" s="39">
        <f t="shared" si="811"/>
        <v>62</v>
      </c>
      <c r="CA70" s="39">
        <f t="shared" si="794"/>
        <v>322</v>
      </c>
      <c r="CB70" s="39">
        <f t="shared" si="794"/>
        <v>198</v>
      </c>
      <c r="CC70" s="39">
        <f t="shared" ref="CC70" si="812">CC71+CC72</f>
        <v>154</v>
      </c>
      <c r="CD70" s="39">
        <f t="shared" si="794"/>
        <v>166</v>
      </c>
      <c r="CE70" s="39">
        <f t="shared" ref="CE70:CF70" si="813">CE71+CE72</f>
        <v>139</v>
      </c>
      <c r="CF70" s="39">
        <f t="shared" si="813"/>
        <v>110</v>
      </c>
      <c r="CG70" s="39">
        <f t="shared" si="794"/>
        <v>66</v>
      </c>
      <c r="CH70" s="39">
        <f t="shared" ref="CH70:CI70" si="814">CH71+CH72</f>
        <v>134</v>
      </c>
      <c r="CI70" s="39">
        <f t="shared" si="814"/>
        <v>185</v>
      </c>
      <c r="CJ70" s="39">
        <f t="shared" si="794"/>
        <v>163</v>
      </c>
      <c r="CK70" s="39">
        <f t="shared" ref="CK70:CM70" si="815">CK71+CK72</f>
        <v>149</v>
      </c>
      <c r="CL70" s="39">
        <f t="shared" ref="CL70" si="816">CL71+CL72</f>
        <v>122</v>
      </c>
      <c r="CM70" s="39">
        <f t="shared" si="815"/>
        <v>105</v>
      </c>
      <c r="CN70" s="39">
        <f t="shared" si="792"/>
        <v>59</v>
      </c>
      <c r="CO70" s="39">
        <f t="shared" ref="CO70:EZ70" si="817">CO71+CO72</f>
        <v>181</v>
      </c>
      <c r="CP70" s="39">
        <f t="shared" ref="CP70:DZ70" si="818">CP71+CP72</f>
        <v>185</v>
      </c>
      <c r="CQ70" s="39">
        <f t="shared" si="818"/>
        <v>114</v>
      </c>
      <c r="CR70" s="39">
        <f t="shared" ref="CR70" si="819">CR71+CR72</f>
        <v>182</v>
      </c>
      <c r="CS70" s="39">
        <f t="shared" si="818"/>
        <v>144</v>
      </c>
      <c r="CT70" s="39">
        <f t="shared" ref="CT70" si="820">CT71+CT72</f>
        <v>105</v>
      </c>
      <c r="CU70" s="39">
        <f t="shared" si="818"/>
        <v>86</v>
      </c>
      <c r="CV70" s="39">
        <f t="shared" ref="CV70" si="821">CV71+CV72</f>
        <v>202</v>
      </c>
      <c r="CW70" s="39">
        <f t="shared" si="818"/>
        <v>230</v>
      </c>
      <c r="CX70" s="39">
        <f t="shared" ref="CX70" si="822">CX71+CX72</f>
        <v>257</v>
      </c>
      <c r="CY70" s="39">
        <f t="shared" si="818"/>
        <v>174</v>
      </c>
      <c r="CZ70" s="39">
        <f t="shared" ref="CZ70:DA70" si="823">CZ71+CZ72</f>
        <v>122</v>
      </c>
      <c r="DA70" s="39">
        <f t="shared" si="823"/>
        <v>88</v>
      </c>
      <c r="DB70" s="39">
        <f t="shared" si="818"/>
        <v>74</v>
      </c>
      <c r="DC70" s="39">
        <f t="shared" ref="DC70" si="824">DC71+DC72</f>
        <v>141</v>
      </c>
      <c r="DD70" s="39">
        <f t="shared" si="818"/>
        <v>176</v>
      </c>
      <c r="DE70" s="39">
        <f t="shared" si="818"/>
        <v>150</v>
      </c>
      <c r="DF70" s="39">
        <f t="shared" si="818"/>
        <v>135</v>
      </c>
      <c r="DG70" s="39">
        <f t="shared" si="818"/>
        <v>135</v>
      </c>
      <c r="DH70" s="39">
        <f t="shared" ref="DH70:DI70" si="825">DH71+DH72</f>
        <v>101</v>
      </c>
      <c r="DI70" s="39">
        <f t="shared" si="825"/>
        <v>77</v>
      </c>
      <c r="DJ70" s="39">
        <f t="shared" si="818"/>
        <v>187</v>
      </c>
      <c r="DK70" s="39">
        <f t="shared" si="818"/>
        <v>117</v>
      </c>
      <c r="DL70" s="39">
        <f t="shared" ref="DL70:DQ70" si="826">DL71+DL72</f>
        <v>172</v>
      </c>
      <c r="DM70" s="39">
        <f t="shared" si="826"/>
        <v>173</v>
      </c>
      <c r="DN70" s="39">
        <f t="shared" ref="DN70:DP70" si="827">DN71+DN72</f>
        <v>109</v>
      </c>
      <c r="DO70" s="39">
        <f t="shared" ref="DO70" si="828">DO71+DO72</f>
        <v>110</v>
      </c>
      <c r="DP70" s="39">
        <f t="shared" si="827"/>
        <v>50</v>
      </c>
      <c r="DQ70" s="39">
        <f t="shared" si="826"/>
        <v>191</v>
      </c>
      <c r="DR70" s="39">
        <f t="shared" si="818"/>
        <v>159</v>
      </c>
      <c r="DS70" s="39">
        <f t="shared" ref="DS70" si="829">DS71+DS72</f>
        <v>186</v>
      </c>
      <c r="DT70" s="39">
        <f t="shared" si="818"/>
        <v>146</v>
      </c>
      <c r="DU70" s="39">
        <f t="shared" ref="DU70:DV70" si="830">DU71+DU72</f>
        <v>149</v>
      </c>
      <c r="DV70" s="39">
        <f t="shared" si="830"/>
        <v>126</v>
      </c>
      <c r="DW70" s="39">
        <f t="shared" si="818"/>
        <v>85</v>
      </c>
      <c r="DX70" s="39">
        <f t="shared" ref="DX70:DY70" si="831">DX71+DX72</f>
        <v>73</v>
      </c>
      <c r="DY70" s="39">
        <f t="shared" si="831"/>
        <v>212</v>
      </c>
      <c r="DZ70" s="39">
        <f t="shared" si="818"/>
        <v>193</v>
      </c>
      <c r="EA70" s="39">
        <f t="shared" si="817"/>
        <v>184</v>
      </c>
      <c r="EB70" s="39">
        <f t="shared" si="817"/>
        <v>167</v>
      </c>
      <c r="EC70" s="39">
        <f t="shared" ref="EC70:ED70" si="832">EC71+EC72</f>
        <v>101</v>
      </c>
      <c r="ED70" s="39">
        <f t="shared" si="832"/>
        <v>91</v>
      </c>
      <c r="EE70" s="39">
        <f t="shared" si="817"/>
        <v>187</v>
      </c>
      <c r="EF70" s="39">
        <f t="shared" ref="EF70" si="833">EF71+EF72</f>
        <v>153</v>
      </c>
      <c r="EG70" s="39">
        <f t="shared" si="817"/>
        <v>158</v>
      </c>
      <c r="EH70" s="39">
        <f t="shared" ref="EH70:EI70" si="834">EH71+EH72</f>
        <v>107</v>
      </c>
      <c r="EI70" s="39">
        <f t="shared" si="834"/>
        <v>92</v>
      </c>
      <c r="EJ70" s="39">
        <f t="shared" si="817"/>
        <v>77</v>
      </c>
      <c r="EK70" s="39">
        <f t="shared" ref="EK70:EL70" si="835">EK71+EK72</f>
        <v>70</v>
      </c>
      <c r="EL70" s="39">
        <f t="shared" si="835"/>
        <v>219</v>
      </c>
      <c r="EM70" s="39">
        <f t="shared" si="817"/>
        <v>130</v>
      </c>
      <c r="EN70" s="39">
        <f t="shared" si="817"/>
        <v>191</v>
      </c>
      <c r="EO70" s="39">
        <f t="shared" si="817"/>
        <v>205</v>
      </c>
      <c r="EP70" s="39">
        <f t="shared" ref="EP70" si="836">EP71+EP72</f>
        <v>199</v>
      </c>
      <c r="EQ70" s="39">
        <f t="shared" ref="EQ70:ER70" si="837">EQ71+EQ72</f>
        <v>139</v>
      </c>
      <c r="ER70" s="39">
        <f t="shared" si="837"/>
        <v>94</v>
      </c>
      <c r="ES70" s="39">
        <f t="shared" si="817"/>
        <v>222</v>
      </c>
      <c r="ET70" s="39">
        <f t="shared" ref="ET70:EW70" si="838">ET71+ET72</f>
        <v>195</v>
      </c>
      <c r="EU70" s="39">
        <f t="shared" ref="EU70:EV70" si="839">EU71+EU72</f>
        <v>227</v>
      </c>
      <c r="EV70" s="39">
        <f t="shared" si="839"/>
        <v>211</v>
      </c>
      <c r="EW70" s="39">
        <f t="shared" si="838"/>
        <v>198</v>
      </c>
      <c r="EX70" s="39">
        <f t="shared" si="817"/>
        <v>140</v>
      </c>
      <c r="EY70" s="39">
        <f t="shared" si="817"/>
        <v>120</v>
      </c>
      <c r="EZ70" s="39">
        <f t="shared" si="817"/>
        <v>223</v>
      </c>
      <c r="FA70" s="39">
        <f t="shared" ref="FA70:GS70" si="840">FA71+FA72</f>
        <v>216</v>
      </c>
      <c r="FB70" s="39">
        <f t="shared" ref="FB70:FD70" si="841">FB71+FB72</f>
        <v>253</v>
      </c>
      <c r="FC70" s="39">
        <f t="shared" si="841"/>
        <v>224</v>
      </c>
      <c r="FD70" s="39">
        <f t="shared" si="841"/>
        <v>205</v>
      </c>
      <c r="FE70" s="39">
        <f t="shared" si="840"/>
        <v>138</v>
      </c>
      <c r="FF70" s="39">
        <f t="shared" si="840"/>
        <v>118</v>
      </c>
      <c r="FG70" s="39">
        <f t="shared" si="840"/>
        <v>254</v>
      </c>
      <c r="FH70" s="39">
        <f t="shared" si="840"/>
        <v>207</v>
      </c>
      <c r="FI70" s="39">
        <f t="shared" si="840"/>
        <v>195</v>
      </c>
      <c r="FJ70" s="39">
        <f t="shared" ref="FJ70:FK70" si="842">FJ71+FJ72</f>
        <v>205</v>
      </c>
      <c r="FK70" s="39">
        <f t="shared" si="842"/>
        <v>165</v>
      </c>
      <c r="FL70" s="39">
        <f t="shared" ref="FL70" si="843">FL71+FL72</f>
        <v>117</v>
      </c>
      <c r="FM70" s="39">
        <f t="shared" si="840"/>
        <v>92</v>
      </c>
      <c r="FN70" s="39">
        <f t="shared" si="840"/>
        <v>257</v>
      </c>
      <c r="FO70" s="39">
        <f t="shared" ref="FO70:FS70" si="844">FO71+FO72</f>
        <v>207</v>
      </c>
      <c r="FP70" s="39">
        <f t="shared" si="844"/>
        <v>109</v>
      </c>
      <c r="FQ70" s="39">
        <f t="shared" ref="FQ70:FR70" si="845">FQ71+FQ72</f>
        <v>293</v>
      </c>
      <c r="FR70" s="39">
        <f t="shared" si="845"/>
        <v>231</v>
      </c>
      <c r="FS70" s="39">
        <f t="shared" si="844"/>
        <v>160</v>
      </c>
      <c r="FT70" s="39">
        <f t="shared" si="840"/>
        <v>118</v>
      </c>
      <c r="FU70" s="39">
        <f t="shared" ref="FU70" si="846">FU71+FU72</f>
        <v>251</v>
      </c>
      <c r="FV70" s="39">
        <f t="shared" si="840"/>
        <v>222</v>
      </c>
      <c r="FW70" s="39">
        <f t="shared" ref="FW70:GA70" si="847">FW71+FW72</f>
        <v>235</v>
      </c>
      <c r="FX70" s="39">
        <f t="shared" si="847"/>
        <v>221</v>
      </c>
      <c r="FY70" s="39">
        <f t="shared" ref="FY70:FZ70" si="848">FY71+FY72</f>
        <v>168</v>
      </c>
      <c r="FZ70" s="39">
        <f t="shared" si="848"/>
        <v>145</v>
      </c>
      <c r="GA70" s="39">
        <f t="shared" si="847"/>
        <v>114</v>
      </c>
      <c r="GB70" s="39">
        <f t="shared" si="840"/>
        <v>281</v>
      </c>
      <c r="GC70" s="39">
        <f t="shared" ref="GC70:GJ70" si="849">GC71+GC72</f>
        <v>285</v>
      </c>
      <c r="GD70" s="39">
        <f t="shared" si="849"/>
        <v>433</v>
      </c>
      <c r="GE70" s="39">
        <f t="shared" si="849"/>
        <v>456</v>
      </c>
      <c r="GF70" s="39">
        <f t="shared" si="849"/>
        <v>479</v>
      </c>
      <c r="GG70" s="39">
        <f t="shared" si="849"/>
        <v>414</v>
      </c>
      <c r="GH70" s="39">
        <f t="shared" ref="GH70:GI70" si="850">GH71+GH72</f>
        <v>254</v>
      </c>
      <c r="GI70" s="39">
        <f t="shared" si="850"/>
        <v>543</v>
      </c>
      <c r="GJ70" s="39">
        <f t="shared" si="849"/>
        <v>616</v>
      </c>
      <c r="GK70" s="39">
        <f t="shared" si="840"/>
        <v>753</v>
      </c>
      <c r="GL70" s="39">
        <f t="shared" ref="GL70" si="851">GL71+GL72</f>
        <v>874</v>
      </c>
      <c r="GM70" s="39">
        <f t="shared" si="840"/>
        <v>697</v>
      </c>
      <c r="GN70" s="39">
        <f t="shared" ref="GN70:GR70" si="852">GN71+GN72</f>
        <v>439</v>
      </c>
      <c r="GO70" s="39">
        <f t="shared" si="852"/>
        <v>273</v>
      </c>
      <c r="GP70" s="39">
        <f t="shared" ref="GP70:GQ70" si="853">GP71+GP72</f>
        <v>0</v>
      </c>
      <c r="GQ70" s="39">
        <f t="shared" si="853"/>
        <v>0</v>
      </c>
      <c r="GR70" s="39">
        <f t="shared" si="852"/>
        <v>0</v>
      </c>
      <c r="GS70" s="39">
        <f t="shared" si="840"/>
        <v>0</v>
      </c>
      <c r="GT70" s="39">
        <f t="shared" si="791"/>
        <v>0</v>
      </c>
      <c r="GU70" s="78"/>
      <c r="GV70" s="78"/>
      <c r="GW70" s="78"/>
      <c r="GX70" s="70">
        <f>SUM(DG70:EK70)</f>
        <v>4138</v>
      </c>
    </row>
    <row r="71" spans="2:206" ht="14.4" customHeight="1" outlineLevel="1" x14ac:dyDescent="0.3">
      <c r="B71" s="75"/>
      <c r="E71" s="40" t="s">
        <v>21</v>
      </c>
      <c r="F71" s="22">
        <v>298</v>
      </c>
      <c r="G71" s="22">
        <v>231</v>
      </c>
      <c r="H71" s="22">
        <v>266</v>
      </c>
      <c r="I71" s="22">
        <v>364</v>
      </c>
      <c r="J71" s="22">
        <v>526</v>
      </c>
      <c r="K71" s="22">
        <v>630</v>
      </c>
      <c r="L71" s="22">
        <v>698</v>
      </c>
      <c r="M71" s="22">
        <v>655</v>
      </c>
      <c r="N71" s="22">
        <v>519</v>
      </c>
      <c r="O71" s="22">
        <v>369</v>
      </c>
      <c r="P71" s="22">
        <v>792</v>
      </c>
      <c r="Q71" s="22">
        <v>439</v>
      </c>
      <c r="R71" s="22">
        <v>634</v>
      </c>
      <c r="S71" s="22">
        <v>340</v>
      </c>
      <c r="T71" s="22">
        <v>478</v>
      </c>
      <c r="U71" s="22">
        <v>299</v>
      </c>
      <c r="V71" s="22">
        <v>179</v>
      </c>
      <c r="W71" s="22">
        <v>280</v>
      </c>
      <c r="X71" s="22">
        <v>275</v>
      </c>
      <c r="Y71" s="22">
        <v>325</v>
      </c>
      <c r="Z71" s="22">
        <v>325</v>
      </c>
      <c r="AA71" s="22">
        <v>238</v>
      </c>
      <c r="AB71" s="22">
        <v>181</v>
      </c>
      <c r="AC71" s="22">
        <v>154</v>
      </c>
      <c r="AD71" s="22">
        <v>301</v>
      </c>
      <c r="AE71" s="22">
        <v>291</v>
      </c>
      <c r="AF71" s="22">
        <v>293</v>
      </c>
      <c r="AG71" s="22">
        <v>233</v>
      </c>
      <c r="AH71" s="22">
        <v>226</v>
      </c>
      <c r="AI71" s="22">
        <v>227</v>
      </c>
      <c r="AJ71" s="22">
        <v>187</v>
      </c>
      <c r="AK71" s="22">
        <v>439</v>
      </c>
      <c r="AL71" s="22">
        <v>335</v>
      </c>
      <c r="AM71" s="22">
        <v>347</v>
      </c>
      <c r="AN71" s="22">
        <v>456</v>
      </c>
      <c r="AO71" s="22">
        <v>403</v>
      </c>
      <c r="AP71" s="22">
        <v>256</v>
      </c>
      <c r="AQ71" s="22">
        <v>141</v>
      </c>
      <c r="AR71" s="22">
        <v>132</v>
      </c>
      <c r="AS71" s="22">
        <v>342</v>
      </c>
      <c r="AT71" s="22">
        <v>238</v>
      </c>
      <c r="AU71" s="22">
        <v>227</v>
      </c>
      <c r="AV71" s="22">
        <v>207</v>
      </c>
      <c r="AW71" s="22">
        <v>155</v>
      </c>
      <c r="AX71" s="22">
        <v>78</v>
      </c>
      <c r="AY71" s="22">
        <v>89</v>
      </c>
      <c r="AZ71" s="22">
        <v>253</v>
      </c>
      <c r="BA71" s="22">
        <v>222</v>
      </c>
      <c r="BB71" s="22">
        <v>147</v>
      </c>
      <c r="BC71" s="22">
        <v>149</v>
      </c>
      <c r="BD71" s="22">
        <v>92</v>
      </c>
      <c r="BE71" s="22">
        <v>96</v>
      </c>
      <c r="BF71" s="22">
        <v>161</v>
      </c>
      <c r="BG71" s="22">
        <v>169</v>
      </c>
      <c r="BH71" s="22">
        <v>149</v>
      </c>
      <c r="BI71" s="22">
        <v>133</v>
      </c>
      <c r="BJ71" s="22">
        <v>110</v>
      </c>
      <c r="BK71" s="22">
        <v>84</v>
      </c>
      <c r="BL71" s="22">
        <v>83</v>
      </c>
      <c r="BM71" s="22">
        <v>128</v>
      </c>
      <c r="BN71" s="22">
        <v>140</v>
      </c>
      <c r="BO71" s="22">
        <v>137</v>
      </c>
      <c r="BP71" s="22">
        <v>142</v>
      </c>
      <c r="BQ71" s="22">
        <v>113</v>
      </c>
      <c r="BR71" s="22">
        <v>87</v>
      </c>
      <c r="BS71" s="22">
        <v>51</v>
      </c>
      <c r="BT71" s="22">
        <v>115</v>
      </c>
      <c r="BU71" s="22">
        <v>123</v>
      </c>
      <c r="BV71" s="22">
        <v>94</v>
      </c>
      <c r="BW71" s="22">
        <v>101</v>
      </c>
      <c r="BX71" s="22">
        <v>89</v>
      </c>
      <c r="BY71" s="22">
        <v>77</v>
      </c>
      <c r="BZ71" s="22">
        <v>51</v>
      </c>
      <c r="CA71" s="22">
        <v>106</v>
      </c>
      <c r="CB71" s="22">
        <v>118</v>
      </c>
      <c r="CC71" s="22">
        <v>102</v>
      </c>
      <c r="CD71" s="22">
        <v>113</v>
      </c>
      <c r="CE71" s="22">
        <v>72</v>
      </c>
      <c r="CF71" s="22">
        <v>67</v>
      </c>
      <c r="CG71" s="22">
        <v>53</v>
      </c>
      <c r="CH71" s="22">
        <v>67</v>
      </c>
      <c r="CI71" s="22">
        <v>104</v>
      </c>
      <c r="CJ71" s="22">
        <v>103</v>
      </c>
      <c r="CK71" s="22">
        <v>107</v>
      </c>
      <c r="CL71" s="22">
        <v>71</v>
      </c>
      <c r="CM71" s="22">
        <v>64</v>
      </c>
      <c r="CN71" s="22">
        <v>44</v>
      </c>
      <c r="CO71" s="22">
        <v>108</v>
      </c>
      <c r="CP71" s="22">
        <v>109</v>
      </c>
      <c r="CQ71" s="22">
        <v>62</v>
      </c>
      <c r="CR71" s="22">
        <v>114</v>
      </c>
      <c r="CS71" s="22">
        <v>88</v>
      </c>
      <c r="CT71" s="22">
        <v>56</v>
      </c>
      <c r="CU71" s="22">
        <v>50</v>
      </c>
      <c r="CV71" s="22">
        <v>142</v>
      </c>
      <c r="CW71" s="22">
        <v>153</v>
      </c>
      <c r="CX71" s="22">
        <v>168</v>
      </c>
      <c r="CY71" s="22">
        <v>108</v>
      </c>
      <c r="CZ71" s="22">
        <v>71</v>
      </c>
      <c r="DA71" s="22">
        <v>54</v>
      </c>
      <c r="DB71" s="22">
        <v>51</v>
      </c>
      <c r="DC71" s="22">
        <v>81</v>
      </c>
      <c r="DD71" s="22">
        <v>115</v>
      </c>
      <c r="DE71" s="22">
        <v>103</v>
      </c>
      <c r="DF71" s="22">
        <v>78</v>
      </c>
      <c r="DG71" s="22">
        <v>89</v>
      </c>
      <c r="DH71" s="22">
        <v>65</v>
      </c>
      <c r="DI71" s="22">
        <v>49</v>
      </c>
      <c r="DJ71" s="22">
        <v>113</v>
      </c>
      <c r="DK71" s="22">
        <v>80</v>
      </c>
      <c r="DL71" s="22">
        <v>109</v>
      </c>
      <c r="DM71" s="22">
        <v>108</v>
      </c>
      <c r="DN71" s="22">
        <v>69</v>
      </c>
      <c r="DO71" s="22">
        <v>60</v>
      </c>
      <c r="DP71" s="22">
        <v>45</v>
      </c>
      <c r="DQ71" s="22">
        <v>126</v>
      </c>
      <c r="DR71" s="22">
        <v>105</v>
      </c>
      <c r="DS71" s="22">
        <v>118</v>
      </c>
      <c r="DT71" s="22">
        <v>89</v>
      </c>
      <c r="DU71" s="22">
        <v>90</v>
      </c>
      <c r="DV71" s="22">
        <v>67</v>
      </c>
      <c r="DW71" s="22">
        <v>58</v>
      </c>
      <c r="DX71" s="22">
        <v>73</v>
      </c>
      <c r="DY71" s="22">
        <v>135</v>
      </c>
      <c r="DZ71" s="22">
        <v>121</v>
      </c>
      <c r="EA71" s="22">
        <v>123</v>
      </c>
      <c r="EB71" s="22">
        <v>106</v>
      </c>
      <c r="EC71" s="22">
        <v>73</v>
      </c>
      <c r="ED71" s="22">
        <v>60</v>
      </c>
      <c r="EE71" s="22">
        <v>129</v>
      </c>
      <c r="EF71" s="22">
        <v>102</v>
      </c>
      <c r="EG71" s="22">
        <f>100+1</f>
        <v>101</v>
      </c>
      <c r="EH71" s="22">
        <v>75</v>
      </c>
      <c r="EI71" s="22">
        <v>62</v>
      </c>
      <c r="EJ71" s="22">
        <v>56</v>
      </c>
      <c r="EK71" s="22">
        <v>49</v>
      </c>
      <c r="EL71" s="22">
        <v>141</v>
      </c>
      <c r="EM71" s="22">
        <v>65</v>
      </c>
      <c r="EN71" s="22">
        <v>125</v>
      </c>
      <c r="EO71" s="22">
        <v>130</v>
      </c>
      <c r="EP71" s="22">
        <v>130</v>
      </c>
      <c r="EQ71" s="22">
        <v>91</v>
      </c>
      <c r="ER71" s="22">
        <v>69</v>
      </c>
      <c r="ES71" s="22">
        <v>157</v>
      </c>
      <c r="ET71" s="22">
        <v>124</v>
      </c>
      <c r="EU71" s="22">
        <v>146</v>
      </c>
      <c r="EV71" s="22">
        <v>136</v>
      </c>
      <c r="EW71" s="22">
        <v>128</v>
      </c>
      <c r="EX71" s="22">
        <v>85</v>
      </c>
      <c r="EY71" s="22">
        <v>81</v>
      </c>
      <c r="EZ71" s="22">
        <v>150</v>
      </c>
      <c r="FA71" s="22">
        <v>147</v>
      </c>
      <c r="FB71" s="22">
        <v>165</v>
      </c>
      <c r="FC71" s="22">
        <v>139</v>
      </c>
      <c r="FD71" s="22">
        <v>122</v>
      </c>
      <c r="FE71" s="22">
        <v>84</v>
      </c>
      <c r="FF71" s="22">
        <v>80</v>
      </c>
      <c r="FG71" s="22">
        <v>166</v>
      </c>
      <c r="FH71" s="22">
        <v>144</v>
      </c>
      <c r="FI71" s="22">
        <v>127</v>
      </c>
      <c r="FJ71" s="22">
        <v>114</v>
      </c>
      <c r="FK71" s="22">
        <v>101</v>
      </c>
      <c r="FL71" s="22">
        <v>70</v>
      </c>
      <c r="FM71" s="22">
        <v>45</v>
      </c>
      <c r="FN71" s="22">
        <v>153</v>
      </c>
      <c r="FO71" s="22">
        <v>133</v>
      </c>
      <c r="FP71" s="22">
        <v>109</v>
      </c>
      <c r="FQ71" s="22">
        <v>157</v>
      </c>
      <c r="FR71" s="22">
        <v>152</v>
      </c>
      <c r="FS71" s="22">
        <v>95</v>
      </c>
      <c r="FT71" s="22">
        <v>76</v>
      </c>
      <c r="FU71" s="22">
        <v>144</v>
      </c>
      <c r="FV71" s="22">
        <v>151</v>
      </c>
      <c r="FW71" s="22">
        <v>143</v>
      </c>
      <c r="FX71" s="22">
        <v>122</v>
      </c>
      <c r="FY71" s="22">
        <v>100</v>
      </c>
      <c r="FZ71" s="22">
        <v>96</v>
      </c>
      <c r="GA71" s="22">
        <v>76</v>
      </c>
      <c r="GB71" s="22">
        <v>156</v>
      </c>
      <c r="GC71" s="22">
        <v>191</v>
      </c>
      <c r="GD71" s="22">
        <v>304</v>
      </c>
      <c r="GE71" s="22">
        <v>304</v>
      </c>
      <c r="GF71" s="22">
        <v>263</v>
      </c>
      <c r="GG71" s="22">
        <v>239</v>
      </c>
      <c r="GH71" s="22">
        <v>174</v>
      </c>
      <c r="GI71" s="22">
        <v>376</v>
      </c>
      <c r="GJ71" s="22">
        <v>412</v>
      </c>
      <c r="GK71" s="22">
        <v>466</v>
      </c>
      <c r="GL71" s="22">
        <v>532</v>
      </c>
      <c r="GM71" s="22">
        <v>421</v>
      </c>
      <c r="GN71" s="22">
        <v>280</v>
      </c>
      <c r="GO71" s="22">
        <v>200</v>
      </c>
      <c r="GP71" s="22"/>
      <c r="GQ71" s="22"/>
      <c r="GR71" s="22"/>
      <c r="GS71" s="22"/>
      <c r="GT71" s="22"/>
      <c r="GX71" s="69">
        <f>SUM(CD71:DF71)</f>
        <v>2576</v>
      </c>
    </row>
    <row r="72" spans="2:206" ht="14.4" customHeight="1" outlineLevel="1" x14ac:dyDescent="0.3">
      <c r="B72" s="75"/>
      <c r="E72" s="41" t="s">
        <v>23</v>
      </c>
      <c r="F72" s="42">
        <v>217</v>
      </c>
      <c r="G72" s="42">
        <v>193</v>
      </c>
      <c r="H72" s="42">
        <v>172</v>
      </c>
      <c r="I72" s="42">
        <v>262</v>
      </c>
      <c r="J72" s="42">
        <v>450</v>
      </c>
      <c r="K72" s="42">
        <v>322</v>
      </c>
      <c r="L72" s="42">
        <v>264</v>
      </c>
      <c r="M72" s="42">
        <v>293</v>
      </c>
      <c r="N72" s="42">
        <v>251</v>
      </c>
      <c r="O72" s="42">
        <v>125</v>
      </c>
      <c r="P72" s="42">
        <v>336</v>
      </c>
      <c r="Q72" s="42">
        <v>434</v>
      </c>
      <c r="R72" s="42">
        <v>348</v>
      </c>
      <c r="S72" s="42">
        <v>408</v>
      </c>
      <c r="T72" s="42">
        <v>255</v>
      </c>
      <c r="U72" s="42">
        <v>156</v>
      </c>
      <c r="V72" s="42">
        <v>77</v>
      </c>
      <c r="W72" s="42">
        <v>220</v>
      </c>
      <c r="X72" s="42">
        <v>205</v>
      </c>
      <c r="Y72" s="42">
        <v>175</v>
      </c>
      <c r="Z72" s="42">
        <v>138</v>
      </c>
      <c r="AA72" s="42">
        <v>127</v>
      </c>
      <c r="AB72" s="42">
        <v>75</v>
      </c>
      <c r="AC72" s="42">
        <v>59</v>
      </c>
      <c r="AD72" s="42">
        <v>172</v>
      </c>
      <c r="AE72" s="42">
        <v>163</v>
      </c>
      <c r="AF72" s="42">
        <v>148</v>
      </c>
      <c r="AG72" s="42">
        <v>133</v>
      </c>
      <c r="AH72" s="42">
        <v>115</v>
      </c>
      <c r="AI72" s="42">
        <v>99</v>
      </c>
      <c r="AJ72" s="42">
        <v>81</v>
      </c>
      <c r="AK72" s="42">
        <v>318</v>
      </c>
      <c r="AL72" s="42">
        <v>206</v>
      </c>
      <c r="AM72" s="42">
        <v>172</v>
      </c>
      <c r="AN72" s="42">
        <v>178</v>
      </c>
      <c r="AO72" s="42">
        <v>210</v>
      </c>
      <c r="AP72" s="42">
        <v>136</v>
      </c>
      <c r="AQ72" s="42">
        <v>81</v>
      </c>
      <c r="AR72" s="42">
        <v>0</v>
      </c>
      <c r="AS72" s="42">
        <v>153</v>
      </c>
      <c r="AT72" s="42">
        <v>139</v>
      </c>
      <c r="AU72" s="42">
        <v>100</v>
      </c>
      <c r="AV72" s="42">
        <v>113</v>
      </c>
      <c r="AW72" s="42">
        <v>63</v>
      </c>
      <c r="AX72" s="42">
        <v>47</v>
      </c>
      <c r="AY72" s="42">
        <v>0</v>
      </c>
      <c r="AZ72" s="42">
        <v>133</v>
      </c>
      <c r="BA72" s="42">
        <v>151</v>
      </c>
      <c r="BB72" s="42">
        <v>108</v>
      </c>
      <c r="BC72" s="42">
        <v>96</v>
      </c>
      <c r="BD72" s="42">
        <v>57</v>
      </c>
      <c r="BE72" s="42">
        <v>49</v>
      </c>
      <c r="BF72" s="42">
        <v>129</v>
      </c>
      <c r="BG72" s="42">
        <v>96</v>
      </c>
      <c r="BH72" s="42">
        <v>86</v>
      </c>
      <c r="BI72" s="42">
        <v>84</v>
      </c>
      <c r="BJ72" s="42">
        <v>80</v>
      </c>
      <c r="BK72" s="42">
        <v>51</v>
      </c>
      <c r="BL72" s="42">
        <v>22</v>
      </c>
      <c r="BM72" s="42">
        <v>95</v>
      </c>
      <c r="BN72" s="42">
        <v>140</v>
      </c>
      <c r="BO72" s="42">
        <v>114</v>
      </c>
      <c r="BP72" s="42">
        <v>109</v>
      </c>
      <c r="BQ72" s="42">
        <v>137</v>
      </c>
      <c r="BR72" s="42">
        <v>64</v>
      </c>
      <c r="BS72" s="42">
        <v>24</v>
      </c>
      <c r="BT72" s="42">
        <v>95</v>
      </c>
      <c r="BU72" s="42">
        <v>101</v>
      </c>
      <c r="BV72" s="42">
        <v>67</v>
      </c>
      <c r="BW72" s="42">
        <v>73</v>
      </c>
      <c r="BX72" s="42">
        <v>62</v>
      </c>
      <c r="BY72" s="42">
        <v>52</v>
      </c>
      <c r="BZ72" s="42">
        <v>11</v>
      </c>
      <c r="CA72" s="42">
        <v>216</v>
      </c>
      <c r="CB72" s="42">
        <v>80</v>
      </c>
      <c r="CC72" s="42">
        <v>52</v>
      </c>
      <c r="CD72" s="42">
        <v>53</v>
      </c>
      <c r="CE72" s="42">
        <v>67</v>
      </c>
      <c r="CF72" s="42">
        <v>43</v>
      </c>
      <c r="CG72" s="42">
        <v>13</v>
      </c>
      <c r="CH72" s="42">
        <v>67</v>
      </c>
      <c r="CI72" s="42">
        <v>81</v>
      </c>
      <c r="CJ72" s="42">
        <v>60</v>
      </c>
      <c r="CK72" s="42">
        <v>42</v>
      </c>
      <c r="CL72" s="42">
        <v>51</v>
      </c>
      <c r="CM72" s="42">
        <v>41</v>
      </c>
      <c r="CN72" s="42">
        <v>15</v>
      </c>
      <c r="CO72" s="42">
        <v>73</v>
      </c>
      <c r="CP72" s="42">
        <v>76</v>
      </c>
      <c r="CQ72" s="42">
        <v>52</v>
      </c>
      <c r="CR72" s="42">
        <v>68</v>
      </c>
      <c r="CS72" s="42">
        <v>56</v>
      </c>
      <c r="CT72" s="42">
        <v>49</v>
      </c>
      <c r="CU72" s="42">
        <v>36</v>
      </c>
      <c r="CV72" s="42">
        <v>60</v>
      </c>
      <c r="CW72" s="42">
        <v>77</v>
      </c>
      <c r="CX72" s="42">
        <v>89</v>
      </c>
      <c r="CY72" s="42">
        <v>66</v>
      </c>
      <c r="CZ72" s="42">
        <v>51</v>
      </c>
      <c r="DA72" s="42">
        <v>34</v>
      </c>
      <c r="DB72" s="42">
        <v>23</v>
      </c>
      <c r="DC72" s="42">
        <v>60</v>
      </c>
      <c r="DD72" s="42">
        <v>61</v>
      </c>
      <c r="DE72" s="42">
        <v>47</v>
      </c>
      <c r="DF72" s="42">
        <v>57</v>
      </c>
      <c r="DG72" s="42">
        <v>46</v>
      </c>
      <c r="DH72" s="42">
        <v>36</v>
      </c>
      <c r="DI72" s="42">
        <v>28</v>
      </c>
      <c r="DJ72" s="42">
        <v>74</v>
      </c>
      <c r="DK72" s="42">
        <v>37</v>
      </c>
      <c r="DL72" s="42">
        <v>63</v>
      </c>
      <c r="DM72" s="42">
        <v>65</v>
      </c>
      <c r="DN72" s="42">
        <v>40</v>
      </c>
      <c r="DO72" s="42">
        <v>50</v>
      </c>
      <c r="DP72" s="42">
        <v>5</v>
      </c>
      <c r="DQ72" s="42">
        <v>65</v>
      </c>
      <c r="DR72" s="42">
        <v>54</v>
      </c>
      <c r="DS72" s="42">
        <v>68</v>
      </c>
      <c r="DT72" s="42">
        <v>57</v>
      </c>
      <c r="DU72" s="42">
        <v>59</v>
      </c>
      <c r="DV72" s="42">
        <v>59</v>
      </c>
      <c r="DW72" s="42">
        <v>27</v>
      </c>
      <c r="DX72" s="42">
        <v>0</v>
      </c>
      <c r="DY72" s="42">
        <v>77</v>
      </c>
      <c r="DZ72" s="42">
        <v>72</v>
      </c>
      <c r="EA72" s="42">
        <v>61</v>
      </c>
      <c r="EB72" s="42">
        <v>61</v>
      </c>
      <c r="EC72" s="42">
        <v>28</v>
      </c>
      <c r="ED72" s="42">
        <v>31</v>
      </c>
      <c r="EE72" s="42">
        <v>58</v>
      </c>
      <c r="EF72" s="42">
        <v>51</v>
      </c>
      <c r="EG72" s="42">
        <v>57</v>
      </c>
      <c r="EH72" s="42">
        <v>32</v>
      </c>
      <c r="EI72" s="42">
        <v>30</v>
      </c>
      <c r="EJ72" s="42">
        <v>21</v>
      </c>
      <c r="EK72" s="42">
        <v>21</v>
      </c>
      <c r="EL72" s="42">
        <v>78</v>
      </c>
      <c r="EM72" s="42">
        <v>65</v>
      </c>
      <c r="EN72" s="42">
        <v>66</v>
      </c>
      <c r="EO72" s="42">
        <v>75</v>
      </c>
      <c r="EP72" s="42">
        <v>69</v>
      </c>
      <c r="EQ72" s="42">
        <v>48</v>
      </c>
      <c r="ER72" s="42">
        <v>25</v>
      </c>
      <c r="ES72" s="42">
        <v>65</v>
      </c>
      <c r="ET72" s="42">
        <v>71</v>
      </c>
      <c r="EU72" s="42">
        <v>81</v>
      </c>
      <c r="EV72" s="42">
        <v>75</v>
      </c>
      <c r="EW72" s="42">
        <v>70</v>
      </c>
      <c r="EX72" s="42">
        <v>55</v>
      </c>
      <c r="EY72" s="42">
        <v>39</v>
      </c>
      <c r="EZ72" s="42">
        <v>73</v>
      </c>
      <c r="FA72" s="42">
        <v>69</v>
      </c>
      <c r="FB72" s="42">
        <v>88</v>
      </c>
      <c r="FC72" s="42">
        <v>85</v>
      </c>
      <c r="FD72" s="42">
        <v>83</v>
      </c>
      <c r="FE72" s="42">
        <v>54</v>
      </c>
      <c r="FF72" s="42">
        <v>38</v>
      </c>
      <c r="FG72" s="42">
        <v>88</v>
      </c>
      <c r="FH72" s="42">
        <v>63</v>
      </c>
      <c r="FI72" s="42">
        <v>68</v>
      </c>
      <c r="FJ72" s="42">
        <v>91</v>
      </c>
      <c r="FK72" s="42">
        <v>64</v>
      </c>
      <c r="FL72" s="42">
        <v>47</v>
      </c>
      <c r="FM72" s="42">
        <v>47</v>
      </c>
      <c r="FN72" s="42">
        <v>104</v>
      </c>
      <c r="FO72" s="42">
        <v>74</v>
      </c>
      <c r="FP72" s="42">
        <v>0</v>
      </c>
      <c r="FQ72" s="42">
        <v>136</v>
      </c>
      <c r="FR72" s="42">
        <v>79</v>
      </c>
      <c r="FS72" s="42">
        <v>65</v>
      </c>
      <c r="FT72" s="42">
        <v>42</v>
      </c>
      <c r="FU72" s="42">
        <v>107</v>
      </c>
      <c r="FV72" s="42">
        <v>71</v>
      </c>
      <c r="FW72" s="42">
        <v>92</v>
      </c>
      <c r="FX72" s="42">
        <v>99</v>
      </c>
      <c r="FY72" s="42">
        <v>68</v>
      </c>
      <c r="FZ72" s="42">
        <v>49</v>
      </c>
      <c r="GA72" s="42">
        <v>38</v>
      </c>
      <c r="GB72" s="42">
        <v>125</v>
      </c>
      <c r="GC72" s="42">
        <v>94</v>
      </c>
      <c r="GD72" s="42">
        <v>129</v>
      </c>
      <c r="GE72" s="42">
        <v>152</v>
      </c>
      <c r="GF72" s="42">
        <v>216</v>
      </c>
      <c r="GG72" s="42">
        <v>175</v>
      </c>
      <c r="GH72" s="42">
        <v>80</v>
      </c>
      <c r="GI72" s="42">
        <v>167</v>
      </c>
      <c r="GJ72" s="42">
        <v>204</v>
      </c>
      <c r="GK72" s="42">
        <v>287</v>
      </c>
      <c r="GL72" s="42">
        <v>342</v>
      </c>
      <c r="GM72" s="42">
        <v>276</v>
      </c>
      <c r="GN72" s="42">
        <v>159</v>
      </c>
      <c r="GO72" s="42">
        <v>73</v>
      </c>
      <c r="GP72" s="42"/>
      <c r="GQ72" s="42"/>
      <c r="GR72" s="42"/>
      <c r="GS72" s="42"/>
      <c r="GT72" s="42"/>
      <c r="GX72" s="69">
        <f>SUM(CD72:DF72)</f>
        <v>1568</v>
      </c>
    </row>
    <row r="73" spans="2:206" x14ac:dyDescent="0.3">
      <c r="B73" s="75"/>
      <c r="F73" s="34"/>
      <c r="G73" s="34"/>
      <c r="H73" s="34"/>
    </row>
    <row r="97" spans="1:207" x14ac:dyDescent="0.3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</row>
    <row r="98" spans="1:207" x14ac:dyDescent="0.3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</row>
    <row r="100" spans="1:207" ht="14.4" customHeight="1" x14ac:dyDescent="0.3">
      <c r="B100" s="75" t="s">
        <v>15</v>
      </c>
    </row>
    <row r="101" spans="1:207" x14ac:dyDescent="0.3">
      <c r="B101" s="75"/>
    </row>
    <row r="102" spans="1:207" x14ac:dyDescent="0.3">
      <c r="B102" s="75"/>
      <c r="F102" s="79" t="s">
        <v>0</v>
      </c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  <c r="DD102" s="80"/>
      <c r="DE102" s="80"/>
      <c r="DF102" s="80"/>
      <c r="DG102" s="80"/>
      <c r="DH102" s="80"/>
      <c r="DI102" s="80"/>
      <c r="DJ102" s="80"/>
      <c r="DK102" s="80"/>
      <c r="DL102" s="80"/>
      <c r="DM102" s="80"/>
      <c r="DN102" s="80"/>
      <c r="DO102" s="80"/>
      <c r="DP102" s="80"/>
      <c r="DQ102" s="80"/>
      <c r="DR102" s="80"/>
      <c r="DS102" s="80"/>
      <c r="DT102" s="80"/>
      <c r="DU102" s="80"/>
      <c r="DV102" s="80"/>
      <c r="DW102" s="80"/>
      <c r="DX102" s="80"/>
      <c r="DY102" s="80"/>
      <c r="DZ102" s="80"/>
      <c r="EA102" s="80"/>
      <c r="EB102" s="80"/>
      <c r="EC102" s="80"/>
      <c r="ED102" s="80"/>
      <c r="EE102" s="80"/>
      <c r="EF102" s="80"/>
      <c r="EG102" s="80"/>
      <c r="EH102" s="80"/>
      <c r="EI102" s="80"/>
      <c r="EJ102" s="80"/>
      <c r="EK102" s="80"/>
      <c r="EL102" s="80"/>
      <c r="EM102" s="80"/>
      <c r="EN102" s="80"/>
      <c r="EO102" s="80"/>
      <c r="EP102" s="80"/>
      <c r="EQ102" s="80"/>
      <c r="ER102" s="80"/>
      <c r="ES102" s="80"/>
      <c r="ET102" s="80"/>
      <c r="EU102" s="80"/>
      <c r="EV102" s="80"/>
      <c r="EW102" s="80"/>
      <c r="EX102" s="80"/>
      <c r="EY102" s="80"/>
      <c r="EZ102" s="80"/>
      <c r="FA102" s="80"/>
      <c r="FB102" s="80"/>
      <c r="FC102" s="80"/>
      <c r="FD102" s="80"/>
      <c r="FE102" s="80"/>
      <c r="FF102" s="80"/>
      <c r="FG102" s="80"/>
      <c r="FH102" s="80"/>
      <c r="FI102" s="80"/>
      <c r="FJ102" s="80"/>
      <c r="FK102" s="80"/>
      <c r="FL102" s="80"/>
      <c r="FM102" s="80"/>
      <c r="FN102" s="80"/>
      <c r="FO102" s="80"/>
      <c r="FP102" s="80"/>
      <c r="FQ102" s="80"/>
      <c r="FR102" s="80"/>
      <c r="FS102" s="80"/>
      <c r="FT102" s="80"/>
      <c r="FU102" s="80"/>
      <c r="FV102" s="80"/>
      <c r="FW102" s="80"/>
      <c r="FX102" s="80"/>
      <c r="FY102" s="80"/>
      <c r="FZ102" s="80"/>
      <c r="GA102" s="80"/>
      <c r="GB102" s="80"/>
      <c r="GC102" s="80"/>
      <c r="GD102" s="80"/>
      <c r="GE102" s="80"/>
      <c r="GF102" s="80"/>
      <c r="GG102" s="80"/>
      <c r="GH102" s="80"/>
      <c r="GI102" s="80"/>
      <c r="GJ102" s="80"/>
      <c r="GK102" s="80"/>
      <c r="GL102" s="80"/>
      <c r="GM102" s="80"/>
      <c r="GN102" s="80"/>
      <c r="GO102" s="80"/>
      <c r="GP102" s="80"/>
      <c r="GQ102" s="80"/>
      <c r="GR102" s="80"/>
      <c r="GS102" s="80"/>
      <c r="GT102" s="81"/>
    </row>
    <row r="103" spans="1:207" x14ac:dyDescent="0.3">
      <c r="B103" s="75"/>
      <c r="E103" s="1"/>
      <c r="F103" s="14">
        <f t="shared" ref="F103:U103" si="854">F104</f>
        <v>45247</v>
      </c>
      <c r="G103" s="14">
        <f t="shared" si="854"/>
        <v>45248</v>
      </c>
      <c r="H103" s="14">
        <f t="shared" si="854"/>
        <v>45249</v>
      </c>
      <c r="I103" s="14">
        <f t="shared" si="854"/>
        <v>45250</v>
      </c>
      <c r="J103" s="14">
        <f t="shared" si="854"/>
        <v>45251</v>
      </c>
      <c r="K103" s="14">
        <f t="shared" si="854"/>
        <v>45252</v>
      </c>
      <c r="L103" s="14">
        <f t="shared" si="854"/>
        <v>45253</v>
      </c>
      <c r="M103" s="14">
        <f t="shared" si="854"/>
        <v>45254</v>
      </c>
      <c r="N103" s="14">
        <f t="shared" si="854"/>
        <v>45255</v>
      </c>
      <c r="O103" s="14">
        <f t="shared" si="854"/>
        <v>45256</v>
      </c>
      <c r="P103" s="14">
        <f t="shared" si="854"/>
        <v>45257</v>
      </c>
      <c r="Q103" s="14">
        <f t="shared" si="854"/>
        <v>45258</v>
      </c>
      <c r="R103" s="14">
        <f t="shared" si="854"/>
        <v>45259</v>
      </c>
      <c r="S103" s="14">
        <f t="shared" si="854"/>
        <v>45260</v>
      </c>
      <c r="T103" s="14">
        <f t="shared" si="854"/>
        <v>45261</v>
      </c>
      <c r="U103" s="14">
        <f t="shared" si="854"/>
        <v>45262</v>
      </c>
      <c r="V103" s="14">
        <f t="shared" ref="V103:GT103" si="855">V104</f>
        <v>45263</v>
      </c>
      <c r="W103" s="14">
        <f t="shared" si="855"/>
        <v>45264</v>
      </c>
      <c r="X103" s="14">
        <f t="shared" si="855"/>
        <v>45265</v>
      </c>
      <c r="Y103" s="14">
        <f t="shared" si="855"/>
        <v>45266</v>
      </c>
      <c r="Z103" s="14">
        <f t="shared" si="855"/>
        <v>45267</v>
      </c>
      <c r="AA103" s="14">
        <f t="shared" si="855"/>
        <v>45268</v>
      </c>
      <c r="AB103" s="14">
        <f t="shared" si="855"/>
        <v>45269</v>
      </c>
      <c r="AC103" s="14">
        <f t="shared" si="855"/>
        <v>45270</v>
      </c>
      <c r="AD103" s="14">
        <f t="shared" si="855"/>
        <v>45271</v>
      </c>
      <c r="AE103" s="14">
        <f t="shared" si="855"/>
        <v>45272</v>
      </c>
      <c r="AF103" s="14">
        <f t="shared" si="855"/>
        <v>45273</v>
      </c>
      <c r="AG103" s="14">
        <f t="shared" si="855"/>
        <v>45274</v>
      </c>
      <c r="AH103" s="14">
        <f t="shared" si="855"/>
        <v>45275</v>
      </c>
      <c r="AI103" s="14">
        <f t="shared" si="855"/>
        <v>45276</v>
      </c>
      <c r="AJ103" s="14">
        <f t="shared" si="855"/>
        <v>45277</v>
      </c>
      <c r="AK103" s="14">
        <f t="shared" si="855"/>
        <v>45278</v>
      </c>
      <c r="AL103" s="14">
        <f t="shared" si="855"/>
        <v>45279</v>
      </c>
      <c r="AM103" s="14">
        <f t="shared" si="855"/>
        <v>45280</v>
      </c>
      <c r="AN103" s="14">
        <f t="shared" si="855"/>
        <v>45281</v>
      </c>
      <c r="AO103" s="14">
        <f t="shared" si="855"/>
        <v>45282</v>
      </c>
      <c r="AP103" s="14">
        <f t="shared" si="855"/>
        <v>45283</v>
      </c>
      <c r="AQ103" s="14">
        <f t="shared" si="855"/>
        <v>45284</v>
      </c>
      <c r="AR103" s="14">
        <f t="shared" si="855"/>
        <v>45285</v>
      </c>
      <c r="AS103" s="14">
        <f t="shared" si="855"/>
        <v>45286</v>
      </c>
      <c r="AT103" s="14">
        <f t="shared" si="855"/>
        <v>45287</v>
      </c>
      <c r="AU103" s="14">
        <f t="shared" si="855"/>
        <v>45288</v>
      </c>
      <c r="AV103" s="14">
        <f t="shared" si="855"/>
        <v>45289</v>
      </c>
      <c r="AW103" s="14">
        <f t="shared" si="855"/>
        <v>45290</v>
      </c>
      <c r="AX103" s="14">
        <f t="shared" si="855"/>
        <v>45291</v>
      </c>
      <c r="AY103" s="14">
        <f t="shared" si="855"/>
        <v>45292</v>
      </c>
      <c r="AZ103" s="14">
        <f t="shared" si="855"/>
        <v>45293</v>
      </c>
      <c r="BA103" s="14">
        <f t="shared" si="855"/>
        <v>45294</v>
      </c>
      <c r="BB103" s="14">
        <f t="shared" si="855"/>
        <v>45295</v>
      </c>
      <c r="BC103" s="14">
        <f t="shared" si="855"/>
        <v>45296</v>
      </c>
      <c r="BD103" s="14">
        <f t="shared" si="855"/>
        <v>45297</v>
      </c>
      <c r="BE103" s="14">
        <f t="shared" si="855"/>
        <v>45298</v>
      </c>
      <c r="BF103" s="14">
        <f t="shared" si="855"/>
        <v>45299</v>
      </c>
      <c r="BG103" s="14">
        <f t="shared" si="855"/>
        <v>45300</v>
      </c>
      <c r="BH103" s="14">
        <f t="shared" si="855"/>
        <v>45301</v>
      </c>
      <c r="BI103" s="14">
        <f t="shared" si="855"/>
        <v>45302</v>
      </c>
      <c r="BJ103" s="14">
        <f t="shared" si="855"/>
        <v>45303</v>
      </c>
      <c r="BK103" s="14">
        <f t="shared" si="855"/>
        <v>45304</v>
      </c>
      <c r="BL103" s="14">
        <f t="shared" si="855"/>
        <v>45305</v>
      </c>
      <c r="BM103" s="14">
        <f t="shared" si="855"/>
        <v>45306</v>
      </c>
      <c r="BN103" s="14">
        <f t="shared" si="855"/>
        <v>45307</v>
      </c>
      <c r="BO103" s="14">
        <f t="shared" si="855"/>
        <v>45308</v>
      </c>
      <c r="BP103" s="14">
        <f t="shared" si="855"/>
        <v>45309</v>
      </c>
      <c r="BQ103" s="14">
        <f t="shared" si="855"/>
        <v>45310</v>
      </c>
      <c r="BR103" s="14">
        <f t="shared" si="855"/>
        <v>45311</v>
      </c>
      <c r="BS103" s="14">
        <f t="shared" si="855"/>
        <v>45312</v>
      </c>
      <c r="BT103" s="14">
        <f t="shared" si="855"/>
        <v>45313</v>
      </c>
      <c r="BU103" s="14">
        <f t="shared" si="855"/>
        <v>45314</v>
      </c>
      <c r="BV103" s="14">
        <f t="shared" si="855"/>
        <v>45315</v>
      </c>
      <c r="BW103" s="14">
        <f t="shared" si="855"/>
        <v>45316</v>
      </c>
      <c r="BX103" s="14">
        <f t="shared" si="855"/>
        <v>45317</v>
      </c>
      <c r="BY103" s="14">
        <f t="shared" si="855"/>
        <v>45318</v>
      </c>
      <c r="BZ103" s="14">
        <f t="shared" si="855"/>
        <v>45319</v>
      </c>
      <c r="CA103" s="14">
        <f t="shared" si="855"/>
        <v>45320</v>
      </c>
      <c r="CB103" s="14">
        <f t="shared" si="855"/>
        <v>45321</v>
      </c>
      <c r="CC103" s="14">
        <f t="shared" si="855"/>
        <v>45322</v>
      </c>
      <c r="CD103" s="14">
        <f t="shared" si="855"/>
        <v>45323</v>
      </c>
      <c r="CE103" s="14">
        <f t="shared" si="855"/>
        <v>45324</v>
      </c>
      <c r="CF103" s="14">
        <f t="shared" si="855"/>
        <v>45325</v>
      </c>
      <c r="CG103" s="14">
        <f t="shared" si="855"/>
        <v>45326</v>
      </c>
      <c r="CH103" s="14">
        <f t="shared" si="855"/>
        <v>45327</v>
      </c>
      <c r="CI103" s="14">
        <f t="shared" si="855"/>
        <v>45328</v>
      </c>
      <c r="CJ103" s="14">
        <f t="shared" si="855"/>
        <v>45329</v>
      </c>
      <c r="CK103" s="14">
        <f t="shared" si="855"/>
        <v>45330</v>
      </c>
      <c r="CL103" s="14">
        <f t="shared" si="855"/>
        <v>45331</v>
      </c>
      <c r="CM103" s="14">
        <f t="shared" si="855"/>
        <v>45332</v>
      </c>
      <c r="CN103" s="14">
        <f t="shared" si="855"/>
        <v>45333</v>
      </c>
      <c r="CO103" s="14">
        <f t="shared" si="855"/>
        <v>45334</v>
      </c>
      <c r="CP103" s="14">
        <f t="shared" si="855"/>
        <v>45335</v>
      </c>
      <c r="CQ103" s="14">
        <f t="shared" si="855"/>
        <v>45336</v>
      </c>
      <c r="CR103" s="14">
        <f t="shared" si="855"/>
        <v>45337</v>
      </c>
      <c r="CS103" s="14">
        <f t="shared" si="855"/>
        <v>45338</v>
      </c>
      <c r="CT103" s="14">
        <f t="shared" si="855"/>
        <v>45339</v>
      </c>
      <c r="CU103" s="14">
        <f t="shared" si="855"/>
        <v>45340</v>
      </c>
      <c r="CV103" s="14">
        <f t="shared" si="855"/>
        <v>45341</v>
      </c>
      <c r="CW103" s="14">
        <f t="shared" si="855"/>
        <v>45342</v>
      </c>
      <c r="CX103" s="14">
        <f t="shared" si="855"/>
        <v>45343</v>
      </c>
      <c r="CY103" s="14">
        <f t="shared" si="855"/>
        <v>45344</v>
      </c>
      <c r="CZ103" s="14">
        <f t="shared" si="855"/>
        <v>45345</v>
      </c>
      <c r="DA103" s="14">
        <f t="shared" si="855"/>
        <v>45346</v>
      </c>
      <c r="DB103" s="14">
        <f t="shared" si="855"/>
        <v>45347</v>
      </c>
      <c r="DC103" s="14">
        <f t="shared" si="855"/>
        <v>45348</v>
      </c>
      <c r="DD103" s="14">
        <f t="shared" si="855"/>
        <v>45349</v>
      </c>
      <c r="DE103" s="14">
        <f t="shared" si="855"/>
        <v>45350</v>
      </c>
      <c r="DF103" s="14">
        <f t="shared" si="855"/>
        <v>45351</v>
      </c>
      <c r="DG103" s="14">
        <f t="shared" si="855"/>
        <v>45352</v>
      </c>
      <c r="DH103" s="14">
        <f t="shared" si="855"/>
        <v>45353</v>
      </c>
      <c r="DI103" s="14">
        <f t="shared" si="855"/>
        <v>45354</v>
      </c>
      <c r="DJ103" s="14">
        <f t="shared" si="855"/>
        <v>45355</v>
      </c>
      <c r="DK103" s="14">
        <f t="shared" si="855"/>
        <v>45356</v>
      </c>
      <c r="DL103" s="14">
        <f t="shared" si="855"/>
        <v>45357</v>
      </c>
      <c r="DM103" s="14">
        <f t="shared" si="855"/>
        <v>45358</v>
      </c>
      <c r="DN103" s="14">
        <f t="shared" si="855"/>
        <v>45359</v>
      </c>
      <c r="DO103" s="14">
        <f t="shared" si="855"/>
        <v>45360</v>
      </c>
      <c r="DP103" s="14">
        <f t="shared" si="855"/>
        <v>45361</v>
      </c>
      <c r="DQ103" s="14">
        <f t="shared" si="855"/>
        <v>45362</v>
      </c>
      <c r="DR103" s="14">
        <f t="shared" si="855"/>
        <v>45363</v>
      </c>
      <c r="DS103" s="14">
        <f t="shared" si="855"/>
        <v>45364</v>
      </c>
      <c r="DT103" s="14">
        <f t="shared" si="855"/>
        <v>45365</v>
      </c>
      <c r="DU103" s="14">
        <f t="shared" si="855"/>
        <v>45366</v>
      </c>
      <c r="DV103" s="14">
        <f t="shared" si="855"/>
        <v>45367</v>
      </c>
      <c r="DW103" s="14">
        <f t="shared" si="855"/>
        <v>45368</v>
      </c>
      <c r="DX103" s="14">
        <f t="shared" si="855"/>
        <v>45369</v>
      </c>
      <c r="DY103" s="14">
        <f t="shared" si="855"/>
        <v>45370</v>
      </c>
      <c r="DZ103" s="14">
        <f t="shared" si="855"/>
        <v>45371</v>
      </c>
      <c r="EA103" s="14">
        <f t="shared" si="855"/>
        <v>45372</v>
      </c>
      <c r="EB103" s="14">
        <f t="shared" si="855"/>
        <v>45373</v>
      </c>
      <c r="EC103" s="14">
        <f t="shared" si="855"/>
        <v>45374</v>
      </c>
      <c r="ED103" s="14">
        <f t="shared" si="855"/>
        <v>45375</v>
      </c>
      <c r="EE103" s="14">
        <f t="shared" si="855"/>
        <v>45376</v>
      </c>
      <c r="EF103" s="14">
        <f t="shared" si="855"/>
        <v>45377</v>
      </c>
      <c r="EG103" s="14">
        <f t="shared" si="855"/>
        <v>45378</v>
      </c>
      <c r="EH103" s="14">
        <f t="shared" si="855"/>
        <v>45379</v>
      </c>
      <c r="EI103" s="14">
        <f t="shared" si="855"/>
        <v>45380</v>
      </c>
      <c r="EJ103" s="14">
        <f t="shared" si="855"/>
        <v>45381</v>
      </c>
      <c r="EK103" s="14">
        <f t="shared" si="855"/>
        <v>45382</v>
      </c>
      <c r="EL103" s="14">
        <f t="shared" si="855"/>
        <v>45383</v>
      </c>
      <c r="EM103" s="14">
        <f t="shared" si="855"/>
        <v>45384</v>
      </c>
      <c r="EN103" s="14">
        <f t="shared" si="855"/>
        <v>45385</v>
      </c>
      <c r="EO103" s="14">
        <f t="shared" si="855"/>
        <v>45386</v>
      </c>
      <c r="EP103" s="14">
        <f t="shared" si="855"/>
        <v>45387</v>
      </c>
      <c r="EQ103" s="14">
        <f t="shared" si="855"/>
        <v>45388</v>
      </c>
      <c r="ER103" s="14">
        <f t="shared" si="855"/>
        <v>45389</v>
      </c>
      <c r="ES103" s="14">
        <f t="shared" si="855"/>
        <v>45390</v>
      </c>
      <c r="ET103" s="14">
        <f t="shared" si="855"/>
        <v>45391</v>
      </c>
      <c r="EU103" s="14">
        <f t="shared" si="855"/>
        <v>45392</v>
      </c>
      <c r="EV103" s="14">
        <f t="shared" si="855"/>
        <v>45393</v>
      </c>
      <c r="EW103" s="14">
        <f t="shared" si="855"/>
        <v>45394</v>
      </c>
      <c r="EX103" s="14">
        <f t="shared" si="855"/>
        <v>45395</v>
      </c>
      <c r="EY103" s="14">
        <f t="shared" si="855"/>
        <v>45396</v>
      </c>
      <c r="EZ103" s="14">
        <f t="shared" si="855"/>
        <v>45397</v>
      </c>
      <c r="FA103" s="14">
        <f t="shared" si="855"/>
        <v>45398</v>
      </c>
      <c r="FB103" s="14">
        <f t="shared" si="855"/>
        <v>45399</v>
      </c>
      <c r="FC103" s="14">
        <f t="shared" si="855"/>
        <v>45400</v>
      </c>
      <c r="FD103" s="14">
        <f t="shared" si="855"/>
        <v>45401</v>
      </c>
      <c r="FE103" s="14">
        <f t="shared" si="855"/>
        <v>45402</v>
      </c>
      <c r="FF103" s="14">
        <f t="shared" si="855"/>
        <v>45403</v>
      </c>
      <c r="FG103" s="14">
        <f t="shared" si="855"/>
        <v>45404</v>
      </c>
      <c r="FH103" s="14">
        <f t="shared" si="855"/>
        <v>45405</v>
      </c>
      <c r="FI103" s="14">
        <f t="shared" si="855"/>
        <v>45406</v>
      </c>
      <c r="FJ103" s="14">
        <f t="shared" si="855"/>
        <v>45407</v>
      </c>
      <c r="FK103" s="14">
        <f t="shared" si="855"/>
        <v>45408</v>
      </c>
      <c r="FL103" s="14">
        <f t="shared" si="855"/>
        <v>45409</v>
      </c>
      <c r="FM103" s="14">
        <f t="shared" si="855"/>
        <v>45410</v>
      </c>
      <c r="FN103" s="14">
        <f t="shared" si="855"/>
        <v>45411</v>
      </c>
      <c r="FO103" s="14">
        <f t="shared" si="855"/>
        <v>45412</v>
      </c>
      <c r="FP103" s="14">
        <f t="shared" si="855"/>
        <v>45413</v>
      </c>
      <c r="FQ103" s="14">
        <f t="shared" si="855"/>
        <v>45414</v>
      </c>
      <c r="FR103" s="14">
        <f t="shared" si="855"/>
        <v>45415</v>
      </c>
      <c r="FS103" s="14">
        <f t="shared" si="855"/>
        <v>45416</v>
      </c>
      <c r="FT103" s="14">
        <f t="shared" si="855"/>
        <v>45417</v>
      </c>
      <c r="FU103" s="14">
        <f t="shared" si="855"/>
        <v>45418</v>
      </c>
      <c r="FV103" s="14">
        <f t="shared" si="855"/>
        <v>45419</v>
      </c>
      <c r="FW103" s="14">
        <f t="shared" si="855"/>
        <v>45420</v>
      </c>
      <c r="FX103" s="14">
        <f t="shared" si="855"/>
        <v>45421</v>
      </c>
      <c r="FY103" s="14">
        <f t="shared" si="855"/>
        <v>45422</v>
      </c>
      <c r="FZ103" s="14">
        <f t="shared" si="855"/>
        <v>45423</v>
      </c>
      <c r="GA103" s="14">
        <f t="shared" si="855"/>
        <v>45424</v>
      </c>
      <c r="GB103" s="14">
        <f t="shared" si="855"/>
        <v>45425</v>
      </c>
      <c r="GC103" s="14">
        <f t="shared" si="855"/>
        <v>45426</v>
      </c>
      <c r="GD103" s="14">
        <f t="shared" si="855"/>
        <v>45427</v>
      </c>
      <c r="GE103" s="14">
        <f t="shared" si="855"/>
        <v>45428</v>
      </c>
      <c r="GF103" s="14">
        <f t="shared" si="855"/>
        <v>45429</v>
      </c>
      <c r="GG103" s="14">
        <f t="shared" si="855"/>
        <v>45430</v>
      </c>
      <c r="GH103" s="14">
        <f t="shared" si="855"/>
        <v>45431</v>
      </c>
      <c r="GI103" s="14">
        <f t="shared" si="855"/>
        <v>45432</v>
      </c>
      <c r="GJ103" s="14">
        <f t="shared" si="855"/>
        <v>45433</v>
      </c>
      <c r="GK103" s="14">
        <f t="shared" si="855"/>
        <v>45434</v>
      </c>
      <c r="GL103" s="14">
        <f t="shared" si="855"/>
        <v>45435</v>
      </c>
      <c r="GM103" s="14">
        <f t="shared" si="855"/>
        <v>45436</v>
      </c>
      <c r="GN103" s="14">
        <f t="shared" si="855"/>
        <v>45437</v>
      </c>
      <c r="GO103" s="14">
        <f t="shared" si="855"/>
        <v>45438</v>
      </c>
      <c r="GP103" s="14">
        <f t="shared" si="855"/>
        <v>45439</v>
      </c>
      <c r="GQ103" s="14">
        <f t="shared" si="855"/>
        <v>45440</v>
      </c>
      <c r="GR103" s="14">
        <f t="shared" si="855"/>
        <v>45441</v>
      </c>
      <c r="GS103" s="14">
        <f t="shared" si="855"/>
        <v>45442</v>
      </c>
      <c r="GT103" s="14">
        <f t="shared" si="855"/>
        <v>45443</v>
      </c>
    </row>
    <row r="104" spans="1:207" x14ac:dyDescent="0.3">
      <c r="B104" s="75"/>
      <c r="E104" s="1"/>
      <c r="F104" s="19">
        <v>45247</v>
      </c>
      <c r="G104" s="19">
        <f t="shared" ref="G104" si="856">F104+1</f>
        <v>45248</v>
      </c>
      <c r="H104" s="19">
        <f t="shared" ref="H104" si="857">G104+1</f>
        <v>45249</v>
      </c>
      <c r="I104" s="19">
        <f t="shared" ref="I104" si="858">H104+1</f>
        <v>45250</v>
      </c>
      <c r="J104" s="19">
        <f t="shared" ref="J104" si="859">I104+1</f>
        <v>45251</v>
      </c>
      <c r="K104" s="19">
        <f t="shared" ref="K104" si="860">J104+1</f>
        <v>45252</v>
      </c>
      <c r="L104" s="19">
        <f t="shared" ref="L104" si="861">K104+1</f>
        <v>45253</v>
      </c>
      <c r="M104" s="19">
        <f t="shared" ref="M104" si="862">L104+1</f>
        <v>45254</v>
      </c>
      <c r="N104" s="19">
        <f t="shared" ref="N104" si="863">M104+1</f>
        <v>45255</v>
      </c>
      <c r="O104" s="19">
        <f t="shared" ref="O104" si="864">N104+1</f>
        <v>45256</v>
      </c>
      <c r="P104" s="19">
        <f t="shared" ref="P104" si="865">O104+1</f>
        <v>45257</v>
      </c>
      <c r="Q104" s="19">
        <f t="shared" ref="Q104" si="866">P104+1</f>
        <v>45258</v>
      </c>
      <c r="R104" s="19">
        <f t="shared" ref="R104:S104" si="867">Q104+1</f>
        <v>45259</v>
      </c>
      <c r="S104" s="19">
        <f t="shared" si="867"/>
        <v>45260</v>
      </c>
      <c r="T104" s="19">
        <f t="shared" ref="T104:U104" si="868">S104+1</f>
        <v>45261</v>
      </c>
      <c r="U104" s="19">
        <f t="shared" si="868"/>
        <v>45262</v>
      </c>
      <c r="V104" s="19">
        <f t="shared" ref="V104" si="869">U104+1</f>
        <v>45263</v>
      </c>
      <c r="W104" s="19">
        <f t="shared" ref="W104" si="870">V104+1</f>
        <v>45264</v>
      </c>
      <c r="X104" s="19">
        <f t="shared" ref="X104" si="871">W104+1</f>
        <v>45265</v>
      </c>
      <c r="Y104" s="19">
        <f t="shared" ref="Y104" si="872">X104+1</f>
        <v>45266</v>
      </c>
      <c r="Z104" s="19">
        <f t="shared" ref="Z104" si="873">Y104+1</f>
        <v>45267</v>
      </c>
      <c r="AA104" s="19">
        <f t="shared" ref="AA104" si="874">Z104+1</f>
        <v>45268</v>
      </c>
      <c r="AB104" s="19">
        <f t="shared" ref="AB104" si="875">AA104+1</f>
        <v>45269</v>
      </c>
      <c r="AC104" s="19">
        <f t="shared" ref="AC104:AD104" si="876">AB104+1</f>
        <v>45270</v>
      </c>
      <c r="AD104" s="19">
        <f t="shared" si="876"/>
        <v>45271</v>
      </c>
      <c r="AE104" s="19">
        <f t="shared" ref="AE104" si="877">AD104+1</f>
        <v>45272</v>
      </c>
      <c r="AF104" s="19">
        <f t="shared" ref="AF104:AG104" si="878">AE104+1</f>
        <v>45273</v>
      </c>
      <c r="AG104" s="19">
        <f t="shared" si="878"/>
        <v>45274</v>
      </c>
      <c r="AH104" s="19">
        <f t="shared" ref="AH104:AJ104" si="879">AG104+1</f>
        <v>45275</v>
      </c>
      <c r="AI104" s="19">
        <f t="shared" si="879"/>
        <v>45276</v>
      </c>
      <c r="AJ104" s="19">
        <f t="shared" si="879"/>
        <v>45277</v>
      </c>
      <c r="AK104" s="19">
        <f t="shared" ref="AK104:AL104" si="880">AJ104+1</f>
        <v>45278</v>
      </c>
      <c r="AL104" s="19">
        <f t="shared" si="880"/>
        <v>45279</v>
      </c>
      <c r="AM104" s="19">
        <f t="shared" ref="AM104" si="881">AL104+1</f>
        <v>45280</v>
      </c>
      <c r="AN104" s="19">
        <f t="shared" ref="AN104:AO104" si="882">AM104+1</f>
        <v>45281</v>
      </c>
      <c r="AO104" s="19">
        <f t="shared" si="882"/>
        <v>45282</v>
      </c>
      <c r="AP104" s="19">
        <f t="shared" ref="AP104:AR104" si="883">AO104+1</f>
        <v>45283</v>
      </c>
      <c r="AQ104" s="19">
        <f t="shared" si="883"/>
        <v>45284</v>
      </c>
      <c r="AR104" s="19">
        <f t="shared" si="883"/>
        <v>45285</v>
      </c>
      <c r="AS104" s="19">
        <f t="shared" ref="AS104:AT104" si="884">AR104+1</f>
        <v>45286</v>
      </c>
      <c r="AT104" s="19">
        <f t="shared" si="884"/>
        <v>45287</v>
      </c>
      <c r="AU104" s="19">
        <f t="shared" ref="AU104:AY104" si="885">AT104+1</f>
        <v>45288</v>
      </c>
      <c r="AV104" s="19">
        <f t="shared" si="885"/>
        <v>45289</v>
      </c>
      <c r="AW104" s="19">
        <f t="shared" si="885"/>
        <v>45290</v>
      </c>
      <c r="AX104" s="19">
        <f t="shared" si="885"/>
        <v>45291</v>
      </c>
      <c r="AY104" s="19">
        <f t="shared" si="885"/>
        <v>45292</v>
      </c>
      <c r="AZ104" s="19">
        <f t="shared" ref="AZ104:BA104" si="886">AY104+1</f>
        <v>45293</v>
      </c>
      <c r="BA104" s="19">
        <f t="shared" si="886"/>
        <v>45294</v>
      </c>
      <c r="BB104" s="19">
        <f t="shared" ref="BB104:BC104" si="887">BA104+1</f>
        <v>45295</v>
      </c>
      <c r="BC104" s="19">
        <f t="shared" si="887"/>
        <v>45296</v>
      </c>
      <c r="BD104" s="19">
        <f t="shared" ref="BD104:BE104" si="888">BC104+1</f>
        <v>45297</v>
      </c>
      <c r="BE104" s="19">
        <f t="shared" si="888"/>
        <v>45298</v>
      </c>
      <c r="BF104" s="19">
        <f t="shared" ref="BF104:BI104" si="889">BE104+1</f>
        <v>45299</v>
      </c>
      <c r="BG104" s="19">
        <f t="shared" si="889"/>
        <v>45300</v>
      </c>
      <c r="BH104" s="19">
        <f t="shared" si="889"/>
        <v>45301</v>
      </c>
      <c r="BI104" s="19">
        <f t="shared" si="889"/>
        <v>45302</v>
      </c>
      <c r="BJ104" s="19">
        <f t="shared" ref="BJ104:BM104" si="890">BI104+1</f>
        <v>45303</v>
      </c>
      <c r="BK104" s="19">
        <f t="shared" si="890"/>
        <v>45304</v>
      </c>
      <c r="BL104" s="19">
        <f t="shared" si="890"/>
        <v>45305</v>
      </c>
      <c r="BM104" s="19">
        <f t="shared" si="890"/>
        <v>45306</v>
      </c>
      <c r="BN104" s="19">
        <f t="shared" ref="BN104:BO104" si="891">BM104+1</f>
        <v>45307</v>
      </c>
      <c r="BO104" s="19">
        <f t="shared" si="891"/>
        <v>45308</v>
      </c>
      <c r="BP104" s="19">
        <f t="shared" ref="BP104" si="892">BO104+1</f>
        <v>45309</v>
      </c>
      <c r="BQ104" s="19">
        <f t="shared" ref="BQ104:BT104" si="893">BP104+1</f>
        <v>45310</v>
      </c>
      <c r="BR104" s="19">
        <f t="shared" si="893"/>
        <v>45311</v>
      </c>
      <c r="BS104" s="19">
        <f t="shared" si="893"/>
        <v>45312</v>
      </c>
      <c r="BT104" s="19">
        <f t="shared" si="893"/>
        <v>45313</v>
      </c>
      <c r="BU104" s="19">
        <f t="shared" ref="BU104:BW104" si="894">BT104+1</f>
        <v>45314</v>
      </c>
      <c r="BV104" s="19">
        <f t="shared" si="894"/>
        <v>45315</v>
      </c>
      <c r="BW104" s="19">
        <f t="shared" si="894"/>
        <v>45316</v>
      </c>
      <c r="BX104" s="19">
        <f t="shared" ref="BX104:BZ104" si="895">BW104+1</f>
        <v>45317</v>
      </c>
      <c r="BY104" s="19">
        <f t="shared" si="895"/>
        <v>45318</v>
      </c>
      <c r="BZ104" s="19">
        <f t="shared" si="895"/>
        <v>45319</v>
      </c>
      <c r="CA104" s="19">
        <f t="shared" ref="CA104:CD104" si="896">BZ104+1</f>
        <v>45320</v>
      </c>
      <c r="CB104" s="19">
        <f t="shared" si="896"/>
        <v>45321</v>
      </c>
      <c r="CC104" s="19">
        <f t="shared" si="896"/>
        <v>45322</v>
      </c>
      <c r="CD104" s="19">
        <f t="shared" si="896"/>
        <v>45323</v>
      </c>
      <c r="CE104" s="19">
        <f t="shared" ref="CE104:CH104" si="897">CD104+1</f>
        <v>45324</v>
      </c>
      <c r="CF104" s="19">
        <f t="shared" si="897"/>
        <v>45325</v>
      </c>
      <c r="CG104" s="19">
        <f t="shared" si="897"/>
        <v>45326</v>
      </c>
      <c r="CH104" s="19">
        <f t="shared" si="897"/>
        <v>45327</v>
      </c>
      <c r="CI104" s="19">
        <f t="shared" ref="CI104:CM104" si="898">CH104+1</f>
        <v>45328</v>
      </c>
      <c r="CJ104" s="19">
        <f t="shared" si="898"/>
        <v>45329</v>
      </c>
      <c r="CK104" s="19">
        <f t="shared" si="898"/>
        <v>45330</v>
      </c>
      <c r="CL104" s="19">
        <f t="shared" si="898"/>
        <v>45331</v>
      </c>
      <c r="CM104" s="19">
        <f t="shared" si="898"/>
        <v>45332</v>
      </c>
      <c r="CN104" s="19">
        <f t="shared" ref="CN104:CP104" si="899">CM104+1</f>
        <v>45333</v>
      </c>
      <c r="CO104" s="19">
        <f t="shared" si="899"/>
        <v>45334</v>
      </c>
      <c r="CP104" s="19">
        <f t="shared" si="899"/>
        <v>45335</v>
      </c>
      <c r="CQ104" s="19">
        <f t="shared" ref="CQ104:CR104" si="900">CP104+1</f>
        <v>45336</v>
      </c>
      <c r="CR104" s="19">
        <f t="shared" si="900"/>
        <v>45337</v>
      </c>
      <c r="CS104" s="19">
        <f t="shared" ref="CS104:CW104" si="901">CR104+1</f>
        <v>45338</v>
      </c>
      <c r="CT104" s="19">
        <f t="shared" si="901"/>
        <v>45339</v>
      </c>
      <c r="CU104" s="19">
        <f t="shared" si="901"/>
        <v>45340</v>
      </c>
      <c r="CV104" s="19">
        <f t="shared" si="901"/>
        <v>45341</v>
      </c>
      <c r="CW104" s="19">
        <f t="shared" si="901"/>
        <v>45342</v>
      </c>
      <c r="CX104" s="19">
        <f t="shared" ref="CX104:CY104" si="902">CW104+1</f>
        <v>45343</v>
      </c>
      <c r="CY104" s="19">
        <f t="shared" si="902"/>
        <v>45344</v>
      </c>
      <c r="CZ104" s="19">
        <f t="shared" ref="CZ104:DC104" si="903">CY104+1</f>
        <v>45345</v>
      </c>
      <c r="DA104" s="19">
        <f t="shared" si="903"/>
        <v>45346</v>
      </c>
      <c r="DB104" s="19">
        <f t="shared" si="903"/>
        <v>45347</v>
      </c>
      <c r="DC104" s="19">
        <f t="shared" si="903"/>
        <v>45348</v>
      </c>
      <c r="DD104" s="19">
        <f t="shared" ref="DD104" si="904">DC104+1</f>
        <v>45349</v>
      </c>
      <c r="DE104" s="19">
        <f t="shared" ref="DE104:DF104" si="905">DD104+1</f>
        <v>45350</v>
      </c>
      <c r="DF104" s="19">
        <f t="shared" si="905"/>
        <v>45351</v>
      </c>
      <c r="DG104" s="19">
        <f t="shared" ref="DG104:DH104" si="906">DF104+1</f>
        <v>45352</v>
      </c>
      <c r="DH104" s="19">
        <f t="shared" si="906"/>
        <v>45353</v>
      </c>
      <c r="DI104" s="19">
        <f t="shared" ref="DI104:DP104" si="907">DH104+1</f>
        <v>45354</v>
      </c>
      <c r="DJ104" s="19">
        <f t="shared" si="907"/>
        <v>45355</v>
      </c>
      <c r="DK104" s="19">
        <f t="shared" si="907"/>
        <v>45356</v>
      </c>
      <c r="DL104" s="19">
        <f t="shared" si="907"/>
        <v>45357</v>
      </c>
      <c r="DM104" s="19">
        <f t="shared" si="907"/>
        <v>45358</v>
      </c>
      <c r="DN104" s="19">
        <f t="shared" si="907"/>
        <v>45359</v>
      </c>
      <c r="DO104" s="19">
        <f t="shared" si="907"/>
        <v>45360</v>
      </c>
      <c r="DP104" s="19">
        <f t="shared" si="907"/>
        <v>45361</v>
      </c>
      <c r="DQ104" s="19">
        <f t="shared" ref="DQ104" si="908">DP104+1</f>
        <v>45362</v>
      </c>
      <c r="DR104" s="19">
        <f t="shared" ref="DR104:DS104" si="909">DQ104+1</f>
        <v>45363</v>
      </c>
      <c r="DS104" s="19">
        <f t="shared" si="909"/>
        <v>45364</v>
      </c>
      <c r="DT104" s="19">
        <f t="shared" ref="DT104:DV104" si="910">DS104+1</f>
        <v>45365</v>
      </c>
      <c r="DU104" s="19">
        <f t="shared" si="910"/>
        <v>45366</v>
      </c>
      <c r="DV104" s="19">
        <f t="shared" si="910"/>
        <v>45367</v>
      </c>
      <c r="DW104" s="19">
        <f t="shared" ref="DW104:DY104" si="911">DV104+1</f>
        <v>45368</v>
      </c>
      <c r="DX104" s="19">
        <f t="shared" si="911"/>
        <v>45369</v>
      </c>
      <c r="DY104" s="19">
        <f t="shared" si="911"/>
        <v>45370</v>
      </c>
      <c r="DZ104" s="19">
        <f t="shared" ref="DZ104:EA104" si="912">DY104+1</f>
        <v>45371</v>
      </c>
      <c r="EA104" s="19">
        <f t="shared" si="912"/>
        <v>45372</v>
      </c>
      <c r="EB104" s="19">
        <f t="shared" ref="EB104:EK104" si="913">EA104+1</f>
        <v>45373</v>
      </c>
      <c r="EC104" s="19">
        <f t="shared" si="913"/>
        <v>45374</v>
      </c>
      <c r="ED104" s="19">
        <f t="shared" si="913"/>
        <v>45375</v>
      </c>
      <c r="EE104" s="19">
        <f t="shared" si="913"/>
        <v>45376</v>
      </c>
      <c r="EF104" s="19">
        <f t="shared" si="913"/>
        <v>45377</v>
      </c>
      <c r="EG104" s="19">
        <f t="shared" si="913"/>
        <v>45378</v>
      </c>
      <c r="EH104" s="19">
        <f t="shared" si="913"/>
        <v>45379</v>
      </c>
      <c r="EI104" s="19">
        <f t="shared" si="913"/>
        <v>45380</v>
      </c>
      <c r="EJ104" s="19">
        <f t="shared" si="913"/>
        <v>45381</v>
      </c>
      <c r="EK104" s="19">
        <f t="shared" si="913"/>
        <v>45382</v>
      </c>
      <c r="EL104" s="19">
        <f t="shared" ref="EL104:ES104" si="914">EK104+1</f>
        <v>45383</v>
      </c>
      <c r="EM104" s="19">
        <f t="shared" si="914"/>
        <v>45384</v>
      </c>
      <c r="EN104" s="19">
        <f t="shared" si="914"/>
        <v>45385</v>
      </c>
      <c r="EO104" s="19">
        <f t="shared" si="914"/>
        <v>45386</v>
      </c>
      <c r="EP104" s="19">
        <f t="shared" si="914"/>
        <v>45387</v>
      </c>
      <c r="EQ104" s="19">
        <f t="shared" si="914"/>
        <v>45388</v>
      </c>
      <c r="ER104" s="19">
        <f t="shared" si="914"/>
        <v>45389</v>
      </c>
      <c r="ES104" s="19">
        <f t="shared" si="914"/>
        <v>45390</v>
      </c>
      <c r="ET104" s="19">
        <f t="shared" ref="ET104:EV104" si="915">ES104+1</f>
        <v>45391</v>
      </c>
      <c r="EU104" s="19">
        <f t="shared" si="915"/>
        <v>45392</v>
      </c>
      <c r="EV104" s="19">
        <f t="shared" si="915"/>
        <v>45393</v>
      </c>
      <c r="EW104" s="19">
        <f t="shared" ref="EW104:EZ104" si="916">EV104+1</f>
        <v>45394</v>
      </c>
      <c r="EX104" s="19">
        <f t="shared" si="916"/>
        <v>45395</v>
      </c>
      <c r="EY104" s="19">
        <f t="shared" si="916"/>
        <v>45396</v>
      </c>
      <c r="EZ104" s="19">
        <f t="shared" si="916"/>
        <v>45397</v>
      </c>
      <c r="FA104" s="19">
        <f t="shared" ref="FA104:FB104" si="917">EZ104+1</f>
        <v>45398</v>
      </c>
      <c r="FB104" s="19">
        <f t="shared" si="917"/>
        <v>45399</v>
      </c>
      <c r="FC104" s="19">
        <f t="shared" ref="FC104:FD104" si="918">FB104+1</f>
        <v>45400</v>
      </c>
      <c r="FD104" s="19">
        <f t="shared" si="918"/>
        <v>45401</v>
      </c>
      <c r="FE104" s="19">
        <f t="shared" ref="FE104:FG104" si="919">FD104+1</f>
        <v>45402</v>
      </c>
      <c r="FF104" s="19">
        <f t="shared" si="919"/>
        <v>45403</v>
      </c>
      <c r="FG104" s="19">
        <f t="shared" si="919"/>
        <v>45404</v>
      </c>
      <c r="FH104" s="19">
        <f t="shared" ref="FH104:FI104" si="920">FG104+1</f>
        <v>45405</v>
      </c>
      <c r="FI104" s="19">
        <f t="shared" si="920"/>
        <v>45406</v>
      </c>
      <c r="FJ104" s="19">
        <f t="shared" ref="FJ104:FN104" si="921">FI104+1</f>
        <v>45407</v>
      </c>
      <c r="FK104" s="19">
        <f t="shared" si="921"/>
        <v>45408</v>
      </c>
      <c r="FL104" s="19">
        <f t="shared" si="921"/>
        <v>45409</v>
      </c>
      <c r="FM104" s="19">
        <f t="shared" si="921"/>
        <v>45410</v>
      </c>
      <c r="FN104" s="19">
        <f t="shared" si="921"/>
        <v>45411</v>
      </c>
      <c r="FO104" s="19">
        <f t="shared" ref="FO104:FS104" si="922">FN104+1</f>
        <v>45412</v>
      </c>
      <c r="FP104" s="19">
        <f t="shared" si="922"/>
        <v>45413</v>
      </c>
      <c r="FQ104" s="19">
        <f t="shared" si="922"/>
        <v>45414</v>
      </c>
      <c r="FR104" s="19">
        <f t="shared" si="922"/>
        <v>45415</v>
      </c>
      <c r="FS104" s="19">
        <f t="shared" si="922"/>
        <v>45416</v>
      </c>
      <c r="FT104" s="19">
        <f t="shared" ref="FT104:FU104" si="923">FS104+1</f>
        <v>45417</v>
      </c>
      <c r="FU104" s="19">
        <f t="shared" si="923"/>
        <v>45418</v>
      </c>
      <c r="FV104" s="19">
        <f t="shared" ref="FV104:GA104" si="924">FU104+1</f>
        <v>45419</v>
      </c>
      <c r="FW104" s="19">
        <f t="shared" si="924"/>
        <v>45420</v>
      </c>
      <c r="FX104" s="19">
        <f t="shared" si="924"/>
        <v>45421</v>
      </c>
      <c r="FY104" s="19">
        <f t="shared" si="924"/>
        <v>45422</v>
      </c>
      <c r="FZ104" s="19">
        <f t="shared" si="924"/>
        <v>45423</v>
      </c>
      <c r="GA104" s="19">
        <f t="shared" si="924"/>
        <v>45424</v>
      </c>
      <c r="GB104" s="19">
        <f t="shared" ref="GB104:GC104" si="925">GA104+1</f>
        <v>45425</v>
      </c>
      <c r="GC104" s="19">
        <f t="shared" si="925"/>
        <v>45426</v>
      </c>
      <c r="GD104" s="19">
        <f t="shared" ref="GD104:GI104" si="926">GC104+1</f>
        <v>45427</v>
      </c>
      <c r="GE104" s="19">
        <f t="shared" si="926"/>
        <v>45428</v>
      </c>
      <c r="GF104" s="19">
        <f t="shared" si="926"/>
        <v>45429</v>
      </c>
      <c r="GG104" s="19">
        <f t="shared" si="926"/>
        <v>45430</v>
      </c>
      <c r="GH104" s="19">
        <f t="shared" si="926"/>
        <v>45431</v>
      </c>
      <c r="GI104" s="19">
        <f t="shared" si="926"/>
        <v>45432</v>
      </c>
      <c r="GJ104" s="19">
        <f t="shared" ref="GJ104:GT104" si="927">GI104+1</f>
        <v>45433</v>
      </c>
      <c r="GK104" s="19">
        <f t="shared" si="927"/>
        <v>45434</v>
      </c>
      <c r="GL104" s="19">
        <f t="shared" si="927"/>
        <v>45435</v>
      </c>
      <c r="GM104" s="19">
        <f t="shared" si="927"/>
        <v>45436</v>
      </c>
      <c r="GN104" s="19">
        <f t="shared" si="927"/>
        <v>45437</v>
      </c>
      <c r="GO104" s="19">
        <f t="shared" si="927"/>
        <v>45438</v>
      </c>
      <c r="GP104" s="19">
        <f t="shared" si="927"/>
        <v>45439</v>
      </c>
      <c r="GQ104" s="19">
        <f t="shared" si="927"/>
        <v>45440</v>
      </c>
      <c r="GR104" s="19">
        <f t="shared" si="927"/>
        <v>45441</v>
      </c>
      <c r="GS104" s="19">
        <f t="shared" si="927"/>
        <v>45442</v>
      </c>
      <c r="GT104" s="19">
        <f t="shared" si="927"/>
        <v>45443</v>
      </c>
    </row>
    <row r="105" spans="1:207" x14ac:dyDescent="0.3">
      <c r="B105" s="75"/>
      <c r="E105" s="15" t="s">
        <v>1</v>
      </c>
      <c r="F105" s="3">
        <f t="shared" ref="F105:AK105" si="928">F11-F54</f>
        <v>885</v>
      </c>
      <c r="G105" s="3">
        <f t="shared" si="928"/>
        <v>735</v>
      </c>
      <c r="H105" s="3">
        <f t="shared" si="928"/>
        <v>721</v>
      </c>
      <c r="I105" s="3">
        <f t="shared" si="928"/>
        <v>1256</v>
      </c>
      <c r="J105" s="3">
        <f t="shared" si="928"/>
        <v>1562</v>
      </c>
      <c r="K105" s="3">
        <f t="shared" si="928"/>
        <v>1514</v>
      </c>
      <c r="L105" s="3">
        <f t="shared" si="928"/>
        <v>1398</v>
      </c>
      <c r="M105" s="3">
        <f t="shared" si="928"/>
        <v>1723</v>
      </c>
      <c r="N105" s="3">
        <f t="shared" si="928"/>
        <v>1186</v>
      </c>
      <c r="O105" s="3">
        <f t="shared" si="928"/>
        <v>788</v>
      </c>
      <c r="P105" s="3">
        <f t="shared" si="928"/>
        <v>3405</v>
      </c>
      <c r="Q105" s="3">
        <f t="shared" si="928"/>
        <v>3408</v>
      </c>
      <c r="R105" s="3">
        <f t="shared" si="928"/>
        <v>3224</v>
      </c>
      <c r="S105" s="3">
        <f t="shared" si="928"/>
        <v>2722</v>
      </c>
      <c r="T105" s="3">
        <f t="shared" si="928"/>
        <v>2170</v>
      </c>
      <c r="U105" s="3">
        <f t="shared" si="928"/>
        <v>1647</v>
      </c>
      <c r="V105" s="3">
        <f t="shared" si="928"/>
        <v>748</v>
      </c>
      <c r="W105" s="3">
        <f t="shared" si="928"/>
        <v>2332</v>
      </c>
      <c r="X105" s="3">
        <f t="shared" si="928"/>
        <v>2417</v>
      </c>
      <c r="Y105" s="3">
        <f t="shared" si="928"/>
        <v>1650</v>
      </c>
      <c r="Z105" s="3">
        <f t="shared" si="928"/>
        <v>1358</v>
      </c>
      <c r="AA105" s="3">
        <f t="shared" si="928"/>
        <v>1456</v>
      </c>
      <c r="AB105" s="3">
        <f t="shared" si="928"/>
        <v>947</v>
      </c>
      <c r="AC105" s="3">
        <f t="shared" si="928"/>
        <v>829</v>
      </c>
      <c r="AD105" s="3">
        <f t="shared" si="928"/>
        <v>2066</v>
      </c>
      <c r="AE105" s="3">
        <f t="shared" si="928"/>
        <v>1861</v>
      </c>
      <c r="AF105" s="3">
        <f t="shared" si="928"/>
        <v>1962</v>
      </c>
      <c r="AG105" s="3">
        <f t="shared" si="928"/>
        <v>1833</v>
      </c>
      <c r="AH105" s="3">
        <f t="shared" si="928"/>
        <v>1800</v>
      </c>
      <c r="AI105" s="3">
        <f t="shared" si="928"/>
        <v>1093</v>
      </c>
      <c r="AJ105" s="3">
        <f t="shared" si="928"/>
        <v>924</v>
      </c>
      <c r="AK105" s="3">
        <f t="shared" si="928"/>
        <v>2576</v>
      </c>
      <c r="AL105" s="3">
        <f t="shared" ref="AL105:BQ105" si="929">AL11-AL54</f>
        <v>2207</v>
      </c>
      <c r="AM105" s="3">
        <f t="shared" si="929"/>
        <v>1906</v>
      </c>
      <c r="AN105" s="3">
        <f t="shared" si="929"/>
        <v>1623</v>
      </c>
      <c r="AO105" s="3">
        <f t="shared" si="929"/>
        <v>1496</v>
      </c>
      <c r="AP105" s="3">
        <f t="shared" si="929"/>
        <v>949</v>
      </c>
      <c r="AQ105" s="3">
        <f t="shared" si="929"/>
        <v>482</v>
      </c>
      <c r="AR105" s="3">
        <f t="shared" si="929"/>
        <v>463</v>
      </c>
      <c r="AS105" s="3">
        <f t="shared" si="929"/>
        <v>1921</v>
      </c>
      <c r="AT105" s="3">
        <f t="shared" si="929"/>
        <v>1400</v>
      </c>
      <c r="AU105" s="3">
        <f t="shared" si="929"/>
        <v>1612</v>
      </c>
      <c r="AV105" s="3">
        <f t="shared" si="929"/>
        <v>1199</v>
      </c>
      <c r="AW105" s="3">
        <f t="shared" si="929"/>
        <v>797</v>
      </c>
      <c r="AX105" s="3">
        <f t="shared" si="929"/>
        <v>372</v>
      </c>
      <c r="AY105" s="3">
        <f t="shared" si="929"/>
        <v>345</v>
      </c>
      <c r="AZ105" s="3">
        <f t="shared" si="929"/>
        <v>1831</v>
      </c>
      <c r="BA105" s="3">
        <f t="shared" si="929"/>
        <v>1711</v>
      </c>
      <c r="BB105" s="3">
        <f t="shared" si="929"/>
        <v>1593</v>
      </c>
      <c r="BC105" s="3">
        <f t="shared" si="929"/>
        <v>1570</v>
      </c>
      <c r="BD105" s="3">
        <f t="shared" si="929"/>
        <v>939</v>
      </c>
      <c r="BE105" s="3">
        <f t="shared" si="929"/>
        <v>609</v>
      </c>
      <c r="BF105" s="3">
        <f t="shared" si="929"/>
        <v>1764</v>
      </c>
      <c r="BG105" s="3">
        <f t="shared" si="929"/>
        <v>1929</v>
      </c>
      <c r="BH105" s="3">
        <f t="shared" si="929"/>
        <v>2221</v>
      </c>
      <c r="BI105" s="3">
        <f t="shared" si="929"/>
        <v>2167</v>
      </c>
      <c r="BJ105" s="3">
        <f t="shared" si="929"/>
        <v>1904</v>
      </c>
      <c r="BK105" s="3">
        <f t="shared" si="929"/>
        <v>925</v>
      </c>
      <c r="BL105" s="3">
        <f t="shared" si="929"/>
        <v>585</v>
      </c>
      <c r="BM105" s="3">
        <f t="shared" si="929"/>
        <v>2882</v>
      </c>
      <c r="BN105" s="3">
        <f t="shared" si="929"/>
        <v>2666</v>
      </c>
      <c r="BO105" s="3">
        <f t="shared" si="929"/>
        <v>2316</v>
      </c>
      <c r="BP105" s="3">
        <f t="shared" si="929"/>
        <v>1844</v>
      </c>
      <c r="BQ105" s="3">
        <f t="shared" si="929"/>
        <v>1582</v>
      </c>
      <c r="BR105" s="3">
        <f t="shared" ref="BR105:CW105" si="930">BR11-BR54</f>
        <v>740</v>
      </c>
      <c r="BS105" s="3">
        <f t="shared" si="930"/>
        <v>474</v>
      </c>
      <c r="BT105" s="3">
        <f t="shared" si="930"/>
        <v>2163</v>
      </c>
      <c r="BU105" s="3">
        <f t="shared" si="930"/>
        <v>1935</v>
      </c>
      <c r="BV105" s="3">
        <f t="shared" si="930"/>
        <v>1124</v>
      </c>
      <c r="BW105" s="3">
        <f t="shared" si="930"/>
        <v>1106</v>
      </c>
      <c r="BX105" s="3">
        <f t="shared" si="930"/>
        <v>728</v>
      </c>
      <c r="BY105" s="3">
        <f t="shared" si="930"/>
        <v>369</v>
      </c>
      <c r="BZ105" s="3">
        <f t="shared" si="930"/>
        <v>275</v>
      </c>
      <c r="CA105" s="3">
        <f t="shared" si="930"/>
        <v>985</v>
      </c>
      <c r="CB105" s="3">
        <f t="shared" si="930"/>
        <v>948</v>
      </c>
      <c r="CC105" s="3">
        <f t="shared" si="930"/>
        <v>974</v>
      </c>
      <c r="CD105" s="3">
        <f t="shared" si="930"/>
        <v>830</v>
      </c>
      <c r="CE105" s="3">
        <f t="shared" si="930"/>
        <v>675</v>
      </c>
      <c r="CF105" s="3">
        <f t="shared" si="930"/>
        <v>396</v>
      </c>
      <c r="CG105" s="3">
        <f t="shared" si="930"/>
        <v>310</v>
      </c>
      <c r="CH105" s="3">
        <f t="shared" si="930"/>
        <v>445</v>
      </c>
      <c r="CI105" s="3">
        <f t="shared" si="930"/>
        <v>826</v>
      </c>
      <c r="CJ105" s="3">
        <f t="shared" si="930"/>
        <v>757</v>
      </c>
      <c r="CK105" s="3">
        <f t="shared" si="930"/>
        <v>771</v>
      </c>
      <c r="CL105" s="3">
        <f t="shared" si="930"/>
        <v>633</v>
      </c>
      <c r="CM105" s="3">
        <f t="shared" si="930"/>
        <v>399</v>
      </c>
      <c r="CN105" s="3">
        <f t="shared" si="930"/>
        <v>254</v>
      </c>
      <c r="CO105" s="3">
        <f t="shared" si="930"/>
        <v>746</v>
      </c>
      <c r="CP105" s="3">
        <f t="shared" si="930"/>
        <v>788</v>
      </c>
      <c r="CQ105" s="3">
        <f t="shared" si="930"/>
        <v>591</v>
      </c>
      <c r="CR105" s="3">
        <f t="shared" si="930"/>
        <v>704</v>
      </c>
      <c r="CS105" s="3">
        <f t="shared" si="930"/>
        <v>629</v>
      </c>
      <c r="CT105" s="3">
        <f t="shared" si="930"/>
        <v>349</v>
      </c>
      <c r="CU105" s="3">
        <f t="shared" si="930"/>
        <v>261</v>
      </c>
      <c r="CV105" s="3">
        <f t="shared" si="930"/>
        <v>760</v>
      </c>
      <c r="CW105" s="3">
        <f t="shared" si="930"/>
        <v>796</v>
      </c>
      <c r="CX105" s="3">
        <f t="shared" ref="CX105:EA105" si="931">CX11-CX54</f>
        <v>692</v>
      </c>
      <c r="CY105" s="3">
        <f t="shared" si="931"/>
        <v>617</v>
      </c>
      <c r="CZ105" s="3">
        <f t="shared" si="931"/>
        <v>609</v>
      </c>
      <c r="DA105" s="3">
        <f t="shared" si="931"/>
        <v>318</v>
      </c>
      <c r="DB105" s="3">
        <f t="shared" si="931"/>
        <v>240</v>
      </c>
      <c r="DC105" s="3">
        <f t="shared" si="931"/>
        <v>705</v>
      </c>
      <c r="DD105" s="3">
        <f t="shared" si="931"/>
        <v>635</v>
      </c>
      <c r="DE105" s="3">
        <f t="shared" ref="DE105:DZ105" si="932">DE11-DE54</f>
        <v>548</v>
      </c>
      <c r="DF105" s="3">
        <f t="shared" si="932"/>
        <v>524</v>
      </c>
      <c r="DG105" s="3">
        <f t="shared" si="932"/>
        <v>621</v>
      </c>
      <c r="DH105" s="3">
        <f t="shared" ref="DH105:DI105" si="933">DH11-DH54</f>
        <v>420</v>
      </c>
      <c r="DI105" s="3">
        <f t="shared" si="933"/>
        <v>284</v>
      </c>
      <c r="DJ105" s="3">
        <f t="shared" si="932"/>
        <v>553</v>
      </c>
      <c r="DK105" s="3">
        <f t="shared" si="932"/>
        <v>629</v>
      </c>
      <c r="DL105" s="3">
        <f t="shared" ref="DL105:DQ105" si="934">DL11-DL54</f>
        <v>606</v>
      </c>
      <c r="DM105" s="3">
        <f t="shared" si="934"/>
        <v>455</v>
      </c>
      <c r="DN105" s="3">
        <f t="shared" ref="DN105:DP105" si="935">DN11-DN54</f>
        <v>388</v>
      </c>
      <c r="DO105" s="3">
        <f t="shared" ref="DO105" si="936">DO11-DO54</f>
        <v>260</v>
      </c>
      <c r="DP105" s="3">
        <f t="shared" si="935"/>
        <v>182</v>
      </c>
      <c r="DQ105" s="3">
        <f t="shared" si="934"/>
        <v>623</v>
      </c>
      <c r="DR105" s="3">
        <f t="shared" si="932"/>
        <v>561</v>
      </c>
      <c r="DS105" s="3">
        <f t="shared" ref="DS105" si="937">DS11-DS54</f>
        <v>523</v>
      </c>
      <c r="DT105" s="3">
        <f t="shared" si="932"/>
        <v>437</v>
      </c>
      <c r="DU105" s="3">
        <f t="shared" ref="DU105:DV105" si="938">DU11-DU54</f>
        <v>455</v>
      </c>
      <c r="DV105" s="3">
        <f t="shared" si="938"/>
        <v>320</v>
      </c>
      <c r="DW105" s="3">
        <f t="shared" si="932"/>
        <v>237</v>
      </c>
      <c r="DX105" s="3">
        <f t="shared" ref="DX105:DY105" si="939">DX11-DX54</f>
        <v>250</v>
      </c>
      <c r="DY105" s="3">
        <f t="shared" si="939"/>
        <v>613</v>
      </c>
      <c r="DZ105" s="3">
        <f t="shared" si="932"/>
        <v>546</v>
      </c>
      <c r="EA105" s="3">
        <f t="shared" si="931"/>
        <v>594</v>
      </c>
      <c r="EB105" s="3">
        <f t="shared" ref="EB105:EJ105" si="940">EB11-EB54</f>
        <v>499</v>
      </c>
      <c r="EC105" s="3">
        <f t="shared" ref="EC105:ED105" si="941">EC11-EC54</f>
        <v>295</v>
      </c>
      <c r="ED105" s="3">
        <f t="shared" si="941"/>
        <v>219</v>
      </c>
      <c r="EE105" s="3">
        <f t="shared" si="940"/>
        <v>595</v>
      </c>
      <c r="EF105" s="3">
        <f t="shared" ref="EF105" si="942">EF11-EF54</f>
        <v>465</v>
      </c>
      <c r="EG105" s="3">
        <f t="shared" si="940"/>
        <v>495</v>
      </c>
      <c r="EH105" s="3">
        <f t="shared" ref="EH105:EI105" si="943">EH11-EH54</f>
        <v>245</v>
      </c>
      <c r="EI105" s="3">
        <f t="shared" si="943"/>
        <v>239</v>
      </c>
      <c r="EJ105" s="3">
        <f t="shared" si="940"/>
        <v>166</v>
      </c>
      <c r="EK105" s="3">
        <f t="shared" ref="EK105" si="944">EK11-EK54</f>
        <v>149</v>
      </c>
      <c r="EL105" s="3">
        <f t="shared" ref="EL105:EX105" si="945">EL11-EL54</f>
        <v>581</v>
      </c>
      <c r="EM105" s="3">
        <f t="shared" si="945"/>
        <v>371</v>
      </c>
      <c r="EN105" s="3">
        <f t="shared" si="945"/>
        <v>431</v>
      </c>
      <c r="EO105" s="3">
        <f t="shared" si="945"/>
        <v>353</v>
      </c>
      <c r="EP105" s="3">
        <f t="shared" si="945"/>
        <v>314</v>
      </c>
      <c r="EQ105" s="3">
        <f t="shared" si="945"/>
        <v>213</v>
      </c>
      <c r="ER105" s="3">
        <f t="shared" si="945"/>
        <v>174</v>
      </c>
      <c r="ES105" s="3">
        <f t="shared" si="945"/>
        <v>423</v>
      </c>
      <c r="ET105" s="3">
        <f t="shared" si="945"/>
        <v>389</v>
      </c>
      <c r="EU105" s="3">
        <f t="shared" ref="EU105:EW105" si="946">EU11-EU54</f>
        <v>344</v>
      </c>
      <c r="EV105" s="3">
        <f t="shared" ref="EV105" si="947">EV11-EV54</f>
        <v>280</v>
      </c>
      <c r="EW105" s="3">
        <f t="shared" si="946"/>
        <v>305</v>
      </c>
      <c r="EX105" s="3">
        <f t="shared" si="945"/>
        <v>182</v>
      </c>
      <c r="EY105" s="3">
        <f t="shared" ref="EY105:FN107" si="948">EY11-EY54</f>
        <v>165</v>
      </c>
      <c r="EZ105" s="3">
        <f t="shared" si="948"/>
        <v>370</v>
      </c>
      <c r="FA105" s="3">
        <f t="shared" si="948"/>
        <v>375</v>
      </c>
      <c r="FB105" s="3">
        <f t="shared" ref="FB105:FD105" si="949">FB11-FB54</f>
        <v>377</v>
      </c>
      <c r="FC105" s="3">
        <f t="shared" si="949"/>
        <v>411</v>
      </c>
      <c r="FD105" s="3">
        <f t="shared" si="949"/>
        <v>555</v>
      </c>
      <c r="FE105" s="3">
        <f t="shared" si="948"/>
        <v>353</v>
      </c>
      <c r="FF105" s="3">
        <f t="shared" si="948"/>
        <v>336</v>
      </c>
      <c r="FG105" s="3">
        <f t="shared" si="948"/>
        <v>852</v>
      </c>
      <c r="FH105" s="3">
        <f t="shared" si="948"/>
        <v>598</v>
      </c>
      <c r="FI105" s="3">
        <f t="shared" si="948"/>
        <v>537</v>
      </c>
      <c r="FJ105" s="3">
        <f t="shared" ref="FJ105:FK105" si="950">FJ11-FJ54</f>
        <v>515</v>
      </c>
      <c r="FK105" s="3">
        <f t="shared" si="950"/>
        <v>663</v>
      </c>
      <c r="FL105" s="3">
        <f t="shared" ref="FL105" si="951">FL11-FL54</f>
        <v>525</v>
      </c>
      <c r="FM105" s="3">
        <f t="shared" si="948"/>
        <v>452</v>
      </c>
      <c r="FN105" s="3">
        <f t="shared" si="948"/>
        <v>1600</v>
      </c>
      <c r="FO105" s="3">
        <f t="shared" ref="FO105" si="952">FO11-FO54</f>
        <v>1479</v>
      </c>
      <c r="FP105" s="3">
        <f t="shared" ref="FP105:FU105" si="953">FP11-FP54</f>
        <v>907</v>
      </c>
      <c r="FQ105" s="3">
        <f t="shared" si="953"/>
        <v>2087</v>
      </c>
      <c r="FR105" s="3">
        <f t="shared" si="953"/>
        <v>1675</v>
      </c>
      <c r="FS105" s="3">
        <f t="shared" si="953"/>
        <v>869</v>
      </c>
      <c r="FT105" s="3">
        <f t="shared" si="953"/>
        <v>565</v>
      </c>
      <c r="FU105" s="3">
        <f t="shared" si="953"/>
        <v>2284</v>
      </c>
      <c r="FV105" s="3">
        <f t="shared" ref="FV105:GC105" si="954">FV11-FV54</f>
        <v>2104</v>
      </c>
      <c r="FW105" s="3">
        <f t="shared" si="954"/>
        <v>1814</v>
      </c>
      <c r="FX105" s="3">
        <f t="shared" si="954"/>
        <v>2070</v>
      </c>
      <c r="FY105" s="3">
        <f t="shared" si="954"/>
        <v>1870</v>
      </c>
      <c r="FZ105" s="3">
        <f t="shared" si="954"/>
        <v>1173</v>
      </c>
      <c r="GA105" s="3">
        <f t="shared" si="954"/>
        <v>457</v>
      </c>
      <c r="GB105" s="3">
        <f t="shared" si="954"/>
        <v>2590</v>
      </c>
      <c r="GC105" s="3">
        <f t="shared" si="954"/>
        <v>2543</v>
      </c>
      <c r="GD105" s="3">
        <f t="shared" ref="GD105:GT105" si="955">GD11-GD54</f>
        <v>2804</v>
      </c>
      <c r="GE105" s="3">
        <f t="shared" si="955"/>
        <v>2423</v>
      </c>
      <c r="GF105" s="3">
        <f t="shared" si="955"/>
        <v>2231</v>
      </c>
      <c r="GG105" s="3">
        <f t="shared" si="955"/>
        <v>1144</v>
      </c>
      <c r="GH105" s="3">
        <f t="shared" si="955"/>
        <v>719</v>
      </c>
      <c r="GI105" s="3">
        <f t="shared" si="955"/>
        <v>2516</v>
      </c>
      <c r="GJ105" s="3">
        <f t="shared" si="955"/>
        <v>3015</v>
      </c>
      <c r="GK105" s="3">
        <f t="shared" si="955"/>
        <v>2788</v>
      </c>
      <c r="GL105" s="3">
        <f t="shared" ref="GL105:GM105" si="956">GL11-GL54</f>
        <v>2410</v>
      </c>
      <c r="GM105" s="3">
        <f t="shared" si="956"/>
        <v>2121</v>
      </c>
      <c r="GN105" s="3">
        <f t="shared" si="955"/>
        <v>915</v>
      </c>
      <c r="GO105" s="3">
        <f t="shared" ref="GO105:GS105" si="957">GO11-GO54</f>
        <v>532</v>
      </c>
      <c r="GP105" s="3">
        <f t="shared" si="957"/>
        <v>0</v>
      </c>
      <c r="GQ105" s="3">
        <f t="shared" ref="GQ105:GR105" si="958">GQ11-GQ54</f>
        <v>0</v>
      </c>
      <c r="GR105" s="3">
        <f t="shared" si="958"/>
        <v>0</v>
      </c>
      <c r="GS105" s="3">
        <f t="shared" si="957"/>
        <v>0</v>
      </c>
      <c r="GT105" s="3">
        <f t="shared" si="955"/>
        <v>0</v>
      </c>
      <c r="GU105" s="29">
        <f>SUM(F105:GT105)</f>
        <v>204708</v>
      </c>
      <c r="GX105" s="70">
        <f>SUM(DG105:EK105)</f>
        <v>12924</v>
      </c>
    </row>
    <row r="106" spans="1:207" ht="15" thickBot="1" x14ac:dyDescent="0.35">
      <c r="B106" s="75"/>
      <c r="E106" s="16" t="s">
        <v>2</v>
      </c>
      <c r="F106" s="18">
        <v>1196</v>
      </c>
      <c r="G106" s="17">
        <v>607</v>
      </c>
      <c r="H106" s="17">
        <v>527</v>
      </c>
      <c r="I106" s="18">
        <v>1196</v>
      </c>
      <c r="J106" s="18">
        <v>1196</v>
      </c>
      <c r="K106" s="18">
        <v>1196</v>
      </c>
      <c r="L106" s="18">
        <v>1196</v>
      </c>
      <c r="M106" s="18">
        <v>1196</v>
      </c>
      <c r="N106" s="17">
        <v>638</v>
      </c>
      <c r="O106" s="17">
        <v>527</v>
      </c>
      <c r="P106" s="18">
        <v>1196</v>
      </c>
      <c r="Q106" s="18">
        <v>1044</v>
      </c>
      <c r="R106" s="18">
        <v>1080</v>
      </c>
      <c r="S106" s="18">
        <v>1170</v>
      </c>
      <c r="T106" s="18">
        <v>1170</v>
      </c>
      <c r="U106" s="18">
        <v>643</v>
      </c>
      <c r="V106" s="18">
        <v>643</v>
      </c>
      <c r="W106" s="18">
        <v>1170</v>
      </c>
      <c r="X106" s="18">
        <v>1170</v>
      </c>
      <c r="Y106" s="18">
        <v>1170</v>
      </c>
      <c r="Z106" s="18">
        <v>1728</v>
      </c>
      <c r="AA106" s="18">
        <f>Z106</f>
        <v>1728</v>
      </c>
      <c r="AB106" s="18">
        <v>955</v>
      </c>
      <c r="AC106" s="18">
        <f>AC12-AC55</f>
        <v>890</v>
      </c>
      <c r="AD106" s="18">
        <f>AA106</f>
        <v>1728</v>
      </c>
      <c r="AE106" s="18">
        <f t="shared" ref="AE106:AH106" si="959">AD106</f>
        <v>1728</v>
      </c>
      <c r="AF106" s="18">
        <f t="shared" si="959"/>
        <v>1728</v>
      </c>
      <c r="AG106" s="18">
        <f t="shared" si="959"/>
        <v>1728</v>
      </c>
      <c r="AH106" s="18">
        <f t="shared" si="959"/>
        <v>1728</v>
      </c>
      <c r="AI106" s="18">
        <v>917</v>
      </c>
      <c r="AJ106" s="18">
        <v>689</v>
      </c>
      <c r="AK106" s="18">
        <f>AK12-AK55</f>
        <v>1909</v>
      </c>
      <c r="AL106" s="18">
        <f t="shared" ref="AL106" si="960">AK106</f>
        <v>1909</v>
      </c>
      <c r="AM106" s="18">
        <v>1766</v>
      </c>
      <c r="AN106" s="18">
        <f t="shared" ref="AN106:AO106" si="961">AM106</f>
        <v>1766</v>
      </c>
      <c r="AO106" s="18">
        <f t="shared" si="961"/>
        <v>1766</v>
      </c>
      <c r="AP106" s="18">
        <f t="shared" ref="AP106:AR107" si="962">AP12-AP55</f>
        <v>791.125</v>
      </c>
      <c r="AQ106" s="18">
        <f t="shared" si="962"/>
        <v>750</v>
      </c>
      <c r="AR106" s="18">
        <f t="shared" si="962"/>
        <v>1125.25</v>
      </c>
      <c r="AS106" s="18">
        <f>AO106</f>
        <v>1766</v>
      </c>
      <c r="AT106" s="18">
        <f t="shared" ref="AT106" si="963">AS106</f>
        <v>1766</v>
      </c>
      <c r="AU106" s="18">
        <f t="shared" ref="AU106:AV106" si="964">AT106</f>
        <v>1766</v>
      </c>
      <c r="AV106" s="18">
        <f t="shared" si="964"/>
        <v>1766</v>
      </c>
      <c r="AW106" s="18">
        <f t="shared" ref="AW106:CB106" si="965">AW12-AW55</f>
        <v>941</v>
      </c>
      <c r="AX106" s="18">
        <f t="shared" si="965"/>
        <v>892</v>
      </c>
      <c r="AY106" s="18">
        <f t="shared" si="965"/>
        <v>1329</v>
      </c>
      <c r="AZ106" s="18">
        <f t="shared" si="965"/>
        <v>1547</v>
      </c>
      <c r="BA106" s="18">
        <f t="shared" si="965"/>
        <v>1547</v>
      </c>
      <c r="BB106" s="18">
        <f t="shared" si="965"/>
        <v>1547</v>
      </c>
      <c r="BC106" s="18">
        <f t="shared" si="965"/>
        <v>1547</v>
      </c>
      <c r="BD106" s="18">
        <f t="shared" si="965"/>
        <v>737</v>
      </c>
      <c r="BE106" s="18">
        <f t="shared" si="965"/>
        <v>673</v>
      </c>
      <c r="BF106" s="18">
        <f t="shared" si="965"/>
        <v>1547</v>
      </c>
      <c r="BG106" s="18">
        <f t="shared" si="965"/>
        <v>1508</v>
      </c>
      <c r="BH106" s="18">
        <f t="shared" si="965"/>
        <v>1508</v>
      </c>
      <c r="BI106" s="18">
        <f t="shared" si="965"/>
        <v>1508</v>
      </c>
      <c r="BJ106" s="18">
        <f t="shared" si="965"/>
        <v>1508</v>
      </c>
      <c r="BK106" s="18">
        <f t="shared" si="965"/>
        <v>736</v>
      </c>
      <c r="BL106" s="18">
        <f t="shared" si="965"/>
        <v>611</v>
      </c>
      <c r="BM106" s="18">
        <f t="shared" si="965"/>
        <v>1508</v>
      </c>
      <c r="BN106" s="18">
        <f t="shared" si="965"/>
        <v>1454</v>
      </c>
      <c r="BO106" s="18">
        <f t="shared" si="965"/>
        <v>1598</v>
      </c>
      <c r="BP106" s="18">
        <f t="shared" si="965"/>
        <v>1598</v>
      </c>
      <c r="BQ106" s="18">
        <f t="shared" si="965"/>
        <v>1598</v>
      </c>
      <c r="BR106" s="18">
        <f t="shared" si="965"/>
        <v>755</v>
      </c>
      <c r="BS106" s="18">
        <f t="shared" si="965"/>
        <v>689</v>
      </c>
      <c r="BT106" s="18">
        <f t="shared" si="965"/>
        <v>1598</v>
      </c>
      <c r="BU106" s="18">
        <f t="shared" si="965"/>
        <v>1598</v>
      </c>
      <c r="BV106" s="18">
        <f t="shared" si="965"/>
        <v>1598</v>
      </c>
      <c r="BW106" s="18">
        <f t="shared" si="965"/>
        <v>1598</v>
      </c>
      <c r="BX106" s="18">
        <f t="shared" si="965"/>
        <v>1598</v>
      </c>
      <c r="BY106" s="18">
        <f t="shared" si="965"/>
        <v>789</v>
      </c>
      <c r="BZ106" s="18">
        <f t="shared" si="965"/>
        <v>746</v>
      </c>
      <c r="CA106" s="18">
        <f t="shared" si="965"/>
        <v>1598</v>
      </c>
      <c r="CB106" s="18">
        <f t="shared" si="965"/>
        <v>1598</v>
      </c>
      <c r="CC106" s="18">
        <f t="shared" ref="CC106:DD106" si="966">CC12-CC55</f>
        <v>1598</v>
      </c>
      <c r="CD106" s="18">
        <f t="shared" si="966"/>
        <v>1598</v>
      </c>
      <c r="CE106" s="18">
        <f t="shared" si="966"/>
        <v>1598</v>
      </c>
      <c r="CF106" s="18">
        <f t="shared" si="966"/>
        <v>760</v>
      </c>
      <c r="CG106" s="18">
        <f t="shared" si="966"/>
        <v>591</v>
      </c>
      <c r="CH106" s="18">
        <f t="shared" si="966"/>
        <v>550</v>
      </c>
      <c r="CI106" s="18">
        <f t="shared" si="966"/>
        <v>1406</v>
      </c>
      <c r="CJ106" s="18">
        <f t="shared" si="966"/>
        <v>1406</v>
      </c>
      <c r="CK106" s="18">
        <f t="shared" si="966"/>
        <v>1406</v>
      </c>
      <c r="CL106" s="18">
        <f t="shared" si="966"/>
        <v>1406</v>
      </c>
      <c r="CM106" s="18">
        <f t="shared" si="966"/>
        <v>760</v>
      </c>
      <c r="CN106" s="18">
        <f t="shared" si="966"/>
        <v>558</v>
      </c>
      <c r="CO106" s="18">
        <f t="shared" si="966"/>
        <v>1406</v>
      </c>
      <c r="CP106" s="18">
        <f t="shared" si="966"/>
        <v>1406</v>
      </c>
      <c r="CQ106" s="18">
        <f t="shared" si="966"/>
        <v>1256</v>
      </c>
      <c r="CR106" s="18">
        <f t="shared" si="966"/>
        <v>1256</v>
      </c>
      <c r="CS106" s="18">
        <f t="shared" si="966"/>
        <v>1256</v>
      </c>
      <c r="CT106" s="18">
        <f t="shared" si="966"/>
        <v>613</v>
      </c>
      <c r="CU106" s="18">
        <f t="shared" si="966"/>
        <v>479</v>
      </c>
      <c r="CV106" s="18">
        <f t="shared" si="966"/>
        <v>1256</v>
      </c>
      <c r="CW106" s="18">
        <f t="shared" si="966"/>
        <v>1256</v>
      </c>
      <c r="CX106" s="18">
        <f t="shared" si="966"/>
        <v>1256</v>
      </c>
      <c r="CY106" s="18">
        <f t="shared" si="966"/>
        <v>1256</v>
      </c>
      <c r="CZ106" s="18">
        <f t="shared" si="966"/>
        <v>1256</v>
      </c>
      <c r="DA106" s="18">
        <f t="shared" si="966"/>
        <v>685</v>
      </c>
      <c r="DB106" s="18">
        <f t="shared" si="966"/>
        <v>613</v>
      </c>
      <c r="DC106" s="18">
        <f t="shared" si="966"/>
        <v>1256</v>
      </c>
      <c r="DD106" s="18">
        <f t="shared" si="966"/>
        <v>1256</v>
      </c>
      <c r="DE106" s="18">
        <f t="shared" ref="DE106:DF106" si="967">DE12-DE55</f>
        <v>1256</v>
      </c>
      <c r="DF106" s="18">
        <f t="shared" si="967"/>
        <v>1256</v>
      </c>
      <c r="DG106" s="18">
        <f t="shared" ref="DG106" si="968">DG12-DG55</f>
        <v>1256</v>
      </c>
      <c r="DH106" s="18">
        <f t="shared" ref="DH106:EA106" si="969">DH12-DH55</f>
        <v>613</v>
      </c>
      <c r="DI106" s="18">
        <f t="shared" si="969"/>
        <v>613</v>
      </c>
      <c r="DJ106" s="18">
        <f>DG106</f>
        <v>1256</v>
      </c>
      <c r="DK106" s="18">
        <f t="shared" si="969"/>
        <v>1256</v>
      </c>
      <c r="DL106" s="18">
        <f t="shared" ref="DL106:DZ106" si="970">DL12-DL55</f>
        <v>1256</v>
      </c>
      <c r="DM106" s="18">
        <f t="shared" ref="DM106:DQ106" si="971">DM12-DM55</f>
        <v>1188</v>
      </c>
      <c r="DN106" s="18">
        <f t="shared" ref="DN106:DP106" si="972">DN12-DN55</f>
        <v>1188</v>
      </c>
      <c r="DO106" s="18">
        <f t="shared" ref="DO106" si="973">DO12-DO55</f>
        <v>618</v>
      </c>
      <c r="DP106" s="18">
        <f t="shared" si="972"/>
        <v>542</v>
      </c>
      <c r="DQ106" s="18">
        <f t="shared" si="971"/>
        <v>996</v>
      </c>
      <c r="DR106" s="18">
        <f t="shared" si="970"/>
        <v>996</v>
      </c>
      <c r="DS106" s="18">
        <f t="shared" ref="DS106" si="974">DS12-DS55</f>
        <v>996</v>
      </c>
      <c r="DT106" s="18">
        <f t="shared" si="970"/>
        <v>996</v>
      </c>
      <c r="DU106" s="18">
        <f t="shared" ref="DU106:DV106" si="975">DU12-DU55</f>
        <v>996</v>
      </c>
      <c r="DV106" s="18">
        <f t="shared" si="975"/>
        <v>618</v>
      </c>
      <c r="DW106" s="18">
        <f t="shared" si="970"/>
        <v>546</v>
      </c>
      <c r="DX106" s="18">
        <f t="shared" ref="DX106:DY106" si="976">DX12-DX55</f>
        <v>549</v>
      </c>
      <c r="DY106" s="18">
        <f t="shared" si="976"/>
        <v>996</v>
      </c>
      <c r="DZ106" s="18">
        <f t="shared" si="970"/>
        <v>996</v>
      </c>
      <c r="EA106" s="18">
        <f t="shared" si="969"/>
        <v>996</v>
      </c>
      <c r="EB106" s="18">
        <f t="shared" ref="EB106:EJ106" si="977">EB12-EB55</f>
        <v>996</v>
      </c>
      <c r="EC106" s="18">
        <f t="shared" ref="EC106:ED106" si="978">EC12-EC55</f>
        <v>618</v>
      </c>
      <c r="ED106" s="18">
        <f t="shared" si="978"/>
        <v>544</v>
      </c>
      <c r="EE106" s="18">
        <f t="shared" si="977"/>
        <v>996</v>
      </c>
      <c r="EF106" s="18">
        <f t="shared" ref="EF106" si="979">EF12-EF55</f>
        <v>996</v>
      </c>
      <c r="EG106" s="18">
        <f t="shared" si="977"/>
        <v>996</v>
      </c>
      <c r="EH106" s="18">
        <f t="shared" ref="EH106:EI106" si="980">EH12-EH55</f>
        <v>996</v>
      </c>
      <c r="EI106" s="18">
        <f t="shared" si="980"/>
        <v>996</v>
      </c>
      <c r="EJ106" s="18">
        <f t="shared" si="977"/>
        <v>552</v>
      </c>
      <c r="EK106" s="18">
        <f t="shared" ref="EK106" si="981">EK12-EK55</f>
        <v>479</v>
      </c>
      <c r="EL106" s="18">
        <f t="shared" ref="EL106:ES106" si="982">EL12-EL55</f>
        <v>996</v>
      </c>
      <c r="EM106" s="18">
        <f t="shared" si="982"/>
        <v>996</v>
      </c>
      <c r="EN106" s="18">
        <f t="shared" si="982"/>
        <v>996</v>
      </c>
      <c r="EO106" s="18">
        <f t="shared" si="982"/>
        <v>996</v>
      </c>
      <c r="EP106" s="18">
        <f t="shared" si="982"/>
        <v>996</v>
      </c>
      <c r="EQ106" s="18">
        <f t="shared" si="982"/>
        <v>582</v>
      </c>
      <c r="ER106" s="18">
        <f t="shared" si="982"/>
        <v>479</v>
      </c>
      <c r="ES106" s="18">
        <f t="shared" si="982"/>
        <v>1086</v>
      </c>
      <c r="ET106" s="18">
        <f t="shared" ref="ET106:EX106" si="983">ET12-ET55</f>
        <v>1086</v>
      </c>
      <c r="EU106" s="18">
        <f t="shared" si="983"/>
        <v>1086</v>
      </c>
      <c r="EV106" s="18">
        <f t="shared" si="983"/>
        <v>1086</v>
      </c>
      <c r="EW106" s="18">
        <f t="shared" si="983"/>
        <v>1086</v>
      </c>
      <c r="EX106" s="18">
        <f t="shared" si="983"/>
        <v>582</v>
      </c>
      <c r="EY106" s="18">
        <f t="shared" ref="EY106:FN106" si="984">EY12-EY55</f>
        <v>479</v>
      </c>
      <c r="EZ106" s="18">
        <f t="shared" si="984"/>
        <v>1086</v>
      </c>
      <c r="FA106" s="18">
        <f t="shared" si="984"/>
        <v>1086</v>
      </c>
      <c r="FB106" s="18">
        <f t="shared" ref="FB106:FD106" si="985">FB12-FB55</f>
        <v>1086</v>
      </c>
      <c r="FC106" s="18">
        <f t="shared" si="985"/>
        <v>1086</v>
      </c>
      <c r="FD106" s="18">
        <f t="shared" si="985"/>
        <v>1086</v>
      </c>
      <c r="FE106" s="18">
        <f t="shared" si="984"/>
        <v>582</v>
      </c>
      <c r="FF106" s="18">
        <f t="shared" si="984"/>
        <v>479</v>
      </c>
      <c r="FG106" s="18">
        <f t="shared" si="984"/>
        <v>1086</v>
      </c>
      <c r="FH106" s="18">
        <f t="shared" si="984"/>
        <v>1086</v>
      </c>
      <c r="FI106" s="18">
        <f t="shared" si="948"/>
        <v>1086</v>
      </c>
      <c r="FJ106" s="18">
        <f t="shared" si="948"/>
        <v>1086</v>
      </c>
      <c r="FK106" s="18">
        <f t="shared" si="948"/>
        <v>1086</v>
      </c>
      <c r="FL106" s="18">
        <f t="shared" ref="FL106" si="986">FL12-FL55</f>
        <v>404</v>
      </c>
      <c r="FM106" s="18">
        <f t="shared" si="984"/>
        <v>483</v>
      </c>
      <c r="FN106" s="18">
        <f t="shared" si="984"/>
        <v>1086</v>
      </c>
      <c r="FO106" s="18">
        <f t="shared" ref="FO106:FW106" si="987">FO12-FO55</f>
        <v>1086</v>
      </c>
      <c r="FP106" s="18">
        <f t="shared" ref="FP106:FU106" si="988">FP12-FP55</f>
        <v>549</v>
      </c>
      <c r="FQ106" s="18">
        <f t="shared" si="988"/>
        <v>1086</v>
      </c>
      <c r="FR106" s="18">
        <f t="shared" si="988"/>
        <v>1086</v>
      </c>
      <c r="FS106" s="18">
        <f t="shared" si="988"/>
        <v>479</v>
      </c>
      <c r="FT106" s="18">
        <f t="shared" si="988"/>
        <v>344</v>
      </c>
      <c r="FU106" s="18">
        <f t="shared" si="988"/>
        <v>1086</v>
      </c>
      <c r="FV106" s="18">
        <f t="shared" ref="FV106" si="989">FV12-FV55</f>
        <v>1086</v>
      </c>
      <c r="FW106" s="18">
        <f t="shared" si="987"/>
        <v>1086</v>
      </c>
      <c r="FX106" s="18">
        <f t="shared" ref="FX106:GB106" si="990">FX12-FX55</f>
        <v>1086</v>
      </c>
      <c r="FY106" s="18">
        <f t="shared" si="990"/>
        <v>1086</v>
      </c>
      <c r="FZ106" s="18">
        <f t="shared" ref="FZ106:GA106" si="991">FZ12-FZ55</f>
        <v>483</v>
      </c>
      <c r="GA106" s="18">
        <f t="shared" si="991"/>
        <v>407</v>
      </c>
      <c r="GB106" s="18">
        <f t="shared" si="990"/>
        <v>1086</v>
      </c>
      <c r="GC106" s="18">
        <f t="shared" ref="GC106" si="992">GC12-GC55</f>
        <v>1231</v>
      </c>
      <c r="GD106" s="18">
        <f t="shared" ref="GD106:GT106" si="993">GD12-GD55</f>
        <v>1158</v>
      </c>
      <c r="GE106" s="18">
        <f t="shared" si="993"/>
        <v>1158</v>
      </c>
      <c r="GF106" s="18">
        <f t="shared" si="993"/>
        <v>1256</v>
      </c>
      <c r="GG106" s="18">
        <f t="shared" si="993"/>
        <v>586</v>
      </c>
      <c r="GH106" s="18">
        <f t="shared" si="993"/>
        <v>671</v>
      </c>
      <c r="GI106" s="18">
        <f t="shared" si="993"/>
        <v>1256</v>
      </c>
      <c r="GJ106" s="18">
        <f t="shared" si="993"/>
        <v>1256</v>
      </c>
      <c r="GK106" s="18">
        <f t="shared" si="993"/>
        <v>1256</v>
      </c>
      <c r="GL106" s="18">
        <f t="shared" ref="GL106:GM106" si="994">GL12-GL55</f>
        <v>1256</v>
      </c>
      <c r="GM106" s="18">
        <f t="shared" si="994"/>
        <v>1256</v>
      </c>
      <c r="GN106" s="18">
        <f t="shared" si="993"/>
        <v>632</v>
      </c>
      <c r="GO106" s="18">
        <f t="shared" ref="GO106:GS106" si="995">GO12-GO55</f>
        <v>479</v>
      </c>
      <c r="GP106" s="18">
        <f t="shared" si="995"/>
        <v>1256</v>
      </c>
      <c r="GQ106" s="18">
        <f t="shared" ref="GQ106:GR106" si="996">GQ12-GQ55</f>
        <v>1256</v>
      </c>
      <c r="GR106" s="18">
        <f t="shared" si="996"/>
        <v>1256</v>
      </c>
      <c r="GS106" s="18">
        <f t="shared" si="995"/>
        <v>1256</v>
      </c>
      <c r="GT106" s="18">
        <f t="shared" si="993"/>
        <v>1256</v>
      </c>
      <c r="GU106" s="30">
        <f>SUM(F106:GT106)</f>
        <v>215671.375</v>
      </c>
    </row>
    <row r="107" spans="1:207" ht="15" thickBot="1" x14ac:dyDescent="0.35">
      <c r="B107" s="75"/>
      <c r="E107" s="23" t="s">
        <v>5</v>
      </c>
      <c r="F107" s="8">
        <v>320</v>
      </c>
      <c r="G107" s="8">
        <v>588</v>
      </c>
      <c r="H107" s="8">
        <v>603</v>
      </c>
      <c r="I107" s="8">
        <v>918</v>
      </c>
      <c r="J107" s="8">
        <v>1169</v>
      </c>
      <c r="K107" s="8">
        <v>1191</v>
      </c>
      <c r="L107" s="8">
        <v>1298</v>
      </c>
      <c r="M107" s="8">
        <v>1369</v>
      </c>
      <c r="N107" s="8">
        <v>1000</v>
      </c>
      <c r="O107" s="8">
        <v>463</v>
      </c>
      <c r="P107" s="8">
        <v>1214</v>
      </c>
      <c r="Q107" s="8">
        <v>1097</v>
      </c>
      <c r="R107" s="8">
        <v>1187</v>
      </c>
      <c r="S107" s="8">
        <v>1164</v>
      </c>
      <c r="T107" s="8">
        <v>957</v>
      </c>
      <c r="U107" s="8">
        <v>473</v>
      </c>
      <c r="V107" s="8">
        <v>692</v>
      </c>
      <c r="W107" s="8">
        <v>1210</v>
      </c>
      <c r="X107" s="8">
        <v>1143</v>
      </c>
      <c r="Y107" s="8">
        <v>1137</v>
      </c>
      <c r="Z107" s="8">
        <v>1598</v>
      </c>
      <c r="AA107" s="8">
        <v>1759</v>
      </c>
      <c r="AB107" s="8">
        <f>AB13-AB56</f>
        <v>766</v>
      </c>
      <c r="AC107" s="8">
        <f>AC13-AC56</f>
        <v>1121</v>
      </c>
      <c r="AD107" s="8">
        <f t="shared" ref="AD107:AJ107" si="997">AD13-AD56</f>
        <v>1808</v>
      </c>
      <c r="AE107" s="8">
        <f t="shared" si="997"/>
        <v>1759</v>
      </c>
      <c r="AF107" s="8">
        <f t="shared" si="997"/>
        <v>1943</v>
      </c>
      <c r="AG107" s="8">
        <f t="shared" si="997"/>
        <v>1790</v>
      </c>
      <c r="AH107" s="8">
        <f t="shared" si="997"/>
        <v>1658</v>
      </c>
      <c r="AI107" s="8">
        <f t="shared" si="997"/>
        <v>906</v>
      </c>
      <c r="AJ107" s="8">
        <f t="shared" si="997"/>
        <v>647</v>
      </c>
      <c r="AK107" s="8">
        <f>AK13-AK56</f>
        <v>1642</v>
      </c>
      <c r="AL107" s="8">
        <f>AL13-AL56</f>
        <v>1627</v>
      </c>
      <c r="AM107" s="8">
        <f>AM13-AM56</f>
        <v>1415</v>
      </c>
      <c r="AN107" s="8">
        <f>AN13-AN56</f>
        <v>1626</v>
      </c>
      <c r="AO107" s="8">
        <f>AO13-AO56</f>
        <v>1636</v>
      </c>
      <c r="AP107" s="8">
        <f t="shared" si="962"/>
        <v>813</v>
      </c>
      <c r="AQ107" s="8">
        <f t="shared" si="962"/>
        <v>834</v>
      </c>
      <c r="AR107" s="8">
        <f t="shared" si="962"/>
        <v>1102</v>
      </c>
      <c r="AS107" s="8">
        <f>AS13-AS56</f>
        <v>1657</v>
      </c>
      <c r="AT107" s="8">
        <f>AT13-AT56</f>
        <v>1870</v>
      </c>
      <c r="AU107" s="8">
        <f>AU13-AU56</f>
        <v>1858</v>
      </c>
      <c r="AV107" s="8">
        <f>AV13-AV56</f>
        <v>1961</v>
      </c>
      <c r="AW107" s="8">
        <f t="shared" ref="AW107:CB107" si="998">AW13-AW56</f>
        <v>1008</v>
      </c>
      <c r="AX107" s="8">
        <f t="shared" si="998"/>
        <v>999</v>
      </c>
      <c r="AY107" s="8">
        <f t="shared" si="998"/>
        <v>861</v>
      </c>
      <c r="AZ107" s="8">
        <f t="shared" si="998"/>
        <v>1643</v>
      </c>
      <c r="BA107" s="8">
        <f t="shared" si="998"/>
        <v>1661</v>
      </c>
      <c r="BB107" s="8">
        <f t="shared" si="998"/>
        <v>1578</v>
      </c>
      <c r="BC107" s="8">
        <f t="shared" si="998"/>
        <v>1666</v>
      </c>
      <c r="BD107" s="8">
        <f t="shared" si="998"/>
        <v>841</v>
      </c>
      <c r="BE107" s="8">
        <f t="shared" si="998"/>
        <v>664</v>
      </c>
      <c r="BF107" s="8">
        <f t="shared" si="998"/>
        <v>1636</v>
      </c>
      <c r="BG107" s="8">
        <f t="shared" si="998"/>
        <v>1607</v>
      </c>
      <c r="BH107" s="8">
        <f t="shared" si="998"/>
        <v>1583</v>
      </c>
      <c r="BI107" s="8">
        <f t="shared" si="998"/>
        <v>1661</v>
      </c>
      <c r="BJ107" s="8">
        <f t="shared" si="998"/>
        <v>1454</v>
      </c>
      <c r="BK107" s="8">
        <f t="shared" si="998"/>
        <v>776</v>
      </c>
      <c r="BL107" s="8">
        <f t="shared" si="998"/>
        <v>591</v>
      </c>
      <c r="BM107" s="8">
        <f t="shared" si="998"/>
        <v>1431</v>
      </c>
      <c r="BN107" s="8">
        <f t="shared" si="998"/>
        <v>1476</v>
      </c>
      <c r="BO107" s="8">
        <f t="shared" si="998"/>
        <v>1467</v>
      </c>
      <c r="BP107" s="8">
        <f t="shared" si="998"/>
        <v>1627</v>
      </c>
      <c r="BQ107" s="8">
        <f t="shared" si="998"/>
        <v>1620</v>
      </c>
      <c r="BR107" s="8">
        <f t="shared" si="998"/>
        <v>995</v>
      </c>
      <c r="BS107" s="8">
        <f t="shared" si="998"/>
        <v>624</v>
      </c>
      <c r="BT107" s="8">
        <f t="shared" si="998"/>
        <v>1707</v>
      </c>
      <c r="BU107" s="8">
        <f t="shared" si="998"/>
        <v>1707</v>
      </c>
      <c r="BV107" s="8">
        <f t="shared" si="998"/>
        <v>1509</v>
      </c>
      <c r="BW107" s="8">
        <f t="shared" si="998"/>
        <v>1180</v>
      </c>
      <c r="BX107" s="8">
        <f t="shared" si="998"/>
        <v>1505</v>
      </c>
      <c r="BY107" s="8">
        <f t="shared" si="998"/>
        <v>514</v>
      </c>
      <c r="BZ107" s="8">
        <f t="shared" si="998"/>
        <v>599</v>
      </c>
      <c r="CA107" s="8">
        <f t="shared" si="998"/>
        <v>1243</v>
      </c>
      <c r="CB107" s="8">
        <f t="shared" si="998"/>
        <v>1349</v>
      </c>
      <c r="CC107" s="8">
        <f t="shared" ref="CC107:EA107" si="999">CC13-CC56</f>
        <v>1577</v>
      </c>
      <c r="CD107" s="8">
        <f t="shared" si="999"/>
        <v>1275</v>
      </c>
      <c r="CE107" s="8">
        <f t="shared" si="999"/>
        <v>1085</v>
      </c>
      <c r="CF107" s="8">
        <f t="shared" si="999"/>
        <v>645</v>
      </c>
      <c r="CG107" s="8">
        <f t="shared" si="999"/>
        <v>431</v>
      </c>
      <c r="CH107" s="8">
        <f t="shared" si="999"/>
        <v>593</v>
      </c>
      <c r="CI107" s="8">
        <f t="shared" si="999"/>
        <v>1645</v>
      </c>
      <c r="CJ107" s="8">
        <f t="shared" si="999"/>
        <v>1260</v>
      </c>
      <c r="CK107" s="8">
        <f t="shared" si="999"/>
        <v>1358</v>
      </c>
      <c r="CL107" s="8">
        <f t="shared" si="999"/>
        <v>1142</v>
      </c>
      <c r="CM107" s="8">
        <f t="shared" si="999"/>
        <v>664</v>
      </c>
      <c r="CN107" s="8">
        <f t="shared" si="999"/>
        <v>540</v>
      </c>
      <c r="CO107" s="9">
        <f t="shared" si="999"/>
        <v>1269</v>
      </c>
      <c r="CP107" s="9">
        <f t="shared" si="999"/>
        <v>1329</v>
      </c>
      <c r="CQ107" s="9">
        <f t="shared" si="999"/>
        <v>1311</v>
      </c>
      <c r="CR107" s="9">
        <f t="shared" si="999"/>
        <v>1129</v>
      </c>
      <c r="CS107" s="9">
        <f t="shared" si="999"/>
        <v>1138</v>
      </c>
      <c r="CT107" s="9">
        <f t="shared" si="999"/>
        <v>580</v>
      </c>
      <c r="CU107" s="9">
        <f t="shared" si="999"/>
        <v>611</v>
      </c>
      <c r="CV107" s="9">
        <f t="shared" si="999"/>
        <v>1282</v>
      </c>
      <c r="CW107" s="9">
        <f t="shared" si="999"/>
        <v>1304</v>
      </c>
      <c r="CX107" s="9">
        <f t="shared" si="999"/>
        <v>1438</v>
      </c>
      <c r="CY107" s="9">
        <f t="shared" si="999"/>
        <v>988</v>
      </c>
      <c r="CZ107" s="9">
        <f t="shared" si="999"/>
        <v>1030</v>
      </c>
      <c r="DA107" s="9">
        <f t="shared" si="999"/>
        <v>852</v>
      </c>
      <c r="DB107" s="9">
        <f t="shared" si="999"/>
        <v>299</v>
      </c>
      <c r="DC107" s="9">
        <f t="shared" si="999"/>
        <v>1158</v>
      </c>
      <c r="DD107" s="9">
        <f t="shared" si="999"/>
        <v>927</v>
      </c>
      <c r="DE107" s="9">
        <f t="shared" ref="DE107:DZ107" si="1000">DE13-DE56</f>
        <v>816</v>
      </c>
      <c r="DF107" s="9">
        <f t="shared" si="1000"/>
        <v>781</v>
      </c>
      <c r="DG107" s="9">
        <f t="shared" si="1000"/>
        <v>823</v>
      </c>
      <c r="DH107" s="9">
        <f t="shared" ref="DH107:DI107" si="1001">DH13-DH56</f>
        <v>662</v>
      </c>
      <c r="DI107" s="9">
        <f t="shared" si="1001"/>
        <v>343</v>
      </c>
      <c r="DJ107" s="9">
        <f t="shared" si="1000"/>
        <v>791</v>
      </c>
      <c r="DK107" s="9">
        <f t="shared" si="1000"/>
        <v>784</v>
      </c>
      <c r="DL107" s="9">
        <f t="shared" ref="DL107:DQ107" si="1002">DL13-DL56</f>
        <v>915</v>
      </c>
      <c r="DM107" s="9">
        <f t="shared" si="1002"/>
        <v>702</v>
      </c>
      <c r="DN107" s="9">
        <f t="shared" ref="DN107:DP107" si="1003">DN13-DN56</f>
        <v>634</v>
      </c>
      <c r="DO107" s="9">
        <f t="shared" ref="DO107" si="1004">DO13-DO56</f>
        <v>326</v>
      </c>
      <c r="DP107" s="9">
        <f t="shared" si="1003"/>
        <v>220</v>
      </c>
      <c r="DQ107" s="9">
        <f t="shared" si="1002"/>
        <v>754</v>
      </c>
      <c r="DR107" s="9">
        <f t="shared" si="1000"/>
        <v>718</v>
      </c>
      <c r="DS107" s="9">
        <f t="shared" ref="DS107" si="1005">DS13-DS56</f>
        <v>875</v>
      </c>
      <c r="DT107" s="9">
        <f t="shared" si="1000"/>
        <v>673</v>
      </c>
      <c r="DU107" s="9">
        <f t="shared" ref="DU107:DV107" si="1006">DU13-DU56</f>
        <v>578</v>
      </c>
      <c r="DV107" s="9">
        <f t="shared" si="1006"/>
        <v>455</v>
      </c>
      <c r="DW107" s="9">
        <f t="shared" si="1000"/>
        <v>331</v>
      </c>
      <c r="DX107" s="9">
        <f t="shared" ref="DX107:DY107" si="1007">DX13-DX56</f>
        <v>372</v>
      </c>
      <c r="DY107" s="9">
        <f t="shared" si="1007"/>
        <v>845</v>
      </c>
      <c r="DZ107" s="9">
        <f t="shared" si="1000"/>
        <v>640</v>
      </c>
      <c r="EA107" s="9">
        <f t="shared" si="999"/>
        <v>745</v>
      </c>
      <c r="EB107" s="9">
        <f t="shared" ref="EB107:EJ107" si="1008">EB13-EB56</f>
        <v>629</v>
      </c>
      <c r="EC107" s="9">
        <f t="shared" ref="EC107:ED107" si="1009">EC13-EC56</f>
        <v>437</v>
      </c>
      <c r="ED107" s="9">
        <f t="shared" si="1009"/>
        <v>201</v>
      </c>
      <c r="EE107" s="9">
        <f t="shared" si="1008"/>
        <v>803</v>
      </c>
      <c r="EF107" s="9">
        <f t="shared" ref="EF107" si="1010">EF13-EF56</f>
        <v>686</v>
      </c>
      <c r="EG107" s="9">
        <f t="shared" si="1008"/>
        <v>691</v>
      </c>
      <c r="EH107" s="9">
        <f t="shared" ref="EH107:EI107" si="1011">EH13-EH56</f>
        <v>450</v>
      </c>
      <c r="EI107" s="9">
        <f t="shared" si="1011"/>
        <v>395</v>
      </c>
      <c r="EJ107" s="9">
        <f t="shared" si="1008"/>
        <v>194</v>
      </c>
      <c r="EK107" s="9">
        <f t="shared" ref="EK107" si="1012">EK13-EK56</f>
        <v>177</v>
      </c>
      <c r="EL107" s="9">
        <f t="shared" ref="EL107:EX107" si="1013">EL13-EL56</f>
        <v>694</v>
      </c>
      <c r="EM107" s="9">
        <f t="shared" si="1013"/>
        <v>520</v>
      </c>
      <c r="EN107" s="9">
        <f t="shared" si="1013"/>
        <v>555</v>
      </c>
      <c r="EO107" s="9">
        <f t="shared" si="1013"/>
        <v>535</v>
      </c>
      <c r="EP107" s="9">
        <f t="shared" si="1013"/>
        <v>465</v>
      </c>
      <c r="EQ107" s="9">
        <f t="shared" si="1013"/>
        <v>269</v>
      </c>
      <c r="ER107" s="9">
        <f t="shared" si="1013"/>
        <v>232</v>
      </c>
      <c r="ES107" s="9">
        <f t="shared" si="1013"/>
        <v>640</v>
      </c>
      <c r="ET107" s="9">
        <f t="shared" si="1013"/>
        <v>605</v>
      </c>
      <c r="EU107" s="9">
        <f t="shared" ref="EU107:EW107" si="1014">EU13-EU56</f>
        <v>546</v>
      </c>
      <c r="EV107" s="9">
        <f t="shared" ref="EV107" si="1015">EV13-EV56</f>
        <v>440</v>
      </c>
      <c r="EW107" s="9">
        <f t="shared" si="1014"/>
        <v>471</v>
      </c>
      <c r="EX107" s="9">
        <f t="shared" si="1013"/>
        <v>297</v>
      </c>
      <c r="EY107" s="9">
        <f t="shared" ref="EY107:GB107" si="1016">EY13-EY56</f>
        <v>253</v>
      </c>
      <c r="EZ107" s="9">
        <f t="shared" si="1016"/>
        <v>516</v>
      </c>
      <c r="FA107" s="9">
        <f t="shared" si="1016"/>
        <v>515</v>
      </c>
      <c r="FB107" s="9">
        <f t="shared" ref="FB107:FD107" si="1017">FB13-FB56</f>
        <v>593</v>
      </c>
      <c r="FC107" s="9">
        <f t="shared" si="1017"/>
        <v>578</v>
      </c>
      <c r="FD107" s="9">
        <f t="shared" si="1017"/>
        <v>741</v>
      </c>
      <c r="FE107" s="9">
        <f t="shared" si="1016"/>
        <v>392</v>
      </c>
      <c r="FF107" s="9">
        <f t="shared" si="1016"/>
        <v>410</v>
      </c>
      <c r="FG107" s="9">
        <f t="shared" si="1016"/>
        <v>981</v>
      </c>
      <c r="FH107" s="9">
        <f t="shared" si="1016"/>
        <v>750</v>
      </c>
      <c r="FI107" s="9">
        <f t="shared" si="948"/>
        <v>755</v>
      </c>
      <c r="FJ107" s="9">
        <f t="shared" si="948"/>
        <v>758</v>
      </c>
      <c r="FK107" s="9">
        <f t="shared" si="948"/>
        <v>648</v>
      </c>
      <c r="FL107" s="9">
        <f t="shared" ref="FL107" si="1018">FL13-FL56</f>
        <v>667</v>
      </c>
      <c r="FM107" s="9">
        <f t="shared" si="1016"/>
        <v>445</v>
      </c>
      <c r="FN107" s="9">
        <f t="shared" si="1016"/>
        <v>1085</v>
      </c>
      <c r="FO107" s="9">
        <f t="shared" ref="FO107" si="1019">FO13-FO56</f>
        <v>1057</v>
      </c>
      <c r="FP107" s="9">
        <f t="shared" ref="FP107:FU107" si="1020">FP13-FP56</f>
        <v>683</v>
      </c>
      <c r="FQ107" s="9">
        <f t="shared" si="1020"/>
        <v>1192</v>
      </c>
      <c r="FR107" s="9">
        <f t="shared" si="1020"/>
        <v>1069</v>
      </c>
      <c r="FS107" s="9">
        <f t="shared" si="1020"/>
        <v>853</v>
      </c>
      <c r="FT107" s="9">
        <f t="shared" si="1020"/>
        <v>594</v>
      </c>
      <c r="FU107" s="9">
        <f t="shared" si="1020"/>
        <v>1466</v>
      </c>
      <c r="FV107" s="9">
        <f t="shared" si="1016"/>
        <v>1167</v>
      </c>
      <c r="FW107" s="9">
        <f t="shared" ref="FW107:GA107" si="1021">FW13-FW56</f>
        <v>1169</v>
      </c>
      <c r="FX107" s="9">
        <f t="shared" si="1021"/>
        <v>1356</v>
      </c>
      <c r="FY107" s="9">
        <f t="shared" ref="FY107:FZ107" si="1022">FY13-FY56</f>
        <v>1262</v>
      </c>
      <c r="FZ107" s="9">
        <f t="shared" si="1022"/>
        <v>486</v>
      </c>
      <c r="GA107" s="9">
        <f t="shared" si="1021"/>
        <v>546</v>
      </c>
      <c r="GB107" s="9">
        <f t="shared" si="1016"/>
        <v>979</v>
      </c>
      <c r="GC107" s="9">
        <f t="shared" ref="GC107" si="1023">GC13-GC56</f>
        <v>1069</v>
      </c>
      <c r="GD107" s="9">
        <f t="shared" ref="GD107:GT107" si="1024">GD13-GD56</f>
        <v>1065</v>
      </c>
      <c r="GE107" s="9">
        <f t="shared" si="1024"/>
        <v>895</v>
      </c>
      <c r="GF107" s="9">
        <f t="shared" si="1024"/>
        <v>1069</v>
      </c>
      <c r="GG107" s="9">
        <f t="shared" si="1024"/>
        <v>1065</v>
      </c>
      <c r="GH107" s="9">
        <f t="shared" si="1024"/>
        <v>895</v>
      </c>
      <c r="GI107" s="9">
        <f t="shared" si="1024"/>
        <v>995</v>
      </c>
      <c r="GJ107" s="9">
        <f t="shared" si="1024"/>
        <v>985</v>
      </c>
      <c r="GK107" s="9">
        <f t="shared" si="1024"/>
        <v>1181</v>
      </c>
      <c r="GL107" s="9">
        <f t="shared" ref="GL107:GM107" si="1025">GL13-GL56</f>
        <v>1313</v>
      </c>
      <c r="GM107" s="9">
        <f t="shared" si="1025"/>
        <v>1211</v>
      </c>
      <c r="GN107" s="9">
        <f t="shared" si="1024"/>
        <v>847</v>
      </c>
      <c r="GO107" s="9">
        <f t="shared" ref="GO107:GS107" si="1026">GO13-GO56</f>
        <v>499</v>
      </c>
      <c r="GP107" s="9">
        <f t="shared" si="1026"/>
        <v>0</v>
      </c>
      <c r="GQ107" s="9">
        <f t="shared" ref="GQ107:GR107" si="1027">GQ13-GQ56</f>
        <v>0</v>
      </c>
      <c r="GR107" s="9">
        <f t="shared" si="1027"/>
        <v>0</v>
      </c>
      <c r="GS107" s="9">
        <f t="shared" si="1026"/>
        <v>0</v>
      </c>
      <c r="GT107" s="9">
        <f t="shared" si="1024"/>
        <v>0</v>
      </c>
      <c r="GU107" s="29">
        <f>SUM(F107:GT107)</f>
        <v>185401</v>
      </c>
      <c r="GV107" s="33">
        <f>GU107-GU105</f>
        <v>-19307</v>
      </c>
      <c r="GX107" s="70">
        <f>SUM(DG107:EK107)</f>
        <v>17849</v>
      </c>
      <c r="GY107" s="21">
        <f>GX107/GX105</f>
        <v>1.38107397090684</v>
      </c>
    </row>
    <row r="108" spans="1:207" x14ac:dyDescent="0.3">
      <c r="B108" s="75"/>
      <c r="E108" s="2" t="s">
        <v>110</v>
      </c>
      <c r="F108" s="31">
        <f t="shared" ref="F108" si="1028">IFERROR((F106-F105)/F105,"")</f>
        <v>0.35141242937853107</v>
      </c>
      <c r="G108" s="31">
        <f t="shared" ref="G108" si="1029">IFERROR((G106-G105)/G105,"")</f>
        <v>-0.17414965986394557</v>
      </c>
      <c r="H108" s="31">
        <f t="shared" ref="H108" si="1030">IFERROR((H106-H105)/H105,"")</f>
        <v>-0.26907073509015256</v>
      </c>
      <c r="I108" s="31">
        <f t="shared" ref="I108" si="1031">IFERROR((I106-I105)/I105,"")</f>
        <v>-4.7770700636942678E-2</v>
      </c>
      <c r="J108" s="31">
        <f t="shared" ref="J108" si="1032">IFERROR((J106-J105)/J105,"")</f>
        <v>-0.23431498079385404</v>
      </c>
      <c r="K108" s="31">
        <f t="shared" ref="K108" si="1033">IFERROR((K106-K105)/K105,"")</f>
        <v>-0.21003963011889035</v>
      </c>
      <c r="L108" s="31">
        <f t="shared" ref="L108" si="1034">IFERROR((L106-L105)/L105,"")</f>
        <v>-0.14449213161659513</v>
      </c>
      <c r="M108" s="31">
        <f t="shared" ref="M108" si="1035">IFERROR((M106-M105)/M105,"")</f>
        <v>-0.30586186883343008</v>
      </c>
      <c r="N108" s="31">
        <f t="shared" ref="N108" si="1036">IFERROR((N106-N105)/N105,"")</f>
        <v>-0.46205733558178752</v>
      </c>
      <c r="O108" s="31">
        <f t="shared" ref="O108" si="1037">IFERROR((O106-O105)/O105,"")</f>
        <v>-0.33121827411167515</v>
      </c>
      <c r="P108" s="31">
        <f t="shared" ref="P108" si="1038">IFERROR((P106-P105)/P105,"")</f>
        <v>-0.64875183553597648</v>
      </c>
      <c r="Q108" s="31">
        <f t="shared" ref="Q108" si="1039">IFERROR((Q106-Q105)/Q105,"")</f>
        <v>-0.69366197183098588</v>
      </c>
      <c r="R108" s="31">
        <f t="shared" ref="R108:V108" si="1040">IFERROR((R106-R105)/R105,"")</f>
        <v>-0.66501240694789077</v>
      </c>
      <c r="S108" s="31">
        <f t="shared" si="1040"/>
        <v>-0.57016899338721527</v>
      </c>
      <c r="T108" s="31">
        <f t="shared" si="1040"/>
        <v>-0.46082949308755761</v>
      </c>
      <c r="U108" s="31">
        <f t="shared" ref="U108" si="1041">IFERROR((U106-U105)/U105,"")</f>
        <v>-0.60959319975713422</v>
      </c>
      <c r="V108" s="31">
        <f t="shared" si="1040"/>
        <v>-0.14037433155080214</v>
      </c>
      <c r="W108" s="31">
        <f t="shared" ref="W108:CN108" si="1042">IFERROR((W106-W105)/W105,"")</f>
        <v>-0.49828473413379076</v>
      </c>
      <c r="X108" s="31">
        <f t="shared" ref="X108:CJ108" si="1043">IFERROR((X106-X105)/X105,"")</f>
        <v>-0.51592883740173767</v>
      </c>
      <c r="Y108" s="31">
        <f t="shared" si="1043"/>
        <v>-0.29090909090909089</v>
      </c>
      <c r="Z108" s="31">
        <f t="shared" si="1043"/>
        <v>0.27245949926362295</v>
      </c>
      <c r="AA108" s="31">
        <f t="shared" si="1043"/>
        <v>0.18681318681318682</v>
      </c>
      <c r="AB108" s="31">
        <f t="shared" si="1043"/>
        <v>8.4477296726504746E-3</v>
      </c>
      <c r="AC108" s="31">
        <f t="shared" si="1043"/>
        <v>7.3582629674306399E-2</v>
      </c>
      <c r="AD108" s="31">
        <f t="shared" si="1043"/>
        <v>-0.16360116166505323</v>
      </c>
      <c r="AE108" s="31">
        <f t="shared" si="1043"/>
        <v>-7.1466953250940352E-2</v>
      </c>
      <c r="AF108" s="31">
        <f t="shared" si="1043"/>
        <v>-0.11926605504587157</v>
      </c>
      <c r="AG108" s="31">
        <f t="shared" si="1043"/>
        <v>-5.7283142389525366E-2</v>
      </c>
      <c r="AH108" s="31">
        <f t="shared" si="1043"/>
        <v>-0.04</v>
      </c>
      <c r="AI108" s="31">
        <f t="shared" si="1043"/>
        <v>-0.16102470265324795</v>
      </c>
      <c r="AJ108" s="31">
        <f t="shared" ref="AJ108" si="1044">IFERROR((AJ106-AJ105)/AJ105,"")</f>
        <v>-0.25432900432900435</v>
      </c>
      <c r="AK108" s="31">
        <f t="shared" si="1043"/>
        <v>-0.25892857142857145</v>
      </c>
      <c r="AL108" s="31">
        <f t="shared" ref="AL108" si="1045">IFERROR((AL106-AL105)/AL105,"")</f>
        <v>-0.13502492070684186</v>
      </c>
      <c r="AM108" s="31">
        <f t="shared" si="1043"/>
        <v>-7.3452256033578175E-2</v>
      </c>
      <c r="AN108" s="31">
        <f t="shared" si="1043"/>
        <v>8.8108441158348733E-2</v>
      </c>
      <c r="AO108" s="31">
        <f t="shared" si="1043"/>
        <v>0.18048128342245989</v>
      </c>
      <c r="AP108" s="31">
        <f t="shared" ref="AP108" si="1046">IFERROR((AP106-AP105)/AP105,"")</f>
        <v>-0.16635932560590094</v>
      </c>
      <c r="AQ108" s="31">
        <f t="shared" si="1043"/>
        <v>0.55601659751037347</v>
      </c>
      <c r="AR108" s="31">
        <f t="shared" ref="AR108" si="1047">IFERROR((AR106-AR105)/AR105,"")</f>
        <v>1.4303455723542116</v>
      </c>
      <c r="AS108" s="31">
        <f t="shared" si="1043"/>
        <v>-8.068714211348256E-2</v>
      </c>
      <c r="AT108" s="31">
        <f t="shared" ref="AT108" si="1048">IFERROR((AT106-AT105)/AT105,"")</f>
        <v>0.26142857142857145</v>
      </c>
      <c r="AU108" s="31">
        <f t="shared" si="1043"/>
        <v>9.553349875930521E-2</v>
      </c>
      <c r="AV108" s="31">
        <f t="shared" ref="AV108:AW108" si="1049">IFERROR((AV106-AV105)/AV105,"")</f>
        <v>0.47289407839866554</v>
      </c>
      <c r="AW108" s="31">
        <f t="shared" si="1049"/>
        <v>0.1806775407779172</v>
      </c>
      <c r="AX108" s="31">
        <f t="shared" si="1043"/>
        <v>1.3978494623655915</v>
      </c>
      <c r="AY108" s="31">
        <f t="shared" ref="AY108:AZ108" si="1050">IFERROR((AY106-AY105)/AY105,"")</f>
        <v>2.8521739130434782</v>
      </c>
      <c r="AZ108" s="31">
        <f t="shared" si="1050"/>
        <v>-0.15510649918077554</v>
      </c>
      <c r="BA108" s="31">
        <f t="shared" si="1043"/>
        <v>-9.585037989479836E-2</v>
      </c>
      <c r="BB108" s="31">
        <f>IFERROR((BB106-BB105)/BB105,"")</f>
        <v>-2.8876333961079723E-2</v>
      </c>
      <c r="BC108" s="31">
        <f t="shared" ref="BC108" si="1051">IFERROR((BC106-BC105)/BC105,"")</f>
        <v>-1.4649681528662421E-2</v>
      </c>
      <c r="BD108" s="31">
        <f t="shared" si="1043"/>
        <v>-0.21512247071352503</v>
      </c>
      <c r="BE108" s="31">
        <f t="shared" ref="BE108" si="1052">IFERROR((BE106-BE105)/BE105,"")</f>
        <v>0.10509031198686371</v>
      </c>
      <c r="BF108" s="31">
        <f t="shared" si="1043"/>
        <v>-0.12301587301587301</v>
      </c>
      <c r="BG108" s="31">
        <f t="shared" ref="BG108" si="1053">IFERROR((BG106-BG105)/BG105,"")</f>
        <v>-0.21824779678589942</v>
      </c>
      <c r="BH108" s="31">
        <f t="shared" si="1043"/>
        <v>-0.3210265646105358</v>
      </c>
      <c r="BI108" s="31">
        <f t="shared" ref="BI108" si="1054">IFERROR((BI106-BI105)/BI105,"")</f>
        <v>-0.30410706045223812</v>
      </c>
      <c r="BJ108" s="31">
        <f t="shared" si="1043"/>
        <v>-0.20798319327731093</v>
      </c>
      <c r="BK108" s="31">
        <f t="shared" ref="BK108" si="1055">IFERROR((BK106-BK105)/BK105,"")</f>
        <v>-0.20432432432432432</v>
      </c>
      <c r="BL108" s="31">
        <f t="shared" si="1043"/>
        <v>4.4444444444444446E-2</v>
      </c>
      <c r="BM108" s="31">
        <f t="shared" ref="BM108:BN108" si="1056">IFERROR((BM106-BM105)/BM105,"")</f>
        <v>-0.47675225537820959</v>
      </c>
      <c r="BN108" s="31">
        <f t="shared" si="1056"/>
        <v>-0.45461365341335336</v>
      </c>
      <c r="BO108" s="31">
        <f t="shared" si="1043"/>
        <v>-0.31001727115716754</v>
      </c>
      <c r="BP108" s="31">
        <f t="shared" ref="BP108" si="1057">IFERROR((BP106-BP105)/BP105,"")</f>
        <v>-0.13340563991323209</v>
      </c>
      <c r="BQ108" s="31">
        <f t="shared" si="1043"/>
        <v>1.0113780025284451E-2</v>
      </c>
      <c r="BR108" s="31">
        <f t="shared" ref="BR108" si="1058">IFERROR((BR106-BR105)/BR105,"")</f>
        <v>2.0270270270270271E-2</v>
      </c>
      <c r="BS108" s="31">
        <f t="shared" si="1043"/>
        <v>0.45358649789029537</v>
      </c>
      <c r="BT108" s="31">
        <f t="shared" si="1043"/>
        <v>-0.26121128062875637</v>
      </c>
      <c r="BU108" s="31">
        <f t="shared" ref="BU108:BV108" si="1059">IFERROR((BU106-BU105)/BU105,"")</f>
        <v>-0.17416020671834626</v>
      </c>
      <c r="BV108" s="31">
        <f t="shared" si="1059"/>
        <v>0.42170818505338076</v>
      </c>
      <c r="BW108" s="31">
        <f t="shared" si="1043"/>
        <v>0.44484629294755879</v>
      </c>
      <c r="BX108" s="31">
        <f t="shared" si="1043"/>
        <v>1.195054945054945</v>
      </c>
      <c r="BY108" s="31">
        <f t="shared" ref="BY108:BZ108" si="1060">IFERROR((BY106-BY105)/BY105,"")</f>
        <v>1.1382113821138211</v>
      </c>
      <c r="BZ108" s="31">
        <f t="shared" si="1060"/>
        <v>1.7127272727272727</v>
      </c>
      <c r="CA108" s="31">
        <f t="shared" si="1043"/>
        <v>0.62233502538071062</v>
      </c>
      <c r="CB108" s="31">
        <f t="shared" si="1043"/>
        <v>0.68565400843881852</v>
      </c>
      <c r="CC108" s="31">
        <f t="shared" ref="CC108" si="1061">IFERROR((CC106-CC105)/CC105,"")</f>
        <v>0.64065708418891165</v>
      </c>
      <c r="CD108" s="31">
        <f t="shared" si="1043"/>
        <v>0.92530120481927713</v>
      </c>
      <c r="CE108" s="31">
        <f t="shared" ref="CE108:CF108" si="1062">IFERROR((CE106-CE105)/CE105,"")</f>
        <v>1.3674074074074074</v>
      </c>
      <c r="CF108" s="31">
        <f t="shared" si="1062"/>
        <v>0.91919191919191923</v>
      </c>
      <c r="CG108" s="31">
        <f t="shared" si="1043"/>
        <v>0.90645161290322585</v>
      </c>
      <c r="CH108" s="31">
        <f t="shared" ref="CH108:CI108" si="1063">IFERROR((CH106-CH105)/CH105,"")</f>
        <v>0.23595505617977527</v>
      </c>
      <c r="CI108" s="31">
        <f t="shared" si="1063"/>
        <v>0.70217917675544794</v>
      </c>
      <c r="CJ108" s="31">
        <f t="shared" si="1043"/>
        <v>0.85733157199471599</v>
      </c>
      <c r="CK108" s="31">
        <f t="shared" ref="CK108:CM108" si="1064">IFERROR((CK106-CK105)/CK105,"")</f>
        <v>0.82360570687418933</v>
      </c>
      <c r="CL108" s="31">
        <f t="shared" ref="CL108" si="1065">IFERROR((CL106-CL105)/CL105,"")</f>
        <v>1.221169036334913</v>
      </c>
      <c r="CM108" s="31">
        <f t="shared" si="1064"/>
        <v>0.90476190476190477</v>
      </c>
      <c r="CN108" s="31">
        <f t="shared" si="1042"/>
        <v>1.1968503937007875</v>
      </c>
      <c r="CO108" s="31">
        <f t="shared" ref="CO108:EJ108" si="1066">IFERROR((CO106-CO105)/CO105,"")</f>
        <v>0.88471849865951746</v>
      </c>
      <c r="CP108" s="31">
        <f t="shared" ref="CP108:DZ108" si="1067">IFERROR((CP106-CP105)/CP105,"")</f>
        <v>0.78426395939086291</v>
      </c>
      <c r="CQ108" s="31">
        <f t="shared" si="1067"/>
        <v>1.1252115059221659</v>
      </c>
      <c r="CR108" s="31">
        <f t="shared" ref="CR108" si="1068">IFERROR((CR106-CR105)/CR105,"")</f>
        <v>0.78409090909090906</v>
      </c>
      <c r="CS108" s="31">
        <f t="shared" si="1067"/>
        <v>0.99682034976152623</v>
      </c>
      <c r="CT108" s="31">
        <f t="shared" ref="CT108" si="1069">IFERROR((CT106-CT105)/CT105,"")</f>
        <v>0.7564469914040115</v>
      </c>
      <c r="CU108" s="31">
        <f t="shared" si="1067"/>
        <v>0.83524904214559392</v>
      </c>
      <c r="CV108" s="31">
        <f t="shared" ref="CV108" si="1070">IFERROR((CV106-CV105)/CV105,"")</f>
        <v>0.65263157894736845</v>
      </c>
      <c r="CW108" s="31">
        <f t="shared" si="1067"/>
        <v>0.57788944723618085</v>
      </c>
      <c r="CX108" s="31">
        <f t="shared" ref="CX108" si="1071">IFERROR((CX106-CX105)/CX105,"")</f>
        <v>0.81502890173410403</v>
      </c>
      <c r="CY108" s="31">
        <f t="shared" si="1067"/>
        <v>1.0356564019448946</v>
      </c>
      <c r="CZ108" s="31">
        <f t="shared" ref="CZ108:DA108" si="1072">IFERROR((CZ106-CZ105)/CZ105,"")</f>
        <v>1.0623973727422003</v>
      </c>
      <c r="DA108" s="31">
        <f t="shared" si="1072"/>
        <v>1.1540880503144655</v>
      </c>
      <c r="DB108" s="31">
        <f t="shared" si="1067"/>
        <v>1.5541666666666667</v>
      </c>
      <c r="DC108" s="31">
        <f t="shared" ref="DC108" si="1073">IFERROR((DC106-DC105)/DC105,"")</f>
        <v>0.78156028368794328</v>
      </c>
      <c r="DD108" s="31">
        <f t="shared" si="1067"/>
        <v>0.97795275590551178</v>
      </c>
      <c r="DE108" s="31">
        <f t="shared" si="1067"/>
        <v>1.2919708029197081</v>
      </c>
      <c r="DF108" s="31">
        <f t="shared" si="1067"/>
        <v>1.3969465648854962</v>
      </c>
      <c r="DG108" s="31">
        <f t="shared" si="1067"/>
        <v>1.0225442834138487</v>
      </c>
      <c r="DH108" s="31">
        <f t="shared" ref="DH108:DI108" si="1074">IFERROR((DH106-DH105)/DH105,"")</f>
        <v>0.4595238095238095</v>
      </c>
      <c r="DI108" s="31">
        <f t="shared" si="1074"/>
        <v>1.158450704225352</v>
      </c>
      <c r="DJ108" s="31">
        <f t="shared" si="1067"/>
        <v>1.27124773960217</v>
      </c>
      <c r="DK108" s="31">
        <f t="shared" si="1067"/>
        <v>0.99682034976152623</v>
      </c>
      <c r="DL108" s="31">
        <f t="shared" ref="DL108:DQ108" si="1075">IFERROR((DL106-DL105)/DL105,"")</f>
        <v>1.0726072607260726</v>
      </c>
      <c r="DM108" s="31">
        <f t="shared" si="1075"/>
        <v>1.610989010989011</v>
      </c>
      <c r="DN108" s="31">
        <f t="shared" ref="DN108:DP108" si="1076">IFERROR((DN106-DN105)/DN105,"")</f>
        <v>2.0618556701030926</v>
      </c>
      <c r="DO108" s="31">
        <f t="shared" ref="DO108" si="1077">IFERROR((DO106-DO105)/DO105,"")</f>
        <v>1.3769230769230769</v>
      </c>
      <c r="DP108" s="31">
        <f t="shared" si="1076"/>
        <v>1.9780219780219781</v>
      </c>
      <c r="DQ108" s="31">
        <f t="shared" si="1075"/>
        <v>0.5987158908507223</v>
      </c>
      <c r="DR108" s="31">
        <f t="shared" si="1067"/>
        <v>0.77540106951871657</v>
      </c>
      <c r="DS108" s="31">
        <f t="shared" ref="DS108" si="1078">IFERROR((DS106-DS105)/DS105,"")</f>
        <v>0.90439770554493304</v>
      </c>
      <c r="DT108" s="31">
        <f t="shared" si="1067"/>
        <v>1.2791762013729977</v>
      </c>
      <c r="DU108" s="31">
        <f t="shared" ref="DU108:DV108" si="1079">IFERROR((DU106-DU105)/DU105,"")</f>
        <v>1.189010989010989</v>
      </c>
      <c r="DV108" s="31">
        <f t="shared" si="1079"/>
        <v>0.93125000000000002</v>
      </c>
      <c r="DW108" s="31">
        <f t="shared" si="1067"/>
        <v>1.3037974683544304</v>
      </c>
      <c r="DX108" s="31">
        <f t="shared" ref="DX108:DY108" si="1080">IFERROR((DX106-DX105)/DX105,"")</f>
        <v>1.196</v>
      </c>
      <c r="DY108" s="31">
        <f t="shared" si="1080"/>
        <v>0.6247960848287113</v>
      </c>
      <c r="DZ108" s="31">
        <f t="shared" si="1067"/>
        <v>0.82417582417582413</v>
      </c>
      <c r="EA108" s="31">
        <f t="shared" si="1066"/>
        <v>0.6767676767676768</v>
      </c>
      <c r="EB108" s="31">
        <f t="shared" si="1066"/>
        <v>0.99599198396793587</v>
      </c>
      <c r="EC108" s="31">
        <f t="shared" ref="EC108:ED108" si="1081">IFERROR((EC106-EC105)/EC105,"")</f>
        <v>1.0949152542372882</v>
      </c>
      <c r="ED108" s="31">
        <f t="shared" si="1081"/>
        <v>1.4840182648401827</v>
      </c>
      <c r="EE108" s="31">
        <f t="shared" si="1066"/>
        <v>0.67394957983193282</v>
      </c>
      <c r="EF108" s="31">
        <f t="shared" ref="EF108" si="1082">IFERROR((EF106-EF105)/EF105,"")</f>
        <v>1.1419354838709677</v>
      </c>
      <c r="EG108" s="31">
        <f t="shared" si="1066"/>
        <v>1.0121212121212122</v>
      </c>
      <c r="EH108" s="31">
        <f t="shared" ref="EH108:EI108" si="1083">IFERROR((EH106-EH105)/EH105,"")</f>
        <v>3.0653061224489795</v>
      </c>
      <c r="EI108" s="31">
        <f t="shared" si="1083"/>
        <v>3.1673640167364017</v>
      </c>
      <c r="EJ108" s="31">
        <f t="shared" si="1066"/>
        <v>2.3253012048192772</v>
      </c>
      <c r="EK108" s="31">
        <f t="shared" ref="EK108" si="1084">IFERROR((EK106-EK105)/EK105,"")</f>
        <v>2.2147651006711411</v>
      </c>
      <c r="EL108" s="31">
        <f t="shared" ref="EL108:EX108" si="1085">IFERROR((EL106-EL105)/EL105,"")</f>
        <v>0.7142857142857143</v>
      </c>
      <c r="EM108" s="31">
        <f t="shared" si="1085"/>
        <v>1.6846361185983827</v>
      </c>
      <c r="EN108" s="31">
        <f t="shared" si="1085"/>
        <v>1.3109048723897911</v>
      </c>
      <c r="EO108" s="31">
        <f t="shared" si="1085"/>
        <v>1.821529745042493</v>
      </c>
      <c r="EP108" s="31">
        <f t="shared" si="1085"/>
        <v>2.1719745222929938</v>
      </c>
      <c r="EQ108" s="31">
        <f t="shared" si="1085"/>
        <v>1.732394366197183</v>
      </c>
      <c r="ER108" s="31">
        <f t="shared" si="1085"/>
        <v>1.7528735632183907</v>
      </c>
      <c r="ES108" s="31">
        <f t="shared" si="1085"/>
        <v>1.5673758865248226</v>
      </c>
      <c r="ET108" s="31">
        <f t="shared" si="1085"/>
        <v>1.7917737789203085</v>
      </c>
      <c r="EU108" s="31">
        <f t="shared" ref="EU108:EW108" si="1086">IFERROR((EU106-EU105)/EU105,"")</f>
        <v>2.1569767441860463</v>
      </c>
      <c r="EV108" s="31">
        <f t="shared" ref="EV108" si="1087">IFERROR((EV106-EV105)/EV105,"")</f>
        <v>2.8785714285714286</v>
      </c>
      <c r="EW108" s="31">
        <f t="shared" si="1086"/>
        <v>2.5606557377049182</v>
      </c>
      <c r="EX108" s="31">
        <f t="shared" si="1085"/>
        <v>2.197802197802198</v>
      </c>
      <c r="EY108" s="31">
        <f t="shared" ref="EY108:GB108" si="1088">IFERROR((EY106-EY105)/EY105,"")</f>
        <v>1.9030303030303031</v>
      </c>
      <c r="EZ108" s="31">
        <f t="shared" si="1088"/>
        <v>1.9351351351351351</v>
      </c>
      <c r="FA108" s="31">
        <f t="shared" si="1088"/>
        <v>1.8959999999999999</v>
      </c>
      <c r="FB108" s="31">
        <f t="shared" ref="FB108:FD108" si="1089">IFERROR((FB106-FB105)/FB105,"")</f>
        <v>1.8806366047745358</v>
      </c>
      <c r="FC108" s="31">
        <f t="shared" si="1089"/>
        <v>1.6423357664233578</v>
      </c>
      <c r="FD108" s="31">
        <f t="shared" si="1089"/>
        <v>0.95675675675675675</v>
      </c>
      <c r="FE108" s="31">
        <f t="shared" si="1088"/>
        <v>0.64872521246458925</v>
      </c>
      <c r="FF108" s="31">
        <f t="shared" si="1088"/>
        <v>0.42559523809523808</v>
      </c>
      <c r="FG108" s="31">
        <f t="shared" si="1088"/>
        <v>0.27464788732394368</v>
      </c>
      <c r="FH108" s="31">
        <f t="shared" si="1088"/>
        <v>0.81605351170568563</v>
      </c>
      <c r="FI108" s="31">
        <f t="shared" si="1088"/>
        <v>1.0223463687150838</v>
      </c>
      <c r="FJ108" s="31">
        <f t="shared" ref="FJ108:FK108" si="1090">IFERROR((FJ106-FJ105)/FJ105,"")</f>
        <v>1.1087378640776699</v>
      </c>
      <c r="FK108" s="31">
        <f t="shared" si="1090"/>
        <v>0.63800904977375561</v>
      </c>
      <c r="FL108" s="31">
        <f t="shared" ref="FL108" si="1091">IFERROR((FL106-FL105)/FL105,"")</f>
        <v>-0.23047619047619047</v>
      </c>
      <c r="FM108" s="31">
        <f t="shared" si="1088"/>
        <v>6.8584070796460173E-2</v>
      </c>
      <c r="FN108" s="31">
        <f t="shared" si="1088"/>
        <v>-0.32124999999999998</v>
      </c>
      <c r="FO108" s="31">
        <f t="shared" ref="FO108:FS108" si="1092">IFERROR((FO106-FO105)/FO105,"")</f>
        <v>-0.26572008113590262</v>
      </c>
      <c r="FP108" s="31">
        <f t="shared" si="1092"/>
        <v>-0.39470782800441012</v>
      </c>
      <c r="FQ108" s="31">
        <f t="shared" ref="FQ108:FR108" si="1093">IFERROR((FQ106-FQ105)/FQ105,"")</f>
        <v>-0.47963584091998085</v>
      </c>
      <c r="FR108" s="31">
        <f t="shared" si="1093"/>
        <v>-0.35164179104477611</v>
      </c>
      <c r="FS108" s="31">
        <f t="shared" si="1092"/>
        <v>-0.4487917146144994</v>
      </c>
      <c r="FT108" s="31">
        <f t="shared" si="1088"/>
        <v>-0.39115044247787611</v>
      </c>
      <c r="FU108" s="31">
        <f t="shared" ref="FU108" si="1094">IFERROR((FU106-FU105)/FU105,"")</f>
        <v>-0.52451838879159374</v>
      </c>
      <c r="FV108" s="31">
        <f t="shared" si="1088"/>
        <v>-0.48384030418250951</v>
      </c>
      <c r="FW108" s="31">
        <f t="shared" ref="FW108:GA108" si="1095">IFERROR((FW106-FW105)/FW105,"")</f>
        <v>-0.40132304299889748</v>
      </c>
      <c r="FX108" s="31">
        <f t="shared" si="1095"/>
        <v>-0.47536231884057972</v>
      </c>
      <c r="FY108" s="31">
        <f t="shared" ref="FY108:FZ108" si="1096">IFERROR((FY106-FY105)/FY105,"")</f>
        <v>-0.41925133689839572</v>
      </c>
      <c r="FZ108" s="31">
        <f t="shared" si="1096"/>
        <v>-0.58823529411764708</v>
      </c>
      <c r="GA108" s="31">
        <f t="shared" si="1095"/>
        <v>-0.10940919037199125</v>
      </c>
      <c r="GB108" s="31">
        <f t="shared" si="1088"/>
        <v>-0.58069498069498071</v>
      </c>
      <c r="GC108" s="31">
        <f t="shared" ref="GC108" si="1097">IFERROR((GC106-GC105)/GC105,"")</f>
        <v>-0.51592607156901293</v>
      </c>
      <c r="GD108" s="31">
        <f t="shared" ref="GD108:GT108" si="1098">IFERROR((GD106-GD105)/GD105,"")</f>
        <v>-0.58701854493580596</v>
      </c>
      <c r="GE108" s="31">
        <f t="shared" si="1098"/>
        <v>-0.52208006603384238</v>
      </c>
      <c r="GF108" s="31">
        <f t="shared" si="1098"/>
        <v>-0.43702375616315553</v>
      </c>
      <c r="GG108" s="31">
        <f t="shared" si="1098"/>
        <v>-0.48776223776223776</v>
      </c>
      <c r="GH108" s="31">
        <f t="shared" si="1098"/>
        <v>-6.6759388038942977E-2</v>
      </c>
      <c r="GI108" s="31">
        <f t="shared" si="1098"/>
        <v>-0.50079491255961839</v>
      </c>
      <c r="GJ108" s="31">
        <f t="shared" si="1098"/>
        <v>-0.58341625207296854</v>
      </c>
      <c r="GK108" s="31">
        <f t="shared" si="1098"/>
        <v>-0.54949784791965561</v>
      </c>
      <c r="GL108" s="31">
        <f t="shared" ref="GL108:GM108" si="1099">IFERROR((GL106-GL105)/GL105,"")</f>
        <v>-0.47883817427385894</v>
      </c>
      <c r="GM108" s="31">
        <f t="shared" si="1099"/>
        <v>-0.40782649693540785</v>
      </c>
      <c r="GN108" s="31">
        <f t="shared" si="1098"/>
        <v>-0.30928961748633882</v>
      </c>
      <c r="GO108" s="31">
        <f t="shared" ref="GO108:GS108" si="1100">IFERROR((GO106-GO105)/GO105,"")</f>
        <v>-9.9624060150375934E-2</v>
      </c>
      <c r="GP108" s="31" t="str">
        <f t="shared" si="1100"/>
        <v/>
      </c>
      <c r="GQ108" s="31" t="str">
        <f t="shared" ref="GQ108:GR108" si="1101">IFERROR((GQ106-GQ105)/GQ105,"")</f>
        <v/>
      </c>
      <c r="GR108" s="31" t="str">
        <f t="shared" si="1101"/>
        <v/>
      </c>
      <c r="GS108" s="31" t="str">
        <f t="shared" si="1100"/>
        <v/>
      </c>
      <c r="GT108" s="31" t="str">
        <f t="shared" si="1098"/>
        <v/>
      </c>
    </row>
    <row r="109" spans="1:207" x14ac:dyDescent="0.3">
      <c r="B109" s="75"/>
      <c r="E109" s="2" t="s">
        <v>111</v>
      </c>
      <c r="F109" s="5">
        <f t="shared" ref="F109:O109" si="1102">F106-F105</f>
        <v>311</v>
      </c>
      <c r="G109" s="5">
        <f t="shared" si="1102"/>
        <v>-128</v>
      </c>
      <c r="H109" s="5">
        <f t="shared" si="1102"/>
        <v>-194</v>
      </c>
      <c r="I109" s="5">
        <f t="shared" si="1102"/>
        <v>-60</v>
      </c>
      <c r="J109" s="5">
        <f t="shared" si="1102"/>
        <v>-366</v>
      </c>
      <c r="K109" s="5">
        <f t="shared" si="1102"/>
        <v>-318</v>
      </c>
      <c r="L109" s="5">
        <f t="shared" si="1102"/>
        <v>-202</v>
      </c>
      <c r="M109" s="5">
        <f t="shared" si="1102"/>
        <v>-527</v>
      </c>
      <c r="N109" s="5">
        <f t="shared" si="1102"/>
        <v>-548</v>
      </c>
      <c r="O109" s="5">
        <f t="shared" si="1102"/>
        <v>-261</v>
      </c>
      <c r="P109" s="5">
        <f t="shared" ref="P109:V109" si="1103">P106-P105</f>
        <v>-2209</v>
      </c>
      <c r="Q109" s="5">
        <f t="shared" si="1103"/>
        <v>-2364</v>
      </c>
      <c r="R109" s="5">
        <f t="shared" ref="R109:U109" si="1104">R106-R105</f>
        <v>-2144</v>
      </c>
      <c r="S109" s="5">
        <f t="shared" ref="S109" si="1105">S106-S105</f>
        <v>-1552</v>
      </c>
      <c r="T109" s="5">
        <f t="shared" si="1104"/>
        <v>-1000</v>
      </c>
      <c r="U109" s="5">
        <f t="shared" si="1104"/>
        <v>-1004</v>
      </c>
      <c r="V109" s="5">
        <f t="shared" si="1103"/>
        <v>-105</v>
      </c>
      <c r="W109" s="5">
        <f t="shared" ref="W109" si="1106">W106-W105</f>
        <v>-1162</v>
      </c>
      <c r="X109" s="5">
        <f t="shared" ref="X109:AS109" si="1107">X106-X105</f>
        <v>-1247</v>
      </c>
      <c r="Y109" s="5">
        <f t="shared" si="1107"/>
        <v>-480</v>
      </c>
      <c r="Z109" s="5">
        <f t="shared" si="1107"/>
        <v>370</v>
      </c>
      <c r="AA109" s="5">
        <f t="shared" si="1107"/>
        <v>272</v>
      </c>
      <c r="AB109" s="5">
        <f t="shared" si="1107"/>
        <v>8</v>
      </c>
      <c r="AC109" s="5">
        <f t="shared" si="1107"/>
        <v>61</v>
      </c>
      <c r="AD109" s="5">
        <f t="shared" si="1107"/>
        <v>-338</v>
      </c>
      <c r="AE109" s="5">
        <f t="shared" si="1107"/>
        <v>-133</v>
      </c>
      <c r="AF109" s="5">
        <f t="shared" si="1107"/>
        <v>-234</v>
      </c>
      <c r="AG109" s="5">
        <f t="shared" si="1107"/>
        <v>-105</v>
      </c>
      <c r="AH109" s="5">
        <f t="shared" si="1107"/>
        <v>-72</v>
      </c>
      <c r="AI109" s="5">
        <f t="shared" si="1107"/>
        <v>-176</v>
      </c>
      <c r="AJ109" s="5">
        <f t="shared" ref="AJ109" si="1108">AJ106-AJ105</f>
        <v>-235</v>
      </c>
      <c r="AK109" s="5">
        <f t="shared" si="1107"/>
        <v>-667</v>
      </c>
      <c r="AL109" s="5">
        <f t="shared" ref="AL109" si="1109">AL106-AL105</f>
        <v>-298</v>
      </c>
      <c r="AM109" s="5">
        <f t="shared" si="1107"/>
        <v>-140</v>
      </c>
      <c r="AN109" s="5">
        <f t="shared" si="1107"/>
        <v>143</v>
      </c>
      <c r="AO109" s="5">
        <f t="shared" si="1107"/>
        <v>270</v>
      </c>
      <c r="AP109" s="5">
        <f t="shared" ref="AP109" si="1110">AP106-AP105</f>
        <v>-157.875</v>
      </c>
      <c r="AQ109" s="5">
        <f t="shared" si="1107"/>
        <v>268</v>
      </c>
      <c r="AR109" s="5">
        <f t="shared" ref="AR109" si="1111">AR106-AR105</f>
        <v>662.25</v>
      </c>
      <c r="AS109" s="5">
        <f t="shared" si="1107"/>
        <v>-155</v>
      </c>
      <c r="AT109" s="5">
        <f t="shared" ref="AT109" si="1112">AT106-AT105</f>
        <v>366</v>
      </c>
      <c r="AU109" s="5">
        <f t="shared" ref="AU109:CN109" si="1113">AU106-AU105</f>
        <v>154</v>
      </c>
      <c r="AV109" s="5">
        <f t="shared" si="1113"/>
        <v>567</v>
      </c>
      <c r="AW109" s="5">
        <f t="shared" si="1113"/>
        <v>144</v>
      </c>
      <c r="AX109" s="5">
        <f t="shared" si="1113"/>
        <v>520</v>
      </c>
      <c r="AY109" s="5">
        <f t="shared" si="1113"/>
        <v>984</v>
      </c>
      <c r="AZ109" s="5">
        <f t="shared" si="1113"/>
        <v>-284</v>
      </c>
      <c r="BA109" s="5">
        <f t="shared" si="1113"/>
        <v>-164</v>
      </c>
      <c r="BB109" s="5">
        <f t="shared" si="1113"/>
        <v>-46</v>
      </c>
      <c r="BC109" s="5">
        <f t="shared" ref="BC109:CM109" si="1114">BC106-BC105</f>
        <v>-23</v>
      </c>
      <c r="BD109" s="5">
        <f t="shared" si="1114"/>
        <v>-202</v>
      </c>
      <c r="BE109" s="5">
        <f t="shared" ref="BE109" si="1115">BE106-BE105</f>
        <v>64</v>
      </c>
      <c r="BF109" s="5">
        <f t="shared" si="1114"/>
        <v>-217</v>
      </c>
      <c r="BG109" s="5">
        <f t="shared" ref="BG109" si="1116">BG106-BG105</f>
        <v>-421</v>
      </c>
      <c r="BH109" s="5">
        <f t="shared" si="1114"/>
        <v>-713</v>
      </c>
      <c r="BI109" s="5">
        <f t="shared" ref="BI109" si="1117">BI106-BI105</f>
        <v>-659</v>
      </c>
      <c r="BJ109" s="5">
        <f t="shared" si="1114"/>
        <v>-396</v>
      </c>
      <c r="BK109" s="5">
        <f t="shared" ref="BK109" si="1118">BK106-BK105</f>
        <v>-189</v>
      </c>
      <c r="BL109" s="5">
        <f t="shared" si="1114"/>
        <v>26</v>
      </c>
      <c r="BM109" s="5">
        <f t="shared" ref="BM109:BN109" si="1119">BM106-BM105</f>
        <v>-1374</v>
      </c>
      <c r="BN109" s="5">
        <f t="shared" si="1119"/>
        <v>-1212</v>
      </c>
      <c r="BO109" s="5">
        <f t="shared" si="1114"/>
        <v>-718</v>
      </c>
      <c r="BP109" s="5">
        <f t="shared" ref="BP109" si="1120">BP106-BP105</f>
        <v>-246</v>
      </c>
      <c r="BQ109" s="5">
        <f t="shared" si="1114"/>
        <v>16</v>
      </c>
      <c r="BR109" s="5">
        <f t="shared" ref="BR109" si="1121">BR106-BR105</f>
        <v>15</v>
      </c>
      <c r="BS109" s="5">
        <f t="shared" si="1114"/>
        <v>215</v>
      </c>
      <c r="BT109" s="5">
        <f t="shared" si="1114"/>
        <v>-565</v>
      </c>
      <c r="BU109" s="5">
        <f t="shared" ref="BU109:BV109" si="1122">BU106-BU105</f>
        <v>-337</v>
      </c>
      <c r="BV109" s="5">
        <f t="shared" si="1122"/>
        <v>474</v>
      </c>
      <c r="BW109" s="5">
        <f t="shared" si="1114"/>
        <v>492</v>
      </c>
      <c r="BX109" s="5">
        <f t="shared" si="1114"/>
        <v>870</v>
      </c>
      <c r="BY109" s="5">
        <f t="shared" ref="BY109:BZ109" si="1123">BY106-BY105</f>
        <v>420</v>
      </c>
      <c r="BZ109" s="5">
        <f t="shared" si="1123"/>
        <v>471</v>
      </c>
      <c r="CA109" s="5">
        <f t="shared" si="1114"/>
        <v>613</v>
      </c>
      <c r="CB109" s="5">
        <f t="shared" si="1114"/>
        <v>650</v>
      </c>
      <c r="CC109" s="5">
        <f t="shared" ref="CC109" si="1124">CC106-CC105</f>
        <v>624</v>
      </c>
      <c r="CD109" s="5">
        <f t="shared" si="1114"/>
        <v>768</v>
      </c>
      <c r="CE109" s="5">
        <f t="shared" ref="CE109:CF109" si="1125">CE106-CE105</f>
        <v>923</v>
      </c>
      <c r="CF109" s="5">
        <f t="shared" si="1125"/>
        <v>364</v>
      </c>
      <c r="CG109" s="5">
        <f t="shared" si="1114"/>
        <v>281</v>
      </c>
      <c r="CH109" s="5">
        <f t="shared" ref="CH109:CI109" si="1126">CH106-CH105</f>
        <v>105</v>
      </c>
      <c r="CI109" s="5">
        <f t="shared" si="1126"/>
        <v>580</v>
      </c>
      <c r="CJ109" s="5">
        <f t="shared" si="1114"/>
        <v>649</v>
      </c>
      <c r="CK109" s="5">
        <f t="shared" si="1114"/>
        <v>635</v>
      </c>
      <c r="CL109" s="5">
        <f t="shared" ref="CL109" si="1127">CL106-CL105</f>
        <v>773</v>
      </c>
      <c r="CM109" s="5">
        <f t="shared" si="1114"/>
        <v>361</v>
      </c>
      <c r="CN109" s="5">
        <f t="shared" si="1113"/>
        <v>304</v>
      </c>
      <c r="CO109" s="5">
        <f t="shared" ref="CO109:EJ109" si="1128">CO106-CO105</f>
        <v>660</v>
      </c>
      <c r="CP109" s="5">
        <f t="shared" ref="CP109:DZ109" si="1129">CP106-CP105</f>
        <v>618</v>
      </c>
      <c r="CQ109" s="5">
        <f t="shared" si="1129"/>
        <v>665</v>
      </c>
      <c r="CR109" s="5">
        <f t="shared" ref="CR109" si="1130">CR106-CR105</f>
        <v>552</v>
      </c>
      <c r="CS109" s="5">
        <f t="shared" si="1129"/>
        <v>627</v>
      </c>
      <c r="CT109" s="5">
        <f t="shared" ref="CT109" si="1131">CT106-CT105</f>
        <v>264</v>
      </c>
      <c r="CU109" s="5">
        <f t="shared" si="1129"/>
        <v>218</v>
      </c>
      <c r="CV109" s="5">
        <f t="shared" ref="CV109" si="1132">CV106-CV105</f>
        <v>496</v>
      </c>
      <c r="CW109" s="5">
        <f t="shared" si="1129"/>
        <v>460</v>
      </c>
      <c r="CX109" s="5">
        <f t="shared" ref="CX109" si="1133">CX106-CX105</f>
        <v>564</v>
      </c>
      <c r="CY109" s="5">
        <f t="shared" si="1129"/>
        <v>639</v>
      </c>
      <c r="CZ109" s="5">
        <f t="shared" ref="CZ109:DA109" si="1134">CZ106-CZ105</f>
        <v>647</v>
      </c>
      <c r="DA109" s="5">
        <f t="shared" si="1134"/>
        <v>367</v>
      </c>
      <c r="DB109" s="5">
        <f t="shared" si="1129"/>
        <v>373</v>
      </c>
      <c r="DC109" s="5">
        <f t="shared" ref="DC109" si="1135">DC106-DC105</f>
        <v>551</v>
      </c>
      <c r="DD109" s="5">
        <f t="shared" si="1129"/>
        <v>621</v>
      </c>
      <c r="DE109" s="5">
        <f t="shared" si="1129"/>
        <v>708</v>
      </c>
      <c r="DF109" s="5">
        <f t="shared" si="1129"/>
        <v>732</v>
      </c>
      <c r="DG109" s="5">
        <f t="shared" si="1129"/>
        <v>635</v>
      </c>
      <c r="DH109" s="5">
        <f t="shared" ref="DH109:DI109" si="1136">DH106-DH105</f>
        <v>193</v>
      </c>
      <c r="DI109" s="5">
        <f t="shared" si="1136"/>
        <v>329</v>
      </c>
      <c r="DJ109" s="5">
        <f t="shared" si="1129"/>
        <v>703</v>
      </c>
      <c r="DK109" s="5">
        <f t="shared" si="1129"/>
        <v>627</v>
      </c>
      <c r="DL109" s="5">
        <f t="shared" ref="DL109:DQ109" si="1137">DL106-DL105</f>
        <v>650</v>
      </c>
      <c r="DM109" s="5">
        <f t="shared" si="1137"/>
        <v>733</v>
      </c>
      <c r="DN109" s="5">
        <f t="shared" ref="DN109:DP109" si="1138">DN106-DN105</f>
        <v>800</v>
      </c>
      <c r="DO109" s="5">
        <f t="shared" ref="DO109" si="1139">DO106-DO105</f>
        <v>358</v>
      </c>
      <c r="DP109" s="5">
        <f t="shared" si="1138"/>
        <v>360</v>
      </c>
      <c r="DQ109" s="5">
        <f t="shared" si="1137"/>
        <v>373</v>
      </c>
      <c r="DR109" s="5">
        <f t="shared" si="1129"/>
        <v>435</v>
      </c>
      <c r="DS109" s="5">
        <f t="shared" ref="DS109" si="1140">DS106-DS105</f>
        <v>473</v>
      </c>
      <c r="DT109" s="5">
        <f t="shared" si="1129"/>
        <v>559</v>
      </c>
      <c r="DU109" s="5">
        <f t="shared" ref="DU109:DV109" si="1141">DU106-DU105</f>
        <v>541</v>
      </c>
      <c r="DV109" s="5">
        <f t="shared" si="1141"/>
        <v>298</v>
      </c>
      <c r="DW109" s="5">
        <f t="shared" si="1129"/>
        <v>309</v>
      </c>
      <c r="DX109" s="5">
        <f t="shared" ref="DX109:DY109" si="1142">DX106-DX105</f>
        <v>299</v>
      </c>
      <c r="DY109" s="5">
        <f t="shared" si="1142"/>
        <v>383</v>
      </c>
      <c r="DZ109" s="5">
        <f t="shared" si="1129"/>
        <v>450</v>
      </c>
      <c r="EA109" s="5">
        <f t="shared" si="1128"/>
        <v>402</v>
      </c>
      <c r="EB109" s="5">
        <f t="shared" si="1128"/>
        <v>497</v>
      </c>
      <c r="EC109" s="5">
        <f t="shared" ref="EC109:ED109" si="1143">EC106-EC105</f>
        <v>323</v>
      </c>
      <c r="ED109" s="5">
        <f t="shared" si="1143"/>
        <v>325</v>
      </c>
      <c r="EE109" s="5">
        <f t="shared" si="1128"/>
        <v>401</v>
      </c>
      <c r="EF109" s="5">
        <f t="shared" ref="EF109" si="1144">EF106-EF105</f>
        <v>531</v>
      </c>
      <c r="EG109" s="5">
        <f t="shared" si="1128"/>
        <v>501</v>
      </c>
      <c r="EH109" s="5">
        <f t="shared" ref="EH109:EI109" si="1145">EH106-EH105</f>
        <v>751</v>
      </c>
      <c r="EI109" s="5">
        <f t="shared" si="1145"/>
        <v>757</v>
      </c>
      <c r="EJ109" s="5">
        <f t="shared" si="1128"/>
        <v>386</v>
      </c>
      <c r="EK109" s="5">
        <f t="shared" ref="EK109" si="1146">EK106-EK105</f>
        <v>330</v>
      </c>
      <c r="EL109" s="5">
        <f t="shared" ref="EL109:EX109" si="1147">EL106-EL105</f>
        <v>415</v>
      </c>
      <c r="EM109" s="5">
        <f t="shared" si="1147"/>
        <v>625</v>
      </c>
      <c r="EN109" s="5">
        <f t="shared" si="1147"/>
        <v>565</v>
      </c>
      <c r="EO109" s="5">
        <f t="shared" si="1147"/>
        <v>643</v>
      </c>
      <c r="EP109" s="5">
        <f t="shared" si="1147"/>
        <v>682</v>
      </c>
      <c r="EQ109" s="5">
        <f t="shared" si="1147"/>
        <v>369</v>
      </c>
      <c r="ER109" s="5">
        <f t="shared" si="1147"/>
        <v>305</v>
      </c>
      <c r="ES109" s="5">
        <f t="shared" si="1147"/>
        <v>663</v>
      </c>
      <c r="ET109" s="5">
        <f t="shared" si="1147"/>
        <v>697</v>
      </c>
      <c r="EU109" s="5">
        <f t="shared" ref="EU109:EW109" si="1148">EU106-EU105</f>
        <v>742</v>
      </c>
      <c r="EV109" s="5">
        <f t="shared" ref="EV109" si="1149">EV106-EV105</f>
        <v>806</v>
      </c>
      <c r="EW109" s="5">
        <f t="shared" si="1148"/>
        <v>781</v>
      </c>
      <c r="EX109" s="5">
        <f t="shared" si="1147"/>
        <v>400</v>
      </c>
      <c r="EY109" s="5">
        <f t="shared" ref="EY109:GB109" si="1150">EY106-EY105</f>
        <v>314</v>
      </c>
      <c r="EZ109" s="5">
        <f t="shared" si="1150"/>
        <v>716</v>
      </c>
      <c r="FA109" s="5">
        <f t="shared" si="1150"/>
        <v>711</v>
      </c>
      <c r="FB109" s="5">
        <f t="shared" ref="FB109:FD109" si="1151">FB106-FB105</f>
        <v>709</v>
      </c>
      <c r="FC109" s="5">
        <f t="shared" si="1151"/>
        <v>675</v>
      </c>
      <c r="FD109" s="5">
        <f t="shared" si="1151"/>
        <v>531</v>
      </c>
      <c r="FE109" s="5">
        <f t="shared" si="1150"/>
        <v>229</v>
      </c>
      <c r="FF109" s="5">
        <f t="shared" si="1150"/>
        <v>143</v>
      </c>
      <c r="FG109" s="5">
        <f t="shared" si="1150"/>
        <v>234</v>
      </c>
      <c r="FH109" s="5">
        <f t="shared" si="1150"/>
        <v>488</v>
      </c>
      <c r="FI109" s="5">
        <f t="shared" si="1150"/>
        <v>549</v>
      </c>
      <c r="FJ109" s="5">
        <f t="shared" ref="FJ109:FK109" si="1152">FJ106-FJ105</f>
        <v>571</v>
      </c>
      <c r="FK109" s="5">
        <f t="shared" si="1152"/>
        <v>423</v>
      </c>
      <c r="FL109" s="5">
        <f t="shared" ref="FL109" si="1153">FL106-FL105</f>
        <v>-121</v>
      </c>
      <c r="FM109" s="5">
        <f t="shared" si="1150"/>
        <v>31</v>
      </c>
      <c r="FN109" s="5">
        <f t="shared" si="1150"/>
        <v>-514</v>
      </c>
      <c r="FO109" s="5">
        <f t="shared" ref="FO109" si="1154">FO106-FO105</f>
        <v>-393</v>
      </c>
      <c r="FP109" s="5">
        <f t="shared" ref="FP109:FU109" si="1155">FP106-FP105</f>
        <v>-358</v>
      </c>
      <c r="FQ109" s="5">
        <f t="shared" si="1155"/>
        <v>-1001</v>
      </c>
      <c r="FR109" s="5">
        <f t="shared" si="1155"/>
        <v>-589</v>
      </c>
      <c r="FS109" s="5">
        <f t="shared" si="1155"/>
        <v>-390</v>
      </c>
      <c r="FT109" s="5">
        <f t="shared" si="1155"/>
        <v>-221</v>
      </c>
      <c r="FU109" s="5">
        <f t="shared" si="1155"/>
        <v>-1198</v>
      </c>
      <c r="FV109" s="5">
        <f t="shared" si="1150"/>
        <v>-1018</v>
      </c>
      <c r="FW109" s="5">
        <f t="shared" ref="FW109:GA109" si="1156">FW106-FW105</f>
        <v>-728</v>
      </c>
      <c r="FX109" s="5">
        <f t="shared" si="1156"/>
        <v>-984</v>
      </c>
      <c r="FY109" s="5">
        <f t="shared" ref="FY109:FZ109" si="1157">FY106-FY105</f>
        <v>-784</v>
      </c>
      <c r="FZ109" s="5">
        <f t="shared" si="1157"/>
        <v>-690</v>
      </c>
      <c r="GA109" s="5">
        <f t="shared" si="1156"/>
        <v>-50</v>
      </c>
      <c r="GB109" s="5">
        <f t="shared" si="1150"/>
        <v>-1504</v>
      </c>
      <c r="GC109" s="5">
        <f t="shared" ref="GC109" si="1158">GC106-GC105</f>
        <v>-1312</v>
      </c>
      <c r="GD109" s="5">
        <f t="shared" ref="GD109:GT109" si="1159">GD106-GD105</f>
        <v>-1646</v>
      </c>
      <c r="GE109" s="5">
        <f t="shared" si="1159"/>
        <v>-1265</v>
      </c>
      <c r="GF109" s="5">
        <f t="shared" si="1159"/>
        <v>-975</v>
      </c>
      <c r="GG109" s="5">
        <f t="shared" si="1159"/>
        <v>-558</v>
      </c>
      <c r="GH109" s="5">
        <f t="shared" si="1159"/>
        <v>-48</v>
      </c>
      <c r="GI109" s="5">
        <f t="shared" si="1159"/>
        <v>-1260</v>
      </c>
      <c r="GJ109" s="5">
        <f t="shared" si="1159"/>
        <v>-1759</v>
      </c>
      <c r="GK109" s="5">
        <f t="shared" si="1159"/>
        <v>-1532</v>
      </c>
      <c r="GL109" s="5">
        <f t="shared" ref="GL109:GM109" si="1160">GL106-GL105</f>
        <v>-1154</v>
      </c>
      <c r="GM109" s="5">
        <f t="shared" si="1160"/>
        <v>-865</v>
      </c>
      <c r="GN109" s="5">
        <f t="shared" si="1159"/>
        <v>-283</v>
      </c>
      <c r="GO109" s="5">
        <f t="shared" ref="GO109:GS109" si="1161">GO106-GO105</f>
        <v>-53</v>
      </c>
      <c r="GP109" s="5">
        <f t="shared" si="1161"/>
        <v>1256</v>
      </c>
      <c r="GQ109" s="5">
        <f t="shared" ref="GQ109:GR109" si="1162">GQ106-GQ105</f>
        <v>1256</v>
      </c>
      <c r="GR109" s="5">
        <f t="shared" si="1162"/>
        <v>1256</v>
      </c>
      <c r="GS109" s="5">
        <f t="shared" si="1161"/>
        <v>1256</v>
      </c>
      <c r="GT109" s="5">
        <f t="shared" si="1159"/>
        <v>1256</v>
      </c>
    </row>
    <row r="110" spans="1:207" x14ac:dyDescent="0.3">
      <c r="B110" s="75"/>
      <c r="E110" s="50" t="s">
        <v>66</v>
      </c>
      <c r="F110" s="3">
        <f t="shared" ref="F110:AK110" si="1163">F16-F59</f>
        <v>0</v>
      </c>
      <c r="G110" s="3">
        <f t="shared" si="1163"/>
        <v>0</v>
      </c>
      <c r="H110" s="3">
        <f t="shared" si="1163"/>
        <v>0</v>
      </c>
      <c r="I110" s="3">
        <f t="shared" si="1163"/>
        <v>0</v>
      </c>
      <c r="J110" s="3">
        <f t="shared" si="1163"/>
        <v>0</v>
      </c>
      <c r="K110" s="56">
        <f t="shared" si="1163"/>
        <v>447</v>
      </c>
      <c r="L110" s="56">
        <f t="shared" si="1163"/>
        <v>553</v>
      </c>
      <c r="M110" s="56">
        <f t="shared" si="1163"/>
        <v>600</v>
      </c>
      <c r="N110" s="56">
        <f t="shared" si="1163"/>
        <v>920</v>
      </c>
      <c r="O110" s="56">
        <f t="shared" si="1163"/>
        <v>1101</v>
      </c>
      <c r="P110" s="56">
        <f t="shared" si="1163"/>
        <v>1317</v>
      </c>
      <c r="Q110" s="56">
        <f t="shared" si="1163"/>
        <v>2097</v>
      </c>
      <c r="R110" s="56">
        <f t="shared" si="1163"/>
        <v>1707</v>
      </c>
      <c r="S110" s="56">
        <f t="shared" si="1163"/>
        <v>2256</v>
      </c>
      <c r="T110" s="56">
        <f t="shared" si="1163"/>
        <v>2424</v>
      </c>
      <c r="U110" s="56">
        <f t="shared" si="1163"/>
        <v>2848</v>
      </c>
      <c r="V110" s="56">
        <f t="shared" si="1163"/>
        <v>3365</v>
      </c>
      <c r="W110" s="56">
        <f t="shared" si="1163"/>
        <v>3267</v>
      </c>
      <c r="X110" s="56">
        <f t="shared" si="1163"/>
        <v>3081</v>
      </c>
      <c r="Y110" s="56">
        <f t="shared" si="1163"/>
        <v>2873</v>
      </c>
      <c r="Z110" s="56">
        <f t="shared" si="1163"/>
        <v>2944</v>
      </c>
      <c r="AA110" s="56">
        <f t="shared" si="1163"/>
        <v>2669</v>
      </c>
      <c r="AB110" s="56">
        <f t="shared" si="1163"/>
        <v>2324</v>
      </c>
      <c r="AC110" s="56">
        <f t="shared" si="1163"/>
        <v>2524</v>
      </c>
      <c r="AD110" s="56">
        <f t="shared" si="1163"/>
        <v>2048</v>
      </c>
      <c r="AE110" s="56">
        <f t="shared" si="1163"/>
        <v>2200</v>
      </c>
      <c r="AF110" s="56">
        <f t="shared" si="1163"/>
        <v>2182</v>
      </c>
      <c r="AG110" s="56">
        <f t="shared" si="1163"/>
        <v>2290</v>
      </c>
      <c r="AH110" s="56">
        <f t="shared" si="1163"/>
        <v>2069</v>
      </c>
      <c r="AI110" s="56">
        <f t="shared" si="1163"/>
        <v>2261</v>
      </c>
      <c r="AJ110" s="56">
        <f t="shared" si="1163"/>
        <v>2421</v>
      </c>
      <c r="AK110" s="3">
        <f t="shared" si="1163"/>
        <v>3200</v>
      </c>
      <c r="AL110" s="3">
        <f t="shared" ref="AL110:BQ110" si="1164">AL16-AL59</f>
        <v>3871</v>
      </c>
      <c r="AM110" s="3">
        <f t="shared" si="1164"/>
        <v>3893</v>
      </c>
      <c r="AN110" s="3">
        <f t="shared" si="1164"/>
        <v>3518</v>
      </c>
      <c r="AO110" s="3">
        <f t="shared" si="1164"/>
        <v>3644</v>
      </c>
      <c r="AP110" s="3">
        <f t="shared" si="1164"/>
        <v>3646</v>
      </c>
      <c r="AQ110" s="3">
        <f t="shared" si="1164"/>
        <v>3568</v>
      </c>
      <c r="AR110" s="3">
        <f t="shared" si="1164"/>
        <v>3364</v>
      </c>
      <c r="AS110" s="3">
        <f t="shared" si="1164"/>
        <v>2768</v>
      </c>
      <c r="AT110" s="3">
        <f t="shared" si="1164"/>
        <v>2945</v>
      </c>
      <c r="AU110" s="3">
        <f t="shared" si="1164"/>
        <v>2188</v>
      </c>
      <c r="AV110" s="3">
        <f t="shared" si="1164"/>
        <v>1551</v>
      </c>
      <c r="AW110" s="3">
        <f t="shared" si="1164"/>
        <v>1295</v>
      </c>
      <c r="AX110" s="3">
        <f t="shared" si="1164"/>
        <v>1224</v>
      </c>
      <c r="AY110" s="3">
        <f t="shared" si="1164"/>
        <v>616</v>
      </c>
      <c r="AZ110" s="3">
        <f t="shared" si="1164"/>
        <v>261</v>
      </c>
      <c r="BA110" s="3">
        <f t="shared" si="1164"/>
        <v>606</v>
      </c>
      <c r="BB110" s="3">
        <f t="shared" si="1164"/>
        <v>777</v>
      </c>
      <c r="BC110" s="3">
        <f t="shared" si="1164"/>
        <v>886</v>
      </c>
      <c r="BD110" s="3">
        <f t="shared" si="1164"/>
        <v>1107</v>
      </c>
      <c r="BE110" s="3">
        <f t="shared" si="1164"/>
        <v>1256</v>
      </c>
      <c r="BF110" s="3">
        <f t="shared" si="1164"/>
        <v>1010</v>
      </c>
      <c r="BG110" s="3">
        <f t="shared" si="1164"/>
        <v>1208</v>
      </c>
      <c r="BH110" s="3">
        <f t="shared" si="1164"/>
        <v>1447</v>
      </c>
      <c r="BI110" s="3">
        <f t="shared" si="1164"/>
        <v>1647</v>
      </c>
      <c r="BJ110" s="3">
        <f t="shared" si="1164"/>
        <v>1793</v>
      </c>
      <c r="BK110" s="3">
        <f t="shared" si="1164"/>
        <v>1562</v>
      </c>
      <c r="BL110" s="3">
        <f t="shared" si="1164"/>
        <v>1700</v>
      </c>
      <c r="BM110" s="3">
        <f t="shared" si="1164"/>
        <v>1784</v>
      </c>
      <c r="BN110" s="3">
        <f t="shared" si="1164"/>
        <v>2016</v>
      </c>
      <c r="BO110" s="3">
        <f t="shared" si="1164"/>
        <v>1989</v>
      </c>
      <c r="BP110" s="3">
        <f t="shared" si="1164"/>
        <v>1823</v>
      </c>
      <c r="BQ110" s="3">
        <f t="shared" si="1164"/>
        <v>1400</v>
      </c>
      <c r="BR110" s="3">
        <f t="shared" ref="BR110:CW110" si="1165">BR16-BR59</f>
        <v>1046</v>
      </c>
      <c r="BS110" s="3">
        <f t="shared" si="1165"/>
        <v>779</v>
      </c>
      <c r="BT110" s="3">
        <f t="shared" si="1165"/>
        <v>640</v>
      </c>
      <c r="BU110" s="3">
        <f t="shared" si="1165"/>
        <v>342</v>
      </c>
      <c r="BV110" s="3">
        <f t="shared" si="1165"/>
        <v>102</v>
      </c>
      <c r="BW110" s="3">
        <f t="shared" si="1165"/>
        <v>179</v>
      </c>
      <c r="BX110" s="3">
        <f t="shared" si="1165"/>
        <v>201</v>
      </c>
      <c r="BY110" s="3">
        <f t="shared" si="1165"/>
        <v>203</v>
      </c>
      <c r="BZ110" s="3">
        <f t="shared" si="1165"/>
        <v>324</v>
      </c>
      <c r="CA110" s="3">
        <f t="shared" si="1165"/>
        <v>179</v>
      </c>
      <c r="CB110" s="3">
        <f t="shared" si="1165"/>
        <v>169</v>
      </c>
      <c r="CC110" s="3">
        <f t="shared" si="1165"/>
        <v>179</v>
      </c>
      <c r="CD110" s="3">
        <f t="shared" si="1165"/>
        <v>163</v>
      </c>
      <c r="CE110" s="3">
        <f t="shared" si="1165"/>
        <v>58</v>
      </c>
      <c r="CF110" s="3">
        <f t="shared" si="1165"/>
        <v>67</v>
      </c>
      <c r="CG110" s="3">
        <f t="shared" si="1165"/>
        <v>41</v>
      </c>
      <c r="CH110" s="3">
        <f t="shared" si="1165"/>
        <v>80</v>
      </c>
      <c r="CI110" s="3">
        <f t="shared" si="1165"/>
        <v>99</v>
      </c>
      <c r="CJ110" s="3">
        <f t="shared" si="1165"/>
        <v>165</v>
      </c>
      <c r="CK110" s="3">
        <f t="shared" si="1165"/>
        <v>33</v>
      </c>
      <c r="CL110" s="3">
        <f t="shared" si="1165"/>
        <v>84</v>
      </c>
      <c r="CM110" s="3">
        <f t="shared" si="1165"/>
        <v>19</v>
      </c>
      <c r="CN110" s="3">
        <f t="shared" si="1165"/>
        <v>43</v>
      </c>
      <c r="CO110" s="3">
        <f t="shared" si="1165"/>
        <v>16</v>
      </c>
      <c r="CP110" s="3">
        <f t="shared" si="1165"/>
        <v>70</v>
      </c>
      <c r="CQ110" s="3">
        <f t="shared" si="1165"/>
        <v>93</v>
      </c>
      <c r="CR110" s="3">
        <f t="shared" si="1165"/>
        <v>35</v>
      </c>
      <c r="CS110" s="3">
        <f t="shared" si="1165"/>
        <v>71</v>
      </c>
      <c r="CT110" s="3">
        <f t="shared" si="1165"/>
        <v>71</v>
      </c>
      <c r="CU110" s="3">
        <f t="shared" si="1165"/>
        <v>39</v>
      </c>
      <c r="CV110" s="3">
        <f t="shared" si="1165"/>
        <v>48</v>
      </c>
      <c r="CW110" s="3">
        <f t="shared" si="1165"/>
        <v>80</v>
      </c>
      <c r="CX110" s="3">
        <f t="shared" ref="CX110:EA110" si="1166">CX16-CX59</f>
        <v>184</v>
      </c>
      <c r="CY110" s="3">
        <f t="shared" si="1166"/>
        <v>194</v>
      </c>
      <c r="CZ110" s="3">
        <f t="shared" si="1166"/>
        <v>140</v>
      </c>
      <c r="DA110" s="3">
        <f t="shared" si="1166"/>
        <v>54</v>
      </c>
      <c r="DB110" s="3">
        <f t="shared" si="1166"/>
        <v>58</v>
      </c>
      <c r="DC110" s="3">
        <f t="shared" si="1166"/>
        <v>10</v>
      </c>
      <c r="DD110" s="3">
        <f t="shared" si="1166"/>
        <v>41</v>
      </c>
      <c r="DE110" s="3">
        <f t="shared" ref="DE110:DZ110" si="1167">DE16-DE59</f>
        <v>62</v>
      </c>
      <c r="DF110" s="3">
        <f t="shared" si="1167"/>
        <v>18</v>
      </c>
      <c r="DG110" s="3">
        <f t="shared" si="1167"/>
        <v>24</v>
      </c>
      <c r="DH110" s="3">
        <f t="shared" ref="DH110:DI110" si="1168">DH16-DH59</f>
        <v>56</v>
      </c>
      <c r="DI110" s="3">
        <f t="shared" si="1168"/>
        <v>30</v>
      </c>
      <c r="DJ110" s="3">
        <f t="shared" si="1167"/>
        <v>12</v>
      </c>
      <c r="DK110" s="3">
        <f t="shared" si="1167"/>
        <v>28</v>
      </c>
      <c r="DL110" s="3">
        <f t="shared" ref="DL110:DQ110" si="1169">DL16-DL59</f>
        <v>25</v>
      </c>
      <c r="DM110" s="3">
        <f t="shared" si="1169"/>
        <v>14</v>
      </c>
      <c r="DN110" s="3">
        <f t="shared" ref="DN110:DP110" si="1170">DN16-DN59</f>
        <v>10</v>
      </c>
      <c r="DO110" s="3">
        <f t="shared" ref="DO110" si="1171">DO16-DO59</f>
        <v>16</v>
      </c>
      <c r="DP110" s="3">
        <f t="shared" si="1170"/>
        <v>40</v>
      </c>
      <c r="DQ110" s="3">
        <f t="shared" si="1169"/>
        <v>12</v>
      </c>
      <c r="DR110" s="3">
        <f t="shared" si="1167"/>
        <v>37</v>
      </c>
      <c r="DS110" s="3">
        <f t="shared" ref="DS110" si="1172">DS16-DS59</f>
        <v>21</v>
      </c>
      <c r="DT110" s="3">
        <f t="shared" si="1167"/>
        <v>60</v>
      </c>
      <c r="DU110" s="3">
        <f t="shared" ref="DU110:DV110" si="1173">DU16-DU59</f>
        <v>17</v>
      </c>
      <c r="DV110" s="3">
        <f t="shared" si="1173"/>
        <v>47</v>
      </c>
      <c r="DW110" s="3">
        <f t="shared" si="1167"/>
        <v>35</v>
      </c>
      <c r="DX110" s="3">
        <f t="shared" ref="DX110:DY110" si="1174">DX16-DX59</f>
        <v>48</v>
      </c>
      <c r="DY110" s="3">
        <f t="shared" si="1174"/>
        <v>45</v>
      </c>
      <c r="DZ110" s="3">
        <f t="shared" si="1167"/>
        <v>12</v>
      </c>
      <c r="EA110" s="3">
        <f t="shared" si="1166"/>
        <v>13</v>
      </c>
      <c r="EB110" s="3">
        <f t="shared" ref="EB110:GB110" si="1175">EB16-EB59</f>
        <v>46</v>
      </c>
      <c r="EC110" s="3">
        <f t="shared" ref="EC110:ED110" si="1176">EC16-EC59</f>
        <v>32</v>
      </c>
      <c r="ED110" s="3">
        <f t="shared" si="1176"/>
        <v>23</v>
      </c>
      <c r="EE110" s="3">
        <f t="shared" si="1175"/>
        <v>54</v>
      </c>
      <c r="EF110" s="3">
        <f t="shared" ref="EF110" si="1177">EF16-EF59</f>
        <v>11</v>
      </c>
      <c r="EG110" s="3">
        <f t="shared" si="1175"/>
        <v>12</v>
      </c>
      <c r="EH110" s="3">
        <f t="shared" ref="EH110:EI110" si="1178">EH16-EH59</f>
        <v>12</v>
      </c>
      <c r="EI110" s="3">
        <f t="shared" si="1178"/>
        <v>12</v>
      </c>
      <c r="EJ110" s="3">
        <f t="shared" si="1175"/>
        <v>34</v>
      </c>
      <c r="EK110" s="3">
        <f t="shared" ref="EK110:EL110" si="1179">EK16-EK59</f>
        <v>35</v>
      </c>
      <c r="EL110" s="3">
        <f t="shared" si="1179"/>
        <v>4</v>
      </c>
      <c r="EM110" s="3">
        <f t="shared" si="1175"/>
        <v>19</v>
      </c>
      <c r="EN110" s="3">
        <f t="shared" si="1175"/>
        <v>18</v>
      </c>
      <c r="EO110" s="3">
        <f t="shared" si="1175"/>
        <v>21</v>
      </c>
      <c r="EP110" s="3">
        <f t="shared" ref="EP110" si="1180">EP16-EP59</f>
        <v>15</v>
      </c>
      <c r="EQ110" s="3">
        <f t="shared" ref="EQ110:ER110" si="1181">EQ16-EQ59</f>
        <v>36</v>
      </c>
      <c r="ER110" s="3">
        <f t="shared" si="1181"/>
        <v>24</v>
      </c>
      <c r="ES110" s="3">
        <f t="shared" si="1175"/>
        <v>16</v>
      </c>
      <c r="ET110" s="3">
        <f t="shared" ref="ET110:EW110" si="1182">ET16-ET59</f>
        <v>13</v>
      </c>
      <c r="EU110" s="3">
        <f t="shared" ref="EU110:EV110" si="1183">EU16-EU59</f>
        <v>7</v>
      </c>
      <c r="EV110" s="3">
        <f t="shared" si="1183"/>
        <v>13</v>
      </c>
      <c r="EW110" s="3">
        <f t="shared" si="1182"/>
        <v>4</v>
      </c>
      <c r="EX110" s="3">
        <f t="shared" si="1175"/>
        <v>8</v>
      </c>
      <c r="EY110" s="3">
        <f t="shared" si="1175"/>
        <v>10</v>
      </c>
      <c r="EZ110" s="3">
        <f t="shared" si="1175"/>
        <v>9</v>
      </c>
      <c r="FA110" s="3">
        <f t="shared" si="1175"/>
        <v>11</v>
      </c>
      <c r="FB110" s="3">
        <f t="shared" ref="FB110:FD110" si="1184">FB16-FB59</f>
        <v>27</v>
      </c>
      <c r="FC110" s="3">
        <f t="shared" si="1184"/>
        <v>13</v>
      </c>
      <c r="FD110" s="3">
        <f t="shared" si="1184"/>
        <v>18</v>
      </c>
      <c r="FE110" s="3">
        <f t="shared" si="1175"/>
        <v>51</v>
      </c>
      <c r="FF110" s="3">
        <f t="shared" si="1175"/>
        <v>49</v>
      </c>
      <c r="FG110" s="3">
        <f t="shared" si="1175"/>
        <v>58</v>
      </c>
      <c r="FH110" s="3">
        <f t="shared" si="1175"/>
        <v>46</v>
      </c>
      <c r="FI110" s="3">
        <f t="shared" si="1175"/>
        <v>193</v>
      </c>
      <c r="FJ110" s="3">
        <f t="shared" ref="FJ110:FK110" si="1185">FJ16-FJ59</f>
        <v>119</v>
      </c>
      <c r="FK110" s="3">
        <f t="shared" si="1185"/>
        <v>97</v>
      </c>
      <c r="FL110" s="3">
        <f>FM16-FL59</f>
        <v>96</v>
      </c>
      <c r="FM110" s="3">
        <f t="shared" ref="FM110:FN110" si="1186">FN16-FM59</f>
        <v>833</v>
      </c>
      <c r="FN110" s="3">
        <f t="shared" si="1186"/>
        <v>787</v>
      </c>
      <c r="FO110" s="3">
        <f t="shared" ref="FO110" si="1187">FO16-FO59</f>
        <v>787</v>
      </c>
      <c r="FP110" s="3">
        <f t="shared" ref="FP110:FU110" si="1188">FP16-FP59</f>
        <v>1241</v>
      </c>
      <c r="FQ110" s="3">
        <f t="shared" si="1188"/>
        <v>1887</v>
      </c>
      <c r="FR110" s="3">
        <f t="shared" si="1188"/>
        <v>1976</v>
      </c>
      <c r="FS110" s="3">
        <f t="shared" si="1188"/>
        <v>2116</v>
      </c>
      <c r="FT110" s="3">
        <f t="shared" si="1188"/>
        <v>2001</v>
      </c>
      <c r="FU110" s="3">
        <f t="shared" si="1188"/>
        <v>1930</v>
      </c>
      <c r="FV110" s="3">
        <f t="shared" si="1175"/>
        <v>2168</v>
      </c>
      <c r="FW110" s="3">
        <f t="shared" ref="FW110:GA110" si="1189">FW16-FW59</f>
        <v>2483</v>
      </c>
      <c r="FX110" s="3">
        <f t="shared" si="1189"/>
        <v>2225</v>
      </c>
      <c r="FY110" s="3">
        <f t="shared" ref="FY110:FZ110" si="1190">FY16-FY59</f>
        <v>1796</v>
      </c>
      <c r="FZ110" s="3">
        <f t="shared" si="1190"/>
        <v>1898</v>
      </c>
      <c r="GA110" s="3">
        <f t="shared" si="1189"/>
        <v>1970</v>
      </c>
      <c r="GB110" s="3">
        <f t="shared" si="1175"/>
        <v>1724</v>
      </c>
      <c r="GC110" s="3">
        <f t="shared" ref="GC110" si="1191">GC16-GC59</f>
        <v>1852</v>
      </c>
      <c r="GD110" s="3">
        <f t="shared" ref="GD110:GT110" si="1192">GD16-GD59</f>
        <v>1947</v>
      </c>
      <c r="GE110" s="3">
        <f t="shared" si="1192"/>
        <v>2192</v>
      </c>
      <c r="GF110" s="3">
        <f t="shared" si="1192"/>
        <v>2234</v>
      </c>
      <c r="GG110" s="3">
        <f t="shared" si="1192"/>
        <v>2227</v>
      </c>
      <c r="GH110" s="3">
        <f t="shared" si="1192"/>
        <v>2258</v>
      </c>
      <c r="GI110" s="3">
        <f t="shared" si="1192"/>
        <v>1979</v>
      </c>
      <c r="GJ110" s="3">
        <f t="shared" si="1192"/>
        <v>1902</v>
      </c>
      <c r="GK110" s="3">
        <f t="shared" si="1192"/>
        <v>2048</v>
      </c>
      <c r="GL110" s="3">
        <f t="shared" ref="GL110:GM110" si="1193">GL16-GL59</f>
        <v>1961</v>
      </c>
      <c r="GM110" s="3">
        <f t="shared" si="1193"/>
        <v>2086</v>
      </c>
      <c r="GN110" s="3">
        <f t="shared" si="1192"/>
        <v>2079</v>
      </c>
      <c r="GO110" s="3">
        <f t="shared" ref="GO110:GS110" si="1194">GO16-GO59</f>
        <v>2070</v>
      </c>
      <c r="GP110" s="3">
        <f t="shared" si="1194"/>
        <v>0</v>
      </c>
      <c r="GQ110" s="3">
        <f t="shared" ref="GQ110:GR110" si="1195">GQ16-GQ59</f>
        <v>0</v>
      </c>
      <c r="GR110" s="3">
        <f t="shared" si="1195"/>
        <v>0</v>
      </c>
      <c r="GS110" s="3">
        <f t="shared" si="1194"/>
        <v>0</v>
      </c>
      <c r="GT110" s="3">
        <f t="shared" si="1192"/>
        <v>0</v>
      </c>
    </row>
    <row r="111" spans="1:207" hidden="1" x14ac:dyDescent="0.3">
      <c r="B111" s="75"/>
      <c r="E111" s="50" t="s">
        <v>67</v>
      </c>
      <c r="F111" s="49"/>
      <c r="G111" s="49" t="str">
        <f t="shared" ref="G111:K111" si="1196">IFERROR((G110-F110)/F110,"")</f>
        <v/>
      </c>
      <c r="H111" s="49" t="str">
        <f t="shared" si="1196"/>
        <v/>
      </c>
      <c r="I111" s="49" t="str">
        <f t="shared" si="1196"/>
        <v/>
      </c>
      <c r="J111" s="49" t="str">
        <f t="shared" si="1196"/>
        <v/>
      </c>
      <c r="K111" s="49" t="str">
        <f t="shared" si="1196"/>
        <v/>
      </c>
      <c r="L111" s="49">
        <f t="shared" ref="L111" si="1197">IFERROR((L110-K110)/K110,"")</f>
        <v>0.23713646532438479</v>
      </c>
      <c r="M111" s="49">
        <f t="shared" ref="M111" si="1198">IFERROR((M110-L110)/L110,"")</f>
        <v>8.4990958408679929E-2</v>
      </c>
      <c r="N111" s="49">
        <f t="shared" ref="N111" si="1199">IFERROR((N110-M110)/M110,"")</f>
        <v>0.53333333333333333</v>
      </c>
      <c r="O111" s="49">
        <f t="shared" ref="O111" si="1200">IFERROR((O110-N110)/N110,"")</f>
        <v>0.19673913043478261</v>
      </c>
      <c r="P111" s="49">
        <f t="shared" ref="P111" si="1201">IFERROR((P110-O110)/O110,"")</f>
        <v>0.19618528610354224</v>
      </c>
      <c r="Q111" s="49">
        <f t="shared" ref="Q111" si="1202">IFERROR((Q110-P110)/P110,"")</f>
        <v>0.592255125284738</v>
      </c>
      <c r="R111" s="49">
        <f t="shared" ref="R111" si="1203">IFERROR((R110-Q110)/Q110,"")</f>
        <v>-0.1859799713876967</v>
      </c>
      <c r="S111" s="49">
        <f t="shared" ref="S111" si="1204">IFERROR((S110-R110)/R110,"")</f>
        <v>0.32161687170474518</v>
      </c>
      <c r="T111" s="49">
        <f t="shared" ref="T111" si="1205">IFERROR((T110-S110)/S110,"")</f>
        <v>7.4468085106382975E-2</v>
      </c>
      <c r="U111" s="49">
        <f t="shared" ref="U111" si="1206">IFERROR((U110-T110)/T110,"")</f>
        <v>0.17491749174917492</v>
      </c>
      <c r="V111" s="49">
        <f t="shared" ref="V111" si="1207">IFERROR((V110-U110)/U110,"")</f>
        <v>0.1815308988764045</v>
      </c>
      <c r="W111" s="49">
        <f t="shared" ref="W111" si="1208">IFERROR((W110-V110)/V110,"")</f>
        <v>-2.912332838038633E-2</v>
      </c>
      <c r="X111" s="49">
        <f t="shared" ref="X111" si="1209">IFERROR((X110-W110)/W110,"")</f>
        <v>-5.6932966023875112E-2</v>
      </c>
      <c r="Y111" s="49">
        <f t="shared" ref="Y111" si="1210">IFERROR((Y110-X110)/X110,"")</f>
        <v>-6.7510548523206745E-2</v>
      </c>
      <c r="Z111" s="49">
        <f t="shared" ref="Z111" si="1211">IFERROR((Z110-Y110)/Y110,"")</f>
        <v>2.4712843717368604E-2</v>
      </c>
      <c r="AA111" s="49">
        <f t="shared" ref="AA111" si="1212">IFERROR((AA110-Z110)/Z110,"")</f>
        <v>-9.3410326086956527E-2</v>
      </c>
      <c r="AB111" s="49">
        <f t="shared" ref="AB111" si="1213">IFERROR((AB110-AA110)/AA110,"")</f>
        <v>-0.12926189584113901</v>
      </c>
      <c r="AC111" s="49">
        <f t="shared" ref="AC111" si="1214">IFERROR((AC110-AB110)/AB110,"")</f>
        <v>8.6058519793459548E-2</v>
      </c>
      <c r="AD111" s="49">
        <f t="shared" ref="AD111" si="1215">IFERROR((AD110-AC110)/AC110,"")</f>
        <v>-0.18858954041204437</v>
      </c>
      <c r="AE111" s="49">
        <f t="shared" ref="AE111" si="1216">IFERROR((AE110-AD110)/AD110,"")</f>
        <v>7.421875E-2</v>
      </c>
      <c r="AF111" s="49">
        <f t="shared" ref="AF111" si="1217">IFERROR((AF110-AE110)/AE110,"")</f>
        <v>-8.1818181818181825E-3</v>
      </c>
      <c r="AG111" s="49">
        <f t="shared" ref="AG111" si="1218">IFERROR((AG110-AF110)/AF110,"")</f>
        <v>4.9495875343721359E-2</v>
      </c>
      <c r="AH111" s="49">
        <f t="shared" ref="AH111" si="1219">IFERROR((AH110-AG110)/AG110,"")</f>
        <v>-9.6506550218340606E-2</v>
      </c>
      <c r="AI111" s="49">
        <f t="shared" ref="AI111" si="1220">IFERROR((AI110-AH110)/AH110,"")</f>
        <v>9.2798453359110675E-2</v>
      </c>
      <c r="AJ111" s="49">
        <f t="shared" ref="AJ111" si="1221">IFERROR((AJ110-AI110)/AI110,"")</f>
        <v>7.0765148164528974E-2</v>
      </c>
      <c r="AK111" s="49">
        <f t="shared" ref="AK111" si="1222">IFERROR((AK110-AJ110)/AJ110,"")</f>
        <v>0.32176786451879391</v>
      </c>
      <c r="AL111" s="49">
        <f t="shared" ref="AL111" si="1223">IFERROR((AL110-AK110)/AK110,"")</f>
        <v>0.2096875</v>
      </c>
      <c r="AM111" s="49">
        <f t="shared" ref="AM111" si="1224">IFERROR((AM110-AL110)/AL110,"")</f>
        <v>5.6832859726168947E-3</v>
      </c>
      <c r="AN111" s="49">
        <f t="shared" ref="AN111" si="1225">IFERROR((AN110-AM110)/AM110,"")</f>
        <v>-9.6326740303108144E-2</v>
      </c>
      <c r="AO111" s="49">
        <f t="shared" ref="AO111" si="1226">IFERROR((AO110-AN110)/AN110,"")</f>
        <v>3.5815804434337691E-2</v>
      </c>
      <c r="AP111" s="49">
        <f t="shared" ref="AP111" si="1227">IFERROR((AP110-AO110)/AO110,"")</f>
        <v>5.4884742041712406E-4</v>
      </c>
      <c r="AQ111" s="49">
        <f t="shared" ref="AQ111" si="1228">IFERROR((AQ110-AP110)/AP110,"")</f>
        <v>-2.1393307734503566E-2</v>
      </c>
      <c r="AR111" s="49">
        <f t="shared" ref="AR111" si="1229">IFERROR((AR110-AQ110)/AQ110,"")</f>
        <v>-5.717488789237668E-2</v>
      </c>
      <c r="AS111" s="49">
        <f t="shared" ref="AS111" si="1230">IFERROR((AS110-AR110)/AR110,"")</f>
        <v>-0.17717003567181927</v>
      </c>
      <c r="AT111" s="49">
        <f t="shared" ref="AT111" si="1231">IFERROR((AT110-AS110)/AS110,"")</f>
        <v>6.3945086705202311E-2</v>
      </c>
      <c r="AU111" s="49">
        <f t="shared" ref="AU111" si="1232">IFERROR((AU110-AT110)/AT110,"")</f>
        <v>-0.25704584040747031</v>
      </c>
      <c r="AV111" s="49">
        <f t="shared" ref="AV111" si="1233">IFERROR((AV110-AU110)/AU110,"")</f>
        <v>-0.29113345521023765</v>
      </c>
      <c r="AW111" s="49">
        <f t="shared" ref="AW111" si="1234">IFERROR((AW110-AV110)/AV110,"")</f>
        <v>-0.16505480335267569</v>
      </c>
      <c r="AX111" s="49">
        <f t="shared" ref="AX111" si="1235">IFERROR((AX110-AW110)/AW110,"")</f>
        <v>-5.4826254826254826E-2</v>
      </c>
      <c r="AY111" s="49">
        <f t="shared" ref="AY111" si="1236">IFERROR((AY110-AX110)/AX110,"")</f>
        <v>-0.49673202614379086</v>
      </c>
      <c r="AZ111" s="49">
        <f t="shared" ref="AZ111" si="1237">IFERROR((AZ110-AY110)/AY110,"")</f>
        <v>-0.57629870129870131</v>
      </c>
      <c r="BA111" s="49">
        <f t="shared" ref="BA111" si="1238">IFERROR((BA110-AZ110)/AZ110,"")</f>
        <v>1.3218390804597702</v>
      </c>
      <c r="BB111" s="49">
        <f t="shared" ref="BB111" si="1239">IFERROR((BB110-BA110)/BA110,"")</f>
        <v>0.28217821782178215</v>
      </c>
      <c r="BC111" s="49">
        <f t="shared" ref="BC111" si="1240">IFERROR((BC110-BB110)/BB110,"")</f>
        <v>0.14028314028314029</v>
      </c>
      <c r="BD111" s="49">
        <f t="shared" ref="BD111" si="1241">IFERROR((BD110-BC110)/BC110,"")</f>
        <v>0.24943566591422123</v>
      </c>
      <c r="BE111" s="49">
        <f t="shared" ref="BE111" si="1242">IFERROR((BE110-BD110)/BD110,"")</f>
        <v>0.13459801264679314</v>
      </c>
      <c r="BF111" s="49">
        <f t="shared" ref="BF111" si="1243">IFERROR((BF110-BE110)/BE110,"")</f>
        <v>-0.19585987261146498</v>
      </c>
      <c r="BG111" s="49">
        <f t="shared" ref="BG111" si="1244">IFERROR((BG110-BF110)/BF110,"")</f>
        <v>0.19603960396039605</v>
      </c>
      <c r="BH111" s="49">
        <f t="shared" ref="BH111" si="1245">IFERROR((BH110-BG110)/BG110,"")</f>
        <v>0.19784768211920531</v>
      </c>
      <c r="BI111" s="49">
        <f t="shared" ref="BI111" si="1246">IFERROR((BI110-BH110)/BH110,"")</f>
        <v>0.138217000691085</v>
      </c>
      <c r="BJ111" s="49">
        <f t="shared" ref="BJ111" si="1247">IFERROR((BJ110-BI110)/BI110,"")</f>
        <v>8.8646023072252583E-2</v>
      </c>
      <c r="BK111" s="49">
        <f t="shared" ref="BK111" si="1248">IFERROR((BK110-BJ110)/BJ110,"")</f>
        <v>-0.12883435582822086</v>
      </c>
      <c r="BL111" s="49">
        <f t="shared" ref="BL111" si="1249">IFERROR((BL110-BK110)/BK110,"")</f>
        <v>8.8348271446862997E-2</v>
      </c>
      <c r="BM111" s="49">
        <f t="shared" ref="BM111" si="1250">IFERROR((BM110-BL110)/BL110,"")</f>
        <v>4.9411764705882349E-2</v>
      </c>
      <c r="BN111" s="49">
        <f t="shared" ref="BN111" si="1251">IFERROR((BN110-BM110)/BM110,"")</f>
        <v>0.13004484304932734</v>
      </c>
      <c r="BO111" s="49">
        <f t="shared" ref="BO111" si="1252">IFERROR((BO110-BN110)/BN110,"")</f>
        <v>-1.3392857142857142E-2</v>
      </c>
      <c r="BP111" s="49">
        <f t="shared" ref="BP111" si="1253">IFERROR((BP110-BO110)/BO110,"")</f>
        <v>-8.3459024635495219E-2</v>
      </c>
      <c r="BQ111" s="49">
        <f t="shared" ref="BQ111" si="1254">IFERROR((BQ110-BP110)/BP110,"")</f>
        <v>-0.23203510696653867</v>
      </c>
      <c r="BR111" s="49">
        <f t="shared" ref="BR111" si="1255">IFERROR((BR110-BQ110)/BQ110,"")</f>
        <v>-0.25285714285714284</v>
      </c>
      <c r="BS111" s="49">
        <f t="shared" ref="BS111" si="1256">IFERROR((BS110-BR110)/BR110,"")</f>
        <v>-0.25525812619502869</v>
      </c>
      <c r="BT111" s="49">
        <f t="shared" ref="BT111" si="1257">IFERROR((BT110-BS110)/BS110,"")</f>
        <v>-0.17843388960205392</v>
      </c>
      <c r="BU111" s="49">
        <f t="shared" ref="BU111" si="1258">IFERROR((BU110-BT110)/BT110,"")</f>
        <v>-0.46562500000000001</v>
      </c>
      <c r="BV111" s="49">
        <f t="shared" ref="BV111" si="1259">IFERROR((BV110-BU110)/BU110,"")</f>
        <v>-0.70175438596491224</v>
      </c>
      <c r="BW111" s="49">
        <f t="shared" ref="BW111" si="1260">IFERROR((BW110-BV110)/BV110,"")</f>
        <v>0.75490196078431371</v>
      </c>
      <c r="BX111" s="49">
        <f t="shared" ref="BX111" si="1261">IFERROR((BX110-BW110)/BW110,"")</f>
        <v>0.12290502793296089</v>
      </c>
      <c r="BY111" s="49">
        <f t="shared" ref="BY111" si="1262">IFERROR((BY110-BX110)/BX110,"")</f>
        <v>9.9502487562189053E-3</v>
      </c>
      <c r="BZ111" s="49">
        <f t="shared" ref="BZ111" si="1263">IFERROR((BZ110-BY110)/BY110,"")</f>
        <v>0.59605911330049266</v>
      </c>
      <c r="CA111" s="49">
        <f t="shared" ref="CA111" si="1264">IFERROR((CA110-BZ110)/BZ110,"")</f>
        <v>-0.44753086419753085</v>
      </c>
      <c r="CB111" s="49">
        <f t="shared" ref="CB111" si="1265">IFERROR((CB110-CA110)/CA110,"")</f>
        <v>-5.5865921787709494E-2</v>
      </c>
      <c r="CC111" s="49">
        <f t="shared" ref="CC111" si="1266">IFERROR((CC110-CB110)/CB110,"")</f>
        <v>5.9171597633136092E-2</v>
      </c>
      <c r="CD111" s="49">
        <f t="shared" ref="CD111" si="1267">IFERROR((CD110-CC110)/CC110,"")</f>
        <v>-8.9385474860335198E-2</v>
      </c>
      <c r="CE111" s="49">
        <f t="shared" ref="CE111" si="1268">IFERROR((CE110-CD110)/CD110,"")</f>
        <v>-0.64417177914110424</v>
      </c>
      <c r="CF111" s="49">
        <f t="shared" ref="CF111" si="1269">IFERROR((CF110-CE110)/CE110,"")</f>
        <v>0.15517241379310345</v>
      </c>
      <c r="CG111" s="49">
        <f t="shared" ref="CG111" si="1270">IFERROR((CG110-CF110)/CF110,"")</f>
        <v>-0.38805970149253732</v>
      </c>
      <c r="CH111" s="49">
        <f t="shared" ref="CH111" si="1271">IFERROR((CH110-CG110)/CG110,"")</f>
        <v>0.95121951219512191</v>
      </c>
      <c r="CI111" s="49">
        <f t="shared" ref="CI111" si="1272">IFERROR((CI110-CH110)/CH110,"")</f>
        <v>0.23749999999999999</v>
      </c>
      <c r="CJ111" s="49">
        <f t="shared" ref="CJ111" si="1273">IFERROR((CJ110-CI110)/CI110,"")</f>
        <v>0.66666666666666663</v>
      </c>
      <c r="CK111" s="49">
        <f t="shared" ref="CK111" si="1274">IFERROR((CK110-CJ110)/CJ110,"")</f>
        <v>-0.8</v>
      </c>
      <c r="CL111" s="49">
        <f t="shared" ref="CL111" si="1275">IFERROR((CL110-CK110)/CK110,"")</f>
        <v>1.5454545454545454</v>
      </c>
      <c r="CM111" s="49">
        <f t="shared" ref="CM111" si="1276">IFERROR((CM110-CL110)/CL110,"")</f>
        <v>-0.77380952380952384</v>
      </c>
      <c r="CN111" s="49">
        <f t="shared" ref="CN111" si="1277">IFERROR((CN110-CM110)/CM110,"")</f>
        <v>1.263157894736842</v>
      </c>
      <c r="CO111" s="49">
        <f t="shared" ref="CO111" si="1278">IFERROR((CO110-CN110)/CN110,"")</f>
        <v>-0.62790697674418605</v>
      </c>
      <c r="CP111" s="49">
        <f t="shared" ref="CP111" si="1279">IFERROR((CP110-CO110)/CO110,"")</f>
        <v>3.375</v>
      </c>
      <c r="CQ111" s="49">
        <f t="shared" ref="CQ111" si="1280">IFERROR((CQ110-CP110)/CP110,"")</f>
        <v>0.32857142857142857</v>
      </c>
      <c r="CR111" s="49">
        <f t="shared" ref="CR111" si="1281">IFERROR((CR110-CQ110)/CQ110,"")</f>
        <v>-0.62365591397849462</v>
      </c>
      <c r="CS111" s="49">
        <f t="shared" ref="CS111" si="1282">IFERROR((CS110-CR110)/CR110,"")</f>
        <v>1.0285714285714285</v>
      </c>
      <c r="CT111" s="49">
        <f t="shared" ref="CT111" si="1283">IFERROR((CT110-CS110)/CS110,"")</f>
        <v>0</v>
      </c>
      <c r="CU111" s="49">
        <f t="shared" ref="CU111" si="1284">IFERROR((CU110-CT110)/CT110,"")</f>
        <v>-0.45070422535211269</v>
      </c>
      <c r="CV111" s="49">
        <f t="shared" ref="CV111" si="1285">IFERROR((CV110-CU110)/CU110,"")</f>
        <v>0.23076923076923078</v>
      </c>
      <c r="CW111" s="49">
        <f t="shared" ref="CW111" si="1286">IFERROR((CW110-CV110)/CV110,"")</f>
        <v>0.66666666666666663</v>
      </c>
      <c r="CX111" s="49">
        <f t="shared" ref="CX111" si="1287">IFERROR((CX110-CW110)/CW110,"")</f>
        <v>1.3</v>
      </c>
      <c r="CY111" s="49">
        <f t="shared" ref="CY111" si="1288">IFERROR((CY110-CX110)/CX110,"")</f>
        <v>5.434782608695652E-2</v>
      </c>
      <c r="CZ111" s="49">
        <f t="shared" ref="CZ111" si="1289">IFERROR((CZ110-CY110)/CY110,"")</f>
        <v>-0.27835051546391754</v>
      </c>
      <c r="DA111" s="49">
        <f t="shared" ref="DA111" si="1290">IFERROR((DA110-CZ110)/CZ110,"")</f>
        <v>-0.61428571428571432</v>
      </c>
      <c r="DB111" s="49">
        <f t="shared" ref="DB111" si="1291">IFERROR((DB110-DA110)/DA110,"")</f>
        <v>7.407407407407407E-2</v>
      </c>
      <c r="DC111" s="49">
        <f t="shared" ref="DC111" si="1292">IFERROR((DC110-DB110)/DB110,"")</f>
        <v>-0.82758620689655171</v>
      </c>
      <c r="DD111" s="49">
        <f t="shared" ref="DD111" si="1293">IFERROR((DD110-DC110)/DC110,"")</f>
        <v>3.1</v>
      </c>
      <c r="DE111" s="49">
        <f t="shared" ref="DE111" si="1294">IFERROR((DE110-DD110)/DD110,"")</f>
        <v>0.51219512195121952</v>
      </c>
      <c r="DF111" s="49">
        <f t="shared" ref="DF111" si="1295">IFERROR((DF110-DE110)/DE110,"")</f>
        <v>-0.70967741935483875</v>
      </c>
      <c r="DG111" s="49">
        <f t="shared" ref="DG111" si="1296">IFERROR((DG110-DF110)/DF110,"")</f>
        <v>0.33333333333333331</v>
      </c>
      <c r="DH111" s="49">
        <f t="shared" ref="DH111" si="1297">IFERROR((DH110-DG110)/DG110,"")</f>
        <v>1.3333333333333333</v>
      </c>
      <c r="DI111" s="49">
        <f t="shared" ref="DI111" si="1298">IFERROR((DI110-DH110)/DH110,"")</f>
        <v>-0.4642857142857143</v>
      </c>
      <c r="DJ111" s="49">
        <f t="shared" ref="DJ111" si="1299">IFERROR((DJ110-DI110)/DI110,"")</f>
        <v>-0.6</v>
      </c>
      <c r="DK111" s="49">
        <f t="shared" ref="DK111" si="1300">IFERROR((DK110-DJ110)/DJ110,"")</f>
        <v>1.3333333333333333</v>
      </c>
      <c r="DL111" s="49">
        <f t="shared" ref="DL111" si="1301">IFERROR((DL110-DK110)/DK110,"")</f>
        <v>-0.10714285714285714</v>
      </c>
      <c r="DM111" s="49">
        <f t="shared" ref="DM111" si="1302">IFERROR((DM110-DL110)/DL110,"")</f>
        <v>-0.44</v>
      </c>
      <c r="DN111" s="49">
        <f t="shared" ref="DN111" si="1303">IFERROR((DN110-DM110)/DM110,"")</f>
        <v>-0.2857142857142857</v>
      </c>
      <c r="DO111" s="49">
        <f t="shared" ref="DO111" si="1304">IFERROR((DO110-DN110)/DN110,"")</f>
        <v>0.6</v>
      </c>
      <c r="DP111" s="49">
        <f t="shared" ref="DP111" si="1305">IFERROR((DP110-DO110)/DO110,"")</f>
        <v>1.5</v>
      </c>
      <c r="DQ111" s="49">
        <f t="shared" ref="DQ111" si="1306">IFERROR((DQ110-DP110)/DP110,"")</f>
        <v>-0.7</v>
      </c>
      <c r="DR111" s="49">
        <f t="shared" ref="DR111" si="1307">IFERROR((DR110-DQ110)/DQ110,"")</f>
        <v>2.0833333333333335</v>
      </c>
      <c r="DS111" s="49">
        <f t="shared" ref="DS111" si="1308">IFERROR((DS110-DR110)/DR110,"")</f>
        <v>-0.43243243243243246</v>
      </c>
      <c r="DT111" s="49">
        <f t="shared" ref="DT111" si="1309">IFERROR((DT110-DS110)/DS110,"")</f>
        <v>1.8571428571428572</v>
      </c>
      <c r="DU111" s="49">
        <f t="shared" ref="DU111" si="1310">IFERROR((DU110-DT110)/DT110,"")</f>
        <v>-0.71666666666666667</v>
      </c>
      <c r="DV111" s="49">
        <f t="shared" ref="DV111" si="1311">IFERROR((DV110-DU110)/DU110,"")</f>
        <v>1.7647058823529411</v>
      </c>
      <c r="DW111" s="49">
        <f t="shared" ref="DW111" si="1312">IFERROR((DW110-DV110)/DV110,"")</f>
        <v>-0.25531914893617019</v>
      </c>
      <c r="DX111" s="49">
        <f t="shared" ref="DX111" si="1313">IFERROR((DX110-DW110)/DW110,"")</f>
        <v>0.37142857142857144</v>
      </c>
      <c r="DY111" s="49">
        <f t="shared" ref="DY111" si="1314">IFERROR((DY110-DX110)/DX110,"")</f>
        <v>-6.25E-2</v>
      </c>
      <c r="DZ111" s="49">
        <f t="shared" ref="DZ111" si="1315">IFERROR((DZ110-DY110)/DY110,"")</f>
        <v>-0.73333333333333328</v>
      </c>
      <c r="EA111" s="49">
        <f t="shared" ref="EA111" si="1316">IFERROR((EA110-DZ110)/DZ110,"")</f>
        <v>8.3333333333333329E-2</v>
      </c>
      <c r="EB111" s="49">
        <f t="shared" ref="EB111" si="1317">IFERROR((EB110-EA110)/EA110,"")</f>
        <v>2.5384615384615383</v>
      </c>
      <c r="EC111" s="49">
        <f t="shared" ref="EC111" si="1318">IFERROR((EC110-EB110)/EB110,"")</f>
        <v>-0.30434782608695654</v>
      </c>
      <c r="ED111" s="49">
        <f t="shared" ref="ED111" si="1319">IFERROR((ED110-EC110)/EC110,"")</f>
        <v>-0.28125</v>
      </c>
      <c r="EE111" s="49">
        <f t="shared" ref="EE111" si="1320">IFERROR((EE110-ED110)/ED110,"")</f>
        <v>1.3478260869565217</v>
      </c>
      <c r="EF111" s="49">
        <f t="shared" ref="EF111" si="1321">IFERROR((EF110-EE110)/EE110,"")</f>
        <v>-0.79629629629629628</v>
      </c>
      <c r="EG111" s="49">
        <f t="shared" ref="EG111" si="1322">IFERROR((EG110-EF110)/EF110,"")</f>
        <v>9.0909090909090912E-2</v>
      </c>
      <c r="EH111" s="49">
        <f t="shared" ref="EH111" si="1323">IFERROR((EH110-EG110)/EG110,"")</f>
        <v>0</v>
      </c>
      <c r="EI111" s="49">
        <f t="shared" ref="EI111" si="1324">IFERROR((EI110-EH110)/EH110,"")</f>
        <v>0</v>
      </c>
      <c r="EJ111" s="49">
        <f t="shared" ref="EJ111" si="1325">IFERROR((EJ110-EI110)/EI110,"")</f>
        <v>1.8333333333333333</v>
      </c>
      <c r="EK111" s="49">
        <f t="shared" ref="EK111" si="1326">IFERROR((EK110-EJ110)/EJ110,"")</f>
        <v>2.9411764705882353E-2</v>
      </c>
      <c r="EL111" s="49">
        <f t="shared" ref="EL111" si="1327">IFERROR((EL110-EK110)/EK110,"")</f>
        <v>-0.88571428571428568</v>
      </c>
      <c r="EM111" s="49">
        <f t="shared" ref="EM111" si="1328">IFERROR((EM110-EL110)/EL110,"")</f>
        <v>3.75</v>
      </c>
      <c r="EN111" s="49">
        <f t="shared" ref="EN111" si="1329">IFERROR((EN110-EM110)/EM110,"")</f>
        <v>-5.2631578947368418E-2</v>
      </c>
      <c r="EO111" s="49">
        <f t="shared" ref="EO111" si="1330">IFERROR((EO110-EN110)/EN110,"")</f>
        <v>0.16666666666666666</v>
      </c>
      <c r="EP111" s="49">
        <f t="shared" ref="EP111" si="1331">IFERROR((EP110-EO110)/EO110,"")</f>
        <v>-0.2857142857142857</v>
      </c>
      <c r="EQ111" s="49">
        <f t="shared" ref="EQ111" si="1332">IFERROR((EQ110-EP110)/EP110,"")</f>
        <v>1.4</v>
      </c>
      <c r="ER111" s="49">
        <f t="shared" ref="ER111" si="1333">IFERROR((ER110-EQ110)/EQ110,"")</f>
        <v>-0.33333333333333331</v>
      </c>
      <c r="ES111" s="49">
        <f t="shared" ref="ES111" si="1334">IFERROR((ES110-ER110)/ER110,"")</f>
        <v>-0.33333333333333331</v>
      </c>
      <c r="ET111" s="49">
        <f t="shared" ref="ET111" si="1335">IFERROR((ET110-ES110)/ES110,"")</f>
        <v>-0.1875</v>
      </c>
      <c r="EU111" s="49">
        <f t="shared" ref="EU111" si="1336">IFERROR((EU110-ET110)/ET110,"")</f>
        <v>-0.46153846153846156</v>
      </c>
      <c r="EV111" s="49">
        <f t="shared" ref="EV111" si="1337">IFERROR((EV110-EU110)/EU110,"")</f>
        <v>0.8571428571428571</v>
      </c>
      <c r="EW111" s="49">
        <f t="shared" ref="EW111" si="1338">IFERROR((EW110-EV110)/EV110,"")</f>
        <v>-0.69230769230769229</v>
      </c>
      <c r="EX111" s="49">
        <f t="shared" ref="EX111" si="1339">IFERROR((EX110-EW110)/EW110,"")</f>
        <v>1</v>
      </c>
      <c r="EY111" s="49">
        <f t="shared" ref="EY111" si="1340">IFERROR((EY110-EX110)/EX110,"")</f>
        <v>0.25</v>
      </c>
      <c r="EZ111" s="49">
        <f t="shared" ref="EZ111" si="1341">IFERROR((EZ110-EY110)/EY110,"")</f>
        <v>-0.1</v>
      </c>
      <c r="FA111" s="49">
        <f t="shared" ref="FA111" si="1342">IFERROR((FA110-EZ110)/EZ110,"")</f>
        <v>0.22222222222222221</v>
      </c>
      <c r="FB111" s="49">
        <f t="shared" ref="FB111" si="1343">IFERROR((FB110-FA110)/FA110,"")</f>
        <v>1.4545454545454546</v>
      </c>
      <c r="FC111" s="49">
        <f t="shared" ref="FC111" si="1344">IFERROR((FC110-FB110)/FB110,"")</f>
        <v>-0.51851851851851849</v>
      </c>
      <c r="FD111" s="49">
        <f t="shared" ref="FD111" si="1345">IFERROR((FD110-FC110)/FC110,"")</f>
        <v>0.38461538461538464</v>
      </c>
      <c r="FE111" s="49">
        <f t="shared" ref="FE111" si="1346">IFERROR((FE110-FD110)/FD110,"")</f>
        <v>1.8333333333333333</v>
      </c>
      <c r="FF111" s="49">
        <f t="shared" ref="FF111" si="1347">IFERROR((FF110-FE110)/FE110,"")</f>
        <v>-3.9215686274509803E-2</v>
      </c>
      <c r="FG111" s="49">
        <f t="shared" ref="FG111" si="1348">IFERROR((FG110-FF110)/FF110,"")</f>
        <v>0.18367346938775511</v>
      </c>
      <c r="FH111" s="49">
        <f t="shared" ref="FH111" si="1349">IFERROR((FH110-FG110)/FG110,"")</f>
        <v>-0.20689655172413793</v>
      </c>
      <c r="FI111" s="49">
        <f t="shared" ref="FI111" si="1350">IFERROR((FI110-FH110)/FH110,"")</f>
        <v>3.1956521739130435</v>
      </c>
      <c r="FJ111" s="49">
        <f t="shared" ref="FJ111" si="1351">IFERROR((FJ110-FI110)/FI110,"")</f>
        <v>-0.38341968911917096</v>
      </c>
      <c r="FK111" s="49">
        <f t="shared" ref="FK111" si="1352">IFERROR((FK110-FJ110)/FJ110,"")</f>
        <v>-0.18487394957983194</v>
      </c>
      <c r="FL111" s="49">
        <f t="shared" ref="FL111" si="1353">IFERROR((FL110-FK110)/FK110,"")</f>
        <v>-1.0309278350515464E-2</v>
      </c>
      <c r="FM111" s="49">
        <f t="shared" ref="FM111" si="1354">IFERROR((FM110-FL110)/FL110,"")</f>
        <v>7.677083333333333</v>
      </c>
      <c r="FN111" s="49">
        <f t="shared" ref="FN111" si="1355">IFERROR((FN110-FM110)/FM110,"")</f>
        <v>-5.5222088835534214E-2</v>
      </c>
      <c r="FO111" s="49">
        <f t="shared" ref="FO111" si="1356">IFERROR((FO110-FN110)/FN110,"")</f>
        <v>0</v>
      </c>
      <c r="FP111" s="49">
        <f t="shared" ref="FP111" si="1357">IFERROR((FP110-FO110)/FO110,"")</f>
        <v>0.57687420584498095</v>
      </c>
      <c r="FQ111" s="49">
        <f>IFERROR((FQ110-CJ110)/CJ110,"")</f>
        <v>10.436363636363636</v>
      </c>
      <c r="FR111" s="49">
        <f>IFERROR((FR110-CK110)/CK110,"")</f>
        <v>58.878787878787875</v>
      </c>
      <c r="FS111" s="49">
        <f>IFERROR((FS110-CL110)/CL110,"")</f>
        <v>24.19047619047619</v>
      </c>
      <c r="FT111" s="49">
        <f>IFERROR((FT110-CM110)/CM110,"")</f>
        <v>104.31578947368421</v>
      </c>
      <c r="FU111" s="49">
        <f>IFERROR((FU110-CI110)/CI110,"")</f>
        <v>18.494949494949495</v>
      </c>
      <c r="FV111" s="49">
        <f>IFERROR((FV110-CJ110)/CJ110,"")</f>
        <v>12.139393939393939</v>
      </c>
      <c r="FW111" s="49">
        <f>IFERROR((FW110-CK110)/CK110,"")</f>
        <v>74.242424242424249</v>
      </c>
      <c r="FX111" s="49">
        <f>IFERROR((FX110-CL110)/CL110,"")</f>
        <v>25.488095238095237</v>
      </c>
      <c r="FY111" s="49">
        <f>IFERROR((FY110-CJ110)/CJ110,"")</f>
        <v>9.8848484848484848</v>
      </c>
      <c r="FZ111" s="49">
        <f>IFERROR((FZ110-CK110)/CK110,"")</f>
        <v>56.515151515151516</v>
      </c>
      <c r="GA111" s="49">
        <f>IFERROR((GA110-CL110)/CL110,"")</f>
        <v>22.452380952380953</v>
      </c>
      <c r="GB111" s="49">
        <f>IFERROR((GB110-CM110)/CM110,"")</f>
        <v>89.736842105263165</v>
      </c>
      <c r="GC111" s="49">
        <f>IFERROR((GC110-CJ110)/CJ110,"")</f>
        <v>10.224242424242425</v>
      </c>
      <c r="GD111" s="49">
        <f>IFERROR((GD110-CK110)/CK110,"")</f>
        <v>58</v>
      </c>
      <c r="GE111" s="49">
        <f>IFERROR((GE110-CL110)/CL110,"")</f>
        <v>25.095238095238095</v>
      </c>
      <c r="GF111" s="49">
        <f>IFERROR((GF110-CL110)/CL110,"")</f>
        <v>25.595238095238095</v>
      </c>
      <c r="GG111" s="49">
        <f t="shared" ref="GG111:GK111" si="1358">IFERROR((GG110-CI110)/CI110,"")</f>
        <v>21.494949494949495</v>
      </c>
      <c r="GH111" s="49">
        <f t="shared" si="1358"/>
        <v>12.684848484848485</v>
      </c>
      <c r="GI111" s="49">
        <f t="shared" si="1358"/>
        <v>58.969696969696969</v>
      </c>
      <c r="GJ111" s="49">
        <f t="shared" si="1358"/>
        <v>21.642857142857142</v>
      </c>
      <c r="GK111" s="49">
        <f t="shared" si="1358"/>
        <v>106.78947368421052</v>
      </c>
      <c r="GL111" s="49">
        <f>IFERROR((GL110-CI110)/CI110,"")</f>
        <v>18.80808080808081</v>
      </c>
      <c r="GM111" s="49">
        <f>IFERROR((GM110-CJ110)/CJ110,"")</f>
        <v>11.642424242424243</v>
      </c>
      <c r="GN111" s="49">
        <f>IFERROR((GN110-CK110)/CK110,"")</f>
        <v>62</v>
      </c>
      <c r="GO111" s="49">
        <f>IFERROR((GO110-CL110)/CL110,"")</f>
        <v>23.642857142857142</v>
      </c>
      <c r="GP111" s="49">
        <f>IFERROR((GP110-CJ110)/CJ110,"")</f>
        <v>-1</v>
      </c>
      <c r="GQ111" s="49">
        <f>IFERROR((GQ110-CK110)/CK110,"")</f>
        <v>-1</v>
      </c>
      <c r="GR111" s="49">
        <f>IFERROR((GR110-CL110)/CL110,"")</f>
        <v>-1</v>
      </c>
      <c r="GS111" s="49">
        <f>IFERROR((GS110-CM110)/CM110,"")</f>
        <v>-1</v>
      </c>
      <c r="GT111" s="49">
        <f>IFERROR((GT110-CN110)/CN110,"")</f>
        <v>-1</v>
      </c>
    </row>
    <row r="112" spans="1:207" x14ac:dyDescent="0.3">
      <c r="B112" s="75"/>
      <c r="E112" s="52" t="s">
        <v>69</v>
      </c>
      <c r="F112" s="53">
        <f t="shared" ref="F112:AK112" si="1359">F18-F61</f>
        <v>964</v>
      </c>
      <c r="G112" s="53">
        <f t="shared" si="1359"/>
        <v>685</v>
      </c>
      <c r="H112" s="53">
        <f t="shared" si="1359"/>
        <v>647</v>
      </c>
      <c r="I112" s="53">
        <f t="shared" si="1359"/>
        <v>1247</v>
      </c>
      <c r="J112" s="53">
        <f t="shared" si="1359"/>
        <v>1691</v>
      </c>
      <c r="K112" s="53">
        <f t="shared" si="1359"/>
        <v>1684</v>
      </c>
      <c r="L112" s="53">
        <f t="shared" si="1359"/>
        <v>1488</v>
      </c>
      <c r="M112" s="53">
        <f t="shared" si="1359"/>
        <v>1666</v>
      </c>
      <c r="N112" s="53">
        <f t="shared" si="1359"/>
        <v>1209</v>
      </c>
      <c r="O112" s="53">
        <f t="shared" si="1359"/>
        <v>781</v>
      </c>
      <c r="P112" s="53">
        <f t="shared" si="1359"/>
        <v>3558</v>
      </c>
      <c r="Q112" s="53">
        <f t="shared" si="1359"/>
        <v>3124</v>
      </c>
      <c r="R112" s="53">
        <f t="shared" si="1359"/>
        <v>3237</v>
      </c>
      <c r="S112" s="53">
        <f t="shared" si="1359"/>
        <v>2599</v>
      </c>
      <c r="T112" s="53">
        <f t="shared" si="1359"/>
        <v>2239</v>
      </c>
      <c r="U112" s="53">
        <f t="shared" si="1359"/>
        <v>1439</v>
      </c>
      <c r="V112" s="53">
        <f t="shared" si="1359"/>
        <v>469</v>
      </c>
      <c r="W112" s="53">
        <f t="shared" si="1359"/>
        <v>1555</v>
      </c>
      <c r="X112" s="53">
        <f t="shared" si="1359"/>
        <v>1539</v>
      </c>
      <c r="Y112" s="53">
        <f t="shared" si="1359"/>
        <v>1592</v>
      </c>
      <c r="Z112" s="53">
        <f t="shared" si="1359"/>
        <v>1519</v>
      </c>
      <c r="AA112" s="53">
        <f t="shared" si="1359"/>
        <v>1577</v>
      </c>
      <c r="AB112" s="53">
        <f t="shared" si="1359"/>
        <v>1073</v>
      </c>
      <c r="AC112" s="53">
        <f t="shared" si="1359"/>
        <v>821</v>
      </c>
      <c r="AD112" s="53">
        <f t="shared" si="1359"/>
        <v>1049</v>
      </c>
      <c r="AE112" s="53">
        <f t="shared" si="1359"/>
        <v>1016</v>
      </c>
      <c r="AF112" s="53">
        <f t="shared" si="1359"/>
        <v>1722</v>
      </c>
      <c r="AG112" s="53">
        <f t="shared" si="1359"/>
        <v>1708</v>
      </c>
      <c r="AH112" s="53">
        <f t="shared" si="1359"/>
        <v>1636</v>
      </c>
      <c r="AI112" s="53">
        <f t="shared" si="1359"/>
        <v>1056</v>
      </c>
      <c r="AJ112" s="53">
        <f t="shared" si="1359"/>
        <v>845</v>
      </c>
      <c r="AK112" s="53">
        <f t="shared" si="1359"/>
        <v>2042</v>
      </c>
      <c r="AL112" s="53">
        <f t="shared" ref="AL112:BQ112" si="1360">AL18-AL61</f>
        <v>2441</v>
      </c>
      <c r="AM112" s="53">
        <f t="shared" si="1360"/>
        <v>2165</v>
      </c>
      <c r="AN112" s="53">
        <f t="shared" si="1360"/>
        <v>1997</v>
      </c>
      <c r="AO112" s="53">
        <f t="shared" si="1360"/>
        <v>1799</v>
      </c>
      <c r="AP112" s="53">
        <f t="shared" si="1360"/>
        <v>923</v>
      </c>
      <c r="AQ112" s="53">
        <f t="shared" si="1360"/>
        <v>520</v>
      </c>
      <c r="AR112" s="53">
        <f t="shared" si="1360"/>
        <v>527</v>
      </c>
      <c r="AS112" s="53">
        <f t="shared" si="1360"/>
        <v>1707</v>
      </c>
      <c r="AT112" s="53">
        <f t="shared" si="1360"/>
        <v>1448</v>
      </c>
      <c r="AU112" s="53">
        <f t="shared" si="1360"/>
        <v>1381</v>
      </c>
      <c r="AV112" s="53">
        <f t="shared" si="1360"/>
        <v>1288</v>
      </c>
      <c r="AW112" s="53">
        <f t="shared" si="1360"/>
        <v>759</v>
      </c>
      <c r="AX112" s="53">
        <f t="shared" si="1360"/>
        <v>411</v>
      </c>
      <c r="AY112" s="53">
        <f t="shared" si="1360"/>
        <v>346</v>
      </c>
      <c r="AZ112" s="53">
        <f t="shared" si="1360"/>
        <v>2169</v>
      </c>
      <c r="BA112" s="53">
        <f t="shared" si="1360"/>
        <v>1887</v>
      </c>
      <c r="BB112" s="53">
        <f t="shared" si="1360"/>
        <v>1602</v>
      </c>
      <c r="BC112" s="53">
        <f t="shared" si="1360"/>
        <v>1462</v>
      </c>
      <c r="BD112" s="53">
        <f t="shared" si="1360"/>
        <v>902</v>
      </c>
      <c r="BE112" s="53">
        <f t="shared" si="1360"/>
        <v>479</v>
      </c>
      <c r="BF112" s="53">
        <f t="shared" si="1360"/>
        <v>1879</v>
      </c>
      <c r="BG112" s="53">
        <f t="shared" si="1360"/>
        <v>1541</v>
      </c>
      <c r="BH112" s="53">
        <f t="shared" si="1360"/>
        <v>2065</v>
      </c>
      <c r="BI112" s="53">
        <f t="shared" si="1360"/>
        <v>2042</v>
      </c>
      <c r="BJ112" s="53">
        <f t="shared" si="1360"/>
        <v>1962</v>
      </c>
      <c r="BK112" s="53">
        <f t="shared" si="1360"/>
        <v>1101</v>
      </c>
      <c r="BL112" s="53">
        <f t="shared" si="1360"/>
        <v>696</v>
      </c>
      <c r="BM112" s="53">
        <f t="shared" si="1360"/>
        <v>2230</v>
      </c>
      <c r="BN112" s="53">
        <f t="shared" si="1360"/>
        <v>2097</v>
      </c>
      <c r="BO112" s="53">
        <f t="shared" si="1360"/>
        <v>2339</v>
      </c>
      <c r="BP112" s="53">
        <f t="shared" si="1360"/>
        <v>2042</v>
      </c>
      <c r="BQ112" s="53">
        <f t="shared" si="1360"/>
        <v>2023</v>
      </c>
      <c r="BR112" s="53">
        <f t="shared" ref="BR112:CW112" si="1361">BR18-BR61</f>
        <v>1201</v>
      </c>
      <c r="BS112" s="53">
        <f t="shared" si="1361"/>
        <v>727</v>
      </c>
      <c r="BT112" s="53">
        <f t="shared" si="1361"/>
        <v>2603</v>
      </c>
      <c r="BU112" s="53">
        <f t="shared" si="1361"/>
        <v>2227</v>
      </c>
      <c r="BV112" s="53">
        <f t="shared" si="1361"/>
        <v>1673</v>
      </c>
      <c r="BW112" s="53">
        <f t="shared" si="1361"/>
        <v>1578</v>
      </c>
      <c r="BX112" s="53">
        <f t="shared" si="1361"/>
        <v>1414</v>
      </c>
      <c r="BY112" s="53">
        <f t="shared" si="1361"/>
        <v>695</v>
      </c>
      <c r="BZ112" s="53">
        <f t="shared" si="1361"/>
        <v>485</v>
      </c>
      <c r="CA112" s="53">
        <f t="shared" si="1361"/>
        <v>1343</v>
      </c>
      <c r="CB112" s="53">
        <f t="shared" si="1361"/>
        <v>1268</v>
      </c>
      <c r="CC112" s="53">
        <f t="shared" si="1361"/>
        <v>1118</v>
      </c>
      <c r="CD112" s="53">
        <f t="shared" si="1361"/>
        <v>1032</v>
      </c>
      <c r="CE112" s="53">
        <f t="shared" si="1361"/>
        <v>943</v>
      </c>
      <c r="CF112" s="53">
        <f t="shared" si="1361"/>
        <v>508</v>
      </c>
      <c r="CG112" s="53">
        <f t="shared" si="1361"/>
        <v>346</v>
      </c>
      <c r="CH112" s="53">
        <f t="shared" si="1361"/>
        <v>404</v>
      </c>
      <c r="CI112" s="53">
        <f t="shared" si="1361"/>
        <v>948</v>
      </c>
      <c r="CJ112" s="53">
        <f t="shared" si="1361"/>
        <v>827</v>
      </c>
      <c r="CK112" s="53">
        <f t="shared" si="1361"/>
        <v>777</v>
      </c>
      <c r="CL112" s="53">
        <f t="shared" si="1361"/>
        <v>726</v>
      </c>
      <c r="CM112" s="53">
        <f t="shared" si="1361"/>
        <v>420</v>
      </c>
      <c r="CN112" s="53">
        <f t="shared" si="1361"/>
        <v>272</v>
      </c>
      <c r="CO112" s="53">
        <f t="shared" si="1361"/>
        <v>834</v>
      </c>
      <c r="CP112" s="53">
        <f t="shared" si="1361"/>
        <v>743</v>
      </c>
      <c r="CQ112" s="53">
        <f t="shared" si="1361"/>
        <v>706</v>
      </c>
      <c r="CR112" s="53">
        <f t="shared" si="1361"/>
        <v>664</v>
      </c>
      <c r="CS112" s="53">
        <f t="shared" si="1361"/>
        <v>584</v>
      </c>
      <c r="CT112" s="53">
        <f t="shared" si="1361"/>
        <v>368</v>
      </c>
      <c r="CU112" s="53">
        <f t="shared" si="1361"/>
        <v>230</v>
      </c>
      <c r="CV112" s="53">
        <f t="shared" si="1361"/>
        <v>764</v>
      </c>
      <c r="CW112" s="53">
        <f t="shared" si="1361"/>
        <v>703</v>
      </c>
      <c r="CX112" s="53">
        <f t="shared" ref="CX112:EA112" si="1362">CX18-CX61</f>
        <v>692</v>
      </c>
      <c r="CY112" s="53">
        <f t="shared" si="1362"/>
        <v>656</v>
      </c>
      <c r="CZ112" s="53">
        <f t="shared" si="1362"/>
        <v>555</v>
      </c>
      <c r="DA112" s="53">
        <f t="shared" si="1362"/>
        <v>346</v>
      </c>
      <c r="DB112" s="53">
        <f t="shared" si="1362"/>
        <v>241</v>
      </c>
      <c r="DC112" s="53">
        <f t="shared" si="1362"/>
        <v>705</v>
      </c>
      <c r="DD112" s="53">
        <f t="shared" si="1362"/>
        <v>692</v>
      </c>
      <c r="DE112" s="53">
        <f t="shared" ref="DE112:DZ112" si="1363">DE18-DE61</f>
        <v>635</v>
      </c>
      <c r="DF112" s="53">
        <f t="shared" si="1363"/>
        <v>674</v>
      </c>
      <c r="DG112" s="53">
        <f t="shared" si="1363"/>
        <v>582</v>
      </c>
      <c r="DH112" s="53">
        <f t="shared" ref="DH112:DI112" si="1364">DH18-DH61</f>
        <v>319</v>
      </c>
      <c r="DI112" s="53">
        <f t="shared" si="1364"/>
        <v>212</v>
      </c>
      <c r="DJ112" s="53">
        <f t="shared" si="1363"/>
        <v>657</v>
      </c>
      <c r="DK112" s="53">
        <f t="shared" si="1363"/>
        <v>627</v>
      </c>
      <c r="DL112" s="53">
        <f t="shared" ref="DL112:DQ112" si="1365">DL18-DL61</f>
        <v>557</v>
      </c>
      <c r="DM112" s="53">
        <f t="shared" si="1365"/>
        <v>511</v>
      </c>
      <c r="DN112" s="53">
        <f t="shared" ref="DN112:DP112" si="1366">DN18-DN61</f>
        <v>458</v>
      </c>
      <c r="DO112" s="53">
        <f t="shared" ref="DO112" si="1367">DO18-DO61</f>
        <v>299</v>
      </c>
      <c r="DP112" s="53">
        <f t="shared" si="1366"/>
        <v>217</v>
      </c>
      <c r="DQ112" s="53">
        <f t="shared" si="1365"/>
        <v>599</v>
      </c>
      <c r="DR112" s="53">
        <f t="shared" si="1363"/>
        <v>565</v>
      </c>
      <c r="DS112" s="53">
        <f t="shared" ref="DS112" si="1368">DS18-DS61</f>
        <v>526</v>
      </c>
      <c r="DT112" s="53">
        <f t="shared" si="1363"/>
        <v>483</v>
      </c>
      <c r="DU112" s="53">
        <f t="shared" ref="DU112:DV112" si="1369">DU18-DU61</f>
        <v>465</v>
      </c>
      <c r="DV112" s="53">
        <f t="shared" si="1369"/>
        <v>275</v>
      </c>
      <c r="DW112" s="53">
        <f t="shared" si="1363"/>
        <v>193</v>
      </c>
      <c r="DX112" s="53">
        <f t="shared" ref="DX112:DY112" si="1370">DX18-DX61</f>
        <v>215</v>
      </c>
      <c r="DY112" s="53">
        <f t="shared" si="1370"/>
        <v>611</v>
      </c>
      <c r="DZ112" s="53">
        <f t="shared" si="1363"/>
        <v>566</v>
      </c>
      <c r="EA112" s="53">
        <f t="shared" si="1362"/>
        <v>499</v>
      </c>
      <c r="EB112" s="53">
        <f t="shared" ref="EB112:FN112" si="1371">EB18-EB61</f>
        <v>454</v>
      </c>
      <c r="EC112" s="53">
        <f t="shared" ref="EC112:ED112" si="1372">EC18-EC61</f>
        <v>302</v>
      </c>
      <c r="ED112" s="53">
        <f t="shared" si="1372"/>
        <v>215</v>
      </c>
      <c r="EE112" s="53">
        <f t="shared" si="1371"/>
        <v>602</v>
      </c>
      <c r="EF112" s="53">
        <f t="shared" ref="EF112" si="1373">EF18-EF61</f>
        <v>577</v>
      </c>
      <c r="EG112" s="53">
        <f t="shared" si="1371"/>
        <v>506</v>
      </c>
      <c r="EH112" s="53">
        <f t="shared" ref="EH112:EI112" si="1374">EH18-EH61</f>
        <v>281</v>
      </c>
      <c r="EI112" s="53">
        <f t="shared" si="1374"/>
        <v>251</v>
      </c>
      <c r="EJ112" s="53">
        <f t="shared" si="1371"/>
        <v>185</v>
      </c>
      <c r="EK112" s="53">
        <f t="shared" ref="EK112:EL112" si="1375">EK18-EK61</f>
        <v>163</v>
      </c>
      <c r="EL112" s="53">
        <f t="shared" si="1375"/>
        <v>594</v>
      </c>
      <c r="EM112" s="53">
        <f t="shared" si="1371"/>
        <v>465</v>
      </c>
      <c r="EN112" s="53">
        <f t="shared" si="1371"/>
        <v>450</v>
      </c>
      <c r="EO112" s="53">
        <f t="shared" si="1371"/>
        <v>396</v>
      </c>
      <c r="EP112" s="53">
        <f t="shared" ref="EP112" si="1376">EP18-EP61</f>
        <v>353</v>
      </c>
      <c r="EQ112" s="53">
        <f t="shared" ref="EQ112:ER112" si="1377">EQ18-EQ61</f>
        <v>225</v>
      </c>
      <c r="ER112" s="53">
        <f t="shared" si="1377"/>
        <v>186</v>
      </c>
      <c r="ES112" s="53">
        <f t="shared" si="1371"/>
        <v>450</v>
      </c>
      <c r="ET112" s="53">
        <f t="shared" ref="ET112:EW112" si="1378">ET18-ET61</f>
        <v>409</v>
      </c>
      <c r="EU112" s="53">
        <f t="shared" ref="EU112:EV112" si="1379">EU18-EU61</f>
        <v>390</v>
      </c>
      <c r="EV112" s="53">
        <f t="shared" si="1379"/>
        <v>360</v>
      </c>
      <c r="EW112" s="53">
        <f t="shared" si="1378"/>
        <v>344</v>
      </c>
      <c r="EX112" s="53">
        <f t="shared" si="1371"/>
        <v>234</v>
      </c>
      <c r="EY112" s="53">
        <f t="shared" si="1371"/>
        <v>161</v>
      </c>
      <c r="EZ112" s="53">
        <f t="shared" si="1371"/>
        <v>393</v>
      </c>
      <c r="FA112" s="53">
        <f t="shared" si="1371"/>
        <v>371</v>
      </c>
      <c r="FB112" s="53">
        <f t="shared" ref="FB112:FD112" si="1380">FB18-FB61</f>
        <v>345</v>
      </c>
      <c r="FC112" s="53">
        <f t="shared" si="1380"/>
        <v>353</v>
      </c>
      <c r="FD112" s="53">
        <f t="shared" si="1380"/>
        <v>330</v>
      </c>
      <c r="FE112" s="53">
        <f t="shared" si="1371"/>
        <v>248</v>
      </c>
      <c r="FF112" s="53">
        <f t="shared" si="1371"/>
        <v>165</v>
      </c>
      <c r="FG112" s="53">
        <f t="shared" si="1371"/>
        <v>753</v>
      </c>
      <c r="FH112" s="53">
        <f t="shared" si="1371"/>
        <v>697</v>
      </c>
      <c r="FI112" s="53">
        <f t="shared" si="1371"/>
        <v>661</v>
      </c>
      <c r="FJ112" s="53">
        <f t="shared" ref="FJ112:FK112" si="1381">FJ18-FJ61</f>
        <v>505</v>
      </c>
      <c r="FK112" s="53">
        <f t="shared" si="1381"/>
        <v>466</v>
      </c>
      <c r="FL112" s="53">
        <f t="shared" ref="FL112" si="1382">FL18-FL61</f>
        <v>247</v>
      </c>
      <c r="FM112" s="53">
        <f t="shared" si="1371"/>
        <v>186</v>
      </c>
      <c r="FN112" s="53">
        <f t="shared" si="1371"/>
        <v>793</v>
      </c>
      <c r="FO112" s="53">
        <f t="shared" ref="FO112" si="1383">FO18-FO61</f>
        <v>735</v>
      </c>
      <c r="FP112" s="53">
        <f t="shared" ref="FP112:FU112" si="1384">FP18-FP61</f>
        <v>508</v>
      </c>
      <c r="FQ112" s="53">
        <f t="shared" si="1384"/>
        <v>1610</v>
      </c>
      <c r="FR112" s="53">
        <f t="shared" si="1384"/>
        <v>1328</v>
      </c>
      <c r="FS112" s="53">
        <f t="shared" si="1384"/>
        <v>938</v>
      </c>
      <c r="FT112" s="53">
        <f t="shared" si="1384"/>
        <v>789</v>
      </c>
      <c r="FU112" s="53">
        <f t="shared" si="1384"/>
        <v>1822</v>
      </c>
      <c r="FV112" s="53">
        <f t="shared" ref="FV112:GC112" si="1385">FV18-FV61</f>
        <v>1763</v>
      </c>
      <c r="FW112" s="53">
        <f t="shared" si="1385"/>
        <v>1642</v>
      </c>
      <c r="FX112" s="53">
        <f t="shared" si="1385"/>
        <v>1857</v>
      </c>
      <c r="FY112" s="53">
        <f t="shared" si="1385"/>
        <v>1671</v>
      </c>
      <c r="FZ112" s="53">
        <f t="shared" si="1385"/>
        <v>1100</v>
      </c>
      <c r="GA112" s="53">
        <f t="shared" si="1385"/>
        <v>725</v>
      </c>
      <c r="GB112" s="53">
        <f t="shared" si="1385"/>
        <v>2339</v>
      </c>
      <c r="GC112" s="53">
        <f t="shared" si="1385"/>
        <v>2239</v>
      </c>
      <c r="GD112" s="53">
        <f t="shared" ref="GD112:GT112" si="1386">GD18-GD61</f>
        <v>3415</v>
      </c>
      <c r="GE112" s="53">
        <f t="shared" si="1386"/>
        <v>3679</v>
      </c>
      <c r="GF112" s="53">
        <f t="shared" si="1386"/>
        <v>3789</v>
      </c>
      <c r="GG112" s="53">
        <f t="shared" si="1386"/>
        <v>2756</v>
      </c>
      <c r="GH112" s="53">
        <f t="shared" si="1386"/>
        <v>2005</v>
      </c>
      <c r="GI112" s="53">
        <f t="shared" si="1386"/>
        <v>2771</v>
      </c>
      <c r="GJ112" s="53">
        <f t="shared" si="1386"/>
        <v>2764</v>
      </c>
      <c r="GK112" s="53">
        <f t="shared" si="1386"/>
        <v>2882</v>
      </c>
      <c r="GL112" s="53">
        <f t="shared" ref="GL112:GM112" si="1387">GL18-GL61</f>
        <v>2707</v>
      </c>
      <c r="GM112" s="53">
        <f t="shared" si="1387"/>
        <v>2126</v>
      </c>
      <c r="GN112" s="53">
        <f t="shared" si="1386"/>
        <v>1111</v>
      </c>
      <c r="GO112" s="53">
        <f t="shared" ref="GO112:GS112" si="1388">GO18-GO61</f>
        <v>718</v>
      </c>
      <c r="GP112" s="53">
        <f t="shared" si="1388"/>
        <v>0</v>
      </c>
      <c r="GQ112" s="53">
        <f t="shared" ref="GQ112:GR112" si="1389">GQ18-GQ61</f>
        <v>0</v>
      </c>
      <c r="GR112" s="53">
        <f t="shared" si="1389"/>
        <v>0</v>
      </c>
      <c r="GS112" s="53">
        <f t="shared" si="1388"/>
        <v>0</v>
      </c>
      <c r="GT112" s="53">
        <f t="shared" si="1386"/>
        <v>0</v>
      </c>
    </row>
    <row r="113" spans="2:207" x14ac:dyDescent="0.3">
      <c r="B113" s="75"/>
      <c r="E113" s="51" t="s">
        <v>68</v>
      </c>
      <c r="F113" s="3">
        <f t="shared" ref="F113:AK113" si="1390">F19-F62</f>
        <v>964</v>
      </c>
      <c r="G113" s="3">
        <f t="shared" si="1390"/>
        <v>685</v>
      </c>
      <c r="H113" s="3">
        <f t="shared" si="1390"/>
        <v>647</v>
      </c>
      <c r="I113" s="3">
        <f t="shared" si="1390"/>
        <v>1247</v>
      </c>
      <c r="J113" s="3">
        <f t="shared" si="1390"/>
        <v>1691</v>
      </c>
      <c r="K113" s="3">
        <f t="shared" si="1390"/>
        <v>2131</v>
      </c>
      <c r="L113" s="3">
        <f t="shared" si="1390"/>
        <v>2041</v>
      </c>
      <c r="M113" s="3">
        <f t="shared" si="1390"/>
        <v>2266</v>
      </c>
      <c r="N113" s="3">
        <f t="shared" si="1390"/>
        <v>2129</v>
      </c>
      <c r="O113" s="3">
        <f t="shared" si="1390"/>
        <v>1882</v>
      </c>
      <c r="P113" s="3">
        <f t="shared" si="1390"/>
        <v>4875</v>
      </c>
      <c r="Q113" s="3">
        <f t="shared" si="1390"/>
        <v>5221</v>
      </c>
      <c r="R113" s="3">
        <f t="shared" si="1390"/>
        <v>4944</v>
      </c>
      <c r="S113" s="3">
        <f t="shared" si="1390"/>
        <v>4855</v>
      </c>
      <c r="T113" s="3">
        <f t="shared" si="1390"/>
        <v>4663</v>
      </c>
      <c r="U113" s="3">
        <f t="shared" si="1390"/>
        <v>4287</v>
      </c>
      <c r="V113" s="3">
        <f t="shared" si="1390"/>
        <v>3834</v>
      </c>
      <c r="W113" s="3">
        <f t="shared" si="1390"/>
        <v>4822</v>
      </c>
      <c r="X113" s="3">
        <f t="shared" si="1390"/>
        <v>4620</v>
      </c>
      <c r="Y113" s="3">
        <f t="shared" si="1390"/>
        <v>4465</v>
      </c>
      <c r="Z113" s="3">
        <f t="shared" si="1390"/>
        <v>4463</v>
      </c>
      <c r="AA113" s="3">
        <f t="shared" si="1390"/>
        <v>4246</v>
      </c>
      <c r="AB113" s="3">
        <f t="shared" si="1390"/>
        <v>3397</v>
      </c>
      <c r="AC113" s="3">
        <f t="shared" si="1390"/>
        <v>3345</v>
      </c>
      <c r="AD113" s="3">
        <f t="shared" si="1390"/>
        <v>3097</v>
      </c>
      <c r="AE113" s="3">
        <f t="shared" si="1390"/>
        <v>3216</v>
      </c>
      <c r="AF113" s="3">
        <f t="shared" si="1390"/>
        <v>3904</v>
      </c>
      <c r="AG113" s="3">
        <f t="shared" si="1390"/>
        <v>3998</v>
      </c>
      <c r="AH113" s="3">
        <f t="shared" si="1390"/>
        <v>3705</v>
      </c>
      <c r="AI113" s="3">
        <f t="shared" si="1390"/>
        <v>3317</v>
      </c>
      <c r="AJ113" s="3">
        <f t="shared" si="1390"/>
        <v>3266</v>
      </c>
      <c r="AK113" s="3">
        <f t="shared" si="1390"/>
        <v>5242</v>
      </c>
      <c r="AL113" s="3">
        <f t="shared" ref="AL113:BQ113" si="1391">AL19-AL62</f>
        <v>6312</v>
      </c>
      <c r="AM113" s="3">
        <f t="shared" si="1391"/>
        <v>6058</v>
      </c>
      <c r="AN113" s="3">
        <f t="shared" si="1391"/>
        <v>5515</v>
      </c>
      <c r="AO113" s="3">
        <f t="shared" si="1391"/>
        <v>5443</v>
      </c>
      <c r="AP113" s="3">
        <f t="shared" si="1391"/>
        <v>4569</v>
      </c>
      <c r="AQ113" s="3">
        <f t="shared" si="1391"/>
        <v>4088</v>
      </c>
      <c r="AR113" s="3">
        <f t="shared" si="1391"/>
        <v>3891</v>
      </c>
      <c r="AS113" s="3">
        <f t="shared" si="1391"/>
        <v>4475</v>
      </c>
      <c r="AT113" s="3">
        <f t="shared" si="1391"/>
        <v>4393</v>
      </c>
      <c r="AU113" s="3">
        <f t="shared" si="1391"/>
        <v>3569</v>
      </c>
      <c r="AV113" s="3">
        <f t="shared" si="1391"/>
        <v>2839</v>
      </c>
      <c r="AW113" s="3">
        <f t="shared" si="1391"/>
        <v>2054</v>
      </c>
      <c r="AX113" s="3">
        <f t="shared" si="1391"/>
        <v>1635</v>
      </c>
      <c r="AY113" s="3">
        <f t="shared" si="1391"/>
        <v>962</v>
      </c>
      <c r="AZ113" s="3">
        <f t="shared" si="1391"/>
        <v>2430</v>
      </c>
      <c r="BA113" s="3">
        <f t="shared" si="1391"/>
        <v>2493</v>
      </c>
      <c r="BB113" s="3">
        <f t="shared" si="1391"/>
        <v>2379</v>
      </c>
      <c r="BC113" s="3">
        <f t="shared" si="1391"/>
        <v>2348</v>
      </c>
      <c r="BD113" s="3">
        <f t="shared" si="1391"/>
        <v>2009</v>
      </c>
      <c r="BE113" s="3">
        <f t="shared" si="1391"/>
        <v>1735</v>
      </c>
      <c r="BF113" s="3">
        <f t="shared" si="1391"/>
        <v>2889</v>
      </c>
      <c r="BG113" s="3">
        <f t="shared" si="1391"/>
        <v>2749</v>
      </c>
      <c r="BH113" s="3">
        <f t="shared" si="1391"/>
        <v>3512</v>
      </c>
      <c r="BI113" s="3">
        <f t="shared" si="1391"/>
        <v>3689</v>
      </c>
      <c r="BJ113" s="3">
        <f t="shared" si="1391"/>
        <v>3755</v>
      </c>
      <c r="BK113" s="3">
        <f t="shared" si="1391"/>
        <v>2663</v>
      </c>
      <c r="BL113" s="3">
        <f t="shared" si="1391"/>
        <v>2396</v>
      </c>
      <c r="BM113" s="3">
        <f t="shared" si="1391"/>
        <v>4014</v>
      </c>
      <c r="BN113" s="3">
        <f t="shared" si="1391"/>
        <v>4113</v>
      </c>
      <c r="BO113" s="3">
        <f t="shared" si="1391"/>
        <v>4328</v>
      </c>
      <c r="BP113" s="3">
        <f t="shared" si="1391"/>
        <v>3865</v>
      </c>
      <c r="BQ113" s="3">
        <f t="shared" si="1391"/>
        <v>3423</v>
      </c>
      <c r="BR113" s="3">
        <f t="shared" ref="BR113:CW113" si="1392">BR19-BR62</f>
        <v>2247</v>
      </c>
      <c r="BS113" s="3">
        <f t="shared" si="1392"/>
        <v>1506</v>
      </c>
      <c r="BT113" s="3">
        <f t="shared" si="1392"/>
        <v>3243</v>
      </c>
      <c r="BU113" s="3">
        <f t="shared" si="1392"/>
        <v>2569</v>
      </c>
      <c r="BV113" s="3">
        <f t="shared" si="1392"/>
        <v>1775</v>
      </c>
      <c r="BW113" s="3">
        <f t="shared" si="1392"/>
        <v>1757</v>
      </c>
      <c r="BX113" s="3">
        <f t="shared" si="1392"/>
        <v>1615</v>
      </c>
      <c r="BY113" s="3">
        <f t="shared" si="1392"/>
        <v>898</v>
      </c>
      <c r="BZ113" s="3">
        <f t="shared" si="1392"/>
        <v>809</v>
      </c>
      <c r="CA113" s="3">
        <f t="shared" si="1392"/>
        <v>1522</v>
      </c>
      <c r="CB113" s="3">
        <f t="shared" si="1392"/>
        <v>1437</v>
      </c>
      <c r="CC113" s="3">
        <f t="shared" si="1392"/>
        <v>1297</v>
      </c>
      <c r="CD113" s="3">
        <f t="shared" si="1392"/>
        <v>1195</v>
      </c>
      <c r="CE113" s="3">
        <f t="shared" si="1392"/>
        <v>733</v>
      </c>
      <c r="CF113" s="3">
        <f t="shared" si="1392"/>
        <v>463</v>
      </c>
      <c r="CG113" s="3">
        <f t="shared" si="1392"/>
        <v>351</v>
      </c>
      <c r="CH113" s="3">
        <f t="shared" si="1392"/>
        <v>525</v>
      </c>
      <c r="CI113" s="3">
        <f t="shared" si="1392"/>
        <v>925</v>
      </c>
      <c r="CJ113" s="3">
        <f t="shared" si="1392"/>
        <v>922</v>
      </c>
      <c r="CK113" s="3">
        <f t="shared" si="1392"/>
        <v>804</v>
      </c>
      <c r="CL113" s="3">
        <f t="shared" si="1392"/>
        <v>717</v>
      </c>
      <c r="CM113" s="3">
        <f t="shared" si="1392"/>
        <v>418</v>
      </c>
      <c r="CN113" s="3">
        <f t="shared" si="1392"/>
        <v>297</v>
      </c>
      <c r="CO113" s="3">
        <f t="shared" si="1392"/>
        <v>762</v>
      </c>
      <c r="CP113" s="3">
        <f t="shared" si="1392"/>
        <v>858</v>
      </c>
      <c r="CQ113" s="3">
        <f t="shared" si="1392"/>
        <v>684</v>
      </c>
      <c r="CR113" s="3">
        <f t="shared" si="1392"/>
        <v>739</v>
      </c>
      <c r="CS113" s="3">
        <f t="shared" si="1392"/>
        <v>700</v>
      </c>
      <c r="CT113" s="3">
        <f t="shared" si="1392"/>
        <v>420</v>
      </c>
      <c r="CU113" s="3">
        <f t="shared" si="1392"/>
        <v>300</v>
      </c>
      <c r="CV113" s="3">
        <f t="shared" si="1392"/>
        <v>808</v>
      </c>
      <c r="CW113" s="3">
        <f t="shared" si="1392"/>
        <v>876</v>
      </c>
      <c r="CX113" s="3">
        <f t="shared" ref="CX113:EC113" si="1393">CX19-CX62</f>
        <v>876</v>
      </c>
      <c r="CY113" s="3">
        <f t="shared" si="1393"/>
        <v>811</v>
      </c>
      <c r="CZ113" s="3">
        <f t="shared" si="1393"/>
        <v>749</v>
      </c>
      <c r="DA113" s="3">
        <f t="shared" si="1393"/>
        <v>372</v>
      </c>
      <c r="DB113" s="3">
        <f t="shared" si="1393"/>
        <v>298</v>
      </c>
      <c r="DC113" s="3">
        <f t="shared" si="1393"/>
        <v>715</v>
      </c>
      <c r="DD113" s="3">
        <f t="shared" si="1393"/>
        <v>676</v>
      </c>
      <c r="DE113" s="3">
        <f t="shared" si="1393"/>
        <v>610</v>
      </c>
      <c r="DF113" s="3">
        <f t="shared" si="1393"/>
        <v>542</v>
      </c>
      <c r="DG113" s="3">
        <f t="shared" si="1393"/>
        <v>645</v>
      </c>
      <c r="DH113" s="3">
        <f t="shared" si="1393"/>
        <v>476</v>
      </c>
      <c r="DI113" s="3">
        <f t="shared" si="1393"/>
        <v>314</v>
      </c>
      <c r="DJ113" s="3">
        <f t="shared" si="1393"/>
        <v>565</v>
      </c>
      <c r="DK113" s="3">
        <f t="shared" si="1393"/>
        <v>657</v>
      </c>
      <c r="DL113" s="3">
        <f t="shared" si="1393"/>
        <v>631</v>
      </c>
      <c r="DM113" s="3">
        <f t="shared" si="1393"/>
        <v>469</v>
      </c>
      <c r="DN113" s="3">
        <f t="shared" si="1393"/>
        <v>398</v>
      </c>
      <c r="DO113" s="3">
        <f t="shared" si="1393"/>
        <v>276</v>
      </c>
      <c r="DP113" s="3">
        <f t="shared" si="1393"/>
        <v>222</v>
      </c>
      <c r="DQ113" s="3">
        <f t="shared" si="1393"/>
        <v>635</v>
      </c>
      <c r="DR113" s="3">
        <f t="shared" si="1393"/>
        <v>598</v>
      </c>
      <c r="DS113" s="3">
        <f t="shared" si="1393"/>
        <v>544</v>
      </c>
      <c r="DT113" s="3">
        <f t="shared" si="1393"/>
        <v>497</v>
      </c>
      <c r="DU113" s="3">
        <f t="shared" si="1393"/>
        <v>472</v>
      </c>
      <c r="DV113" s="3">
        <f t="shared" si="1393"/>
        <v>367</v>
      </c>
      <c r="DW113" s="3">
        <f t="shared" si="1393"/>
        <v>272</v>
      </c>
      <c r="DX113" s="3">
        <f t="shared" si="1393"/>
        <v>298</v>
      </c>
      <c r="DY113" s="3">
        <f t="shared" si="1393"/>
        <v>658</v>
      </c>
      <c r="DZ113" s="3">
        <f t="shared" si="1393"/>
        <v>558</v>
      </c>
      <c r="EA113" s="3">
        <f t="shared" si="1393"/>
        <v>607</v>
      </c>
      <c r="EB113" s="3">
        <f t="shared" si="1393"/>
        <v>545</v>
      </c>
      <c r="EC113" s="3">
        <f t="shared" si="1393"/>
        <v>327</v>
      </c>
      <c r="ED113" s="3">
        <f t="shared" ref="ED113:FI113" si="1394">ED19-ED62</f>
        <v>242</v>
      </c>
      <c r="EE113" s="3">
        <f t="shared" si="1394"/>
        <v>649</v>
      </c>
      <c r="EF113" s="3">
        <f t="shared" si="1394"/>
        <v>476</v>
      </c>
      <c r="EG113" s="3">
        <f t="shared" si="1394"/>
        <v>507</v>
      </c>
      <c r="EH113" s="3">
        <f t="shared" si="1394"/>
        <v>257</v>
      </c>
      <c r="EI113" s="3">
        <f t="shared" si="1394"/>
        <v>251</v>
      </c>
      <c r="EJ113" s="3">
        <f t="shared" si="1394"/>
        <v>200</v>
      </c>
      <c r="EK113" s="3">
        <f t="shared" si="1394"/>
        <v>184</v>
      </c>
      <c r="EL113" s="3">
        <f t="shared" si="1394"/>
        <v>585</v>
      </c>
      <c r="EM113" s="3">
        <f t="shared" si="1394"/>
        <v>390</v>
      </c>
      <c r="EN113" s="3">
        <f t="shared" si="1394"/>
        <v>449</v>
      </c>
      <c r="EO113" s="3">
        <f t="shared" si="1394"/>
        <v>374</v>
      </c>
      <c r="EP113" s="3">
        <f t="shared" si="1394"/>
        <v>329</v>
      </c>
      <c r="EQ113" s="3">
        <f t="shared" si="1394"/>
        <v>249</v>
      </c>
      <c r="ER113" s="3">
        <f t="shared" si="1394"/>
        <v>198</v>
      </c>
      <c r="ES113" s="3">
        <f t="shared" si="1394"/>
        <v>439</v>
      </c>
      <c r="ET113" s="3">
        <f t="shared" si="1394"/>
        <v>402</v>
      </c>
      <c r="EU113" s="3">
        <f t="shared" si="1394"/>
        <v>351</v>
      </c>
      <c r="EV113" s="3">
        <f t="shared" si="1394"/>
        <v>293</v>
      </c>
      <c r="EW113" s="3">
        <f t="shared" si="1394"/>
        <v>309</v>
      </c>
      <c r="EX113" s="3">
        <f t="shared" si="1394"/>
        <v>190</v>
      </c>
      <c r="EY113" s="3">
        <f t="shared" si="1394"/>
        <v>175</v>
      </c>
      <c r="EZ113" s="3">
        <f t="shared" si="1394"/>
        <v>379</v>
      </c>
      <c r="FA113" s="3">
        <f t="shared" si="1394"/>
        <v>386</v>
      </c>
      <c r="FB113" s="3">
        <f t="shared" si="1394"/>
        <v>404</v>
      </c>
      <c r="FC113" s="3">
        <f t="shared" si="1394"/>
        <v>424</v>
      </c>
      <c r="FD113" s="3">
        <f t="shared" si="1394"/>
        <v>573</v>
      </c>
      <c r="FE113" s="3">
        <f t="shared" si="1394"/>
        <v>404</v>
      </c>
      <c r="FF113" s="3">
        <f t="shared" si="1394"/>
        <v>385</v>
      </c>
      <c r="FG113" s="3">
        <f t="shared" si="1394"/>
        <v>910</v>
      </c>
      <c r="FH113" s="3">
        <f t="shared" si="1394"/>
        <v>644</v>
      </c>
      <c r="FI113" s="3">
        <f t="shared" si="1394"/>
        <v>730</v>
      </c>
      <c r="FJ113" s="3">
        <f t="shared" ref="FJ113:FU113" si="1395">FJ19-FJ62</f>
        <v>634</v>
      </c>
      <c r="FK113" s="3">
        <f t="shared" si="1395"/>
        <v>760</v>
      </c>
      <c r="FL113" s="3">
        <f t="shared" si="1395"/>
        <v>761</v>
      </c>
      <c r="FM113" s="3">
        <f t="shared" si="1395"/>
        <v>571</v>
      </c>
      <c r="FN113" s="3">
        <f t="shared" si="1395"/>
        <v>2354</v>
      </c>
      <c r="FO113" s="3">
        <f t="shared" si="1395"/>
        <v>2266</v>
      </c>
      <c r="FP113" s="3">
        <f t="shared" si="1395"/>
        <v>2148</v>
      </c>
      <c r="FQ113" s="3">
        <f t="shared" si="1395"/>
        <v>4063</v>
      </c>
      <c r="FR113" s="3">
        <f t="shared" si="1395"/>
        <v>3762</v>
      </c>
      <c r="FS113" s="3">
        <f t="shared" si="1395"/>
        <v>2886</v>
      </c>
      <c r="FT113" s="3">
        <f t="shared" si="1395"/>
        <v>2458</v>
      </c>
      <c r="FU113" s="3">
        <f t="shared" si="1395"/>
        <v>4469</v>
      </c>
      <c r="FV113" s="3">
        <f t="shared" ref="FV113:GC113" si="1396">FV105+FV110</f>
        <v>4272</v>
      </c>
      <c r="FW113" s="3">
        <f t="shared" si="1396"/>
        <v>4297</v>
      </c>
      <c r="FX113" s="3">
        <f t="shared" si="1396"/>
        <v>4295</v>
      </c>
      <c r="FY113" s="3">
        <f t="shared" si="1396"/>
        <v>3666</v>
      </c>
      <c r="FZ113" s="3">
        <f t="shared" si="1396"/>
        <v>3071</v>
      </c>
      <c r="GA113" s="3">
        <f t="shared" si="1396"/>
        <v>2427</v>
      </c>
      <c r="GB113" s="3">
        <f t="shared" si="1396"/>
        <v>4314</v>
      </c>
      <c r="GC113" s="3">
        <f t="shared" si="1396"/>
        <v>4395</v>
      </c>
      <c r="GD113" s="3">
        <f t="shared" ref="GD113:GG113" si="1397">GD105+GD110</f>
        <v>4751</v>
      </c>
      <c r="GE113" s="3">
        <f t="shared" si="1397"/>
        <v>4615</v>
      </c>
      <c r="GF113" s="3">
        <f t="shared" si="1397"/>
        <v>4465</v>
      </c>
      <c r="GG113" s="3">
        <f t="shared" si="1397"/>
        <v>3371</v>
      </c>
      <c r="GH113" s="3">
        <f t="shared" ref="GH113:GT113" si="1398">GH105+GH110</f>
        <v>2977</v>
      </c>
      <c r="GI113" s="3">
        <f t="shared" si="1398"/>
        <v>4495</v>
      </c>
      <c r="GJ113" s="3">
        <f t="shared" si="1398"/>
        <v>4917</v>
      </c>
      <c r="GK113" s="3">
        <f t="shared" si="1398"/>
        <v>4836</v>
      </c>
      <c r="GL113" s="3">
        <f t="shared" ref="GL113:GM113" si="1399">GL105+GL110</f>
        <v>4371</v>
      </c>
      <c r="GM113" s="3">
        <f t="shared" si="1399"/>
        <v>4207</v>
      </c>
      <c r="GN113" s="3">
        <f t="shared" si="1398"/>
        <v>2994</v>
      </c>
      <c r="GO113" s="3">
        <f t="shared" ref="GO113:GS113" si="1400">GO105+GO110</f>
        <v>2602</v>
      </c>
      <c r="GP113" s="3">
        <f t="shared" si="1400"/>
        <v>0</v>
      </c>
      <c r="GQ113" s="3">
        <f t="shared" ref="GQ113:GR113" si="1401">GQ105+GQ110</f>
        <v>0</v>
      </c>
      <c r="GR113" s="3">
        <f t="shared" si="1401"/>
        <v>0</v>
      </c>
      <c r="GS113" s="3">
        <f t="shared" si="1400"/>
        <v>0</v>
      </c>
      <c r="GT113" s="3">
        <f t="shared" si="1398"/>
        <v>0</v>
      </c>
    </row>
    <row r="114" spans="2:207" x14ac:dyDescent="0.3">
      <c r="B114" s="75"/>
      <c r="C114" s="32"/>
      <c r="D114" s="32"/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48"/>
      <c r="CI114" s="48"/>
      <c r="CJ114" s="48"/>
      <c r="CK114" s="48"/>
      <c r="CL114" s="48"/>
      <c r="CM114" s="48"/>
      <c r="CN114" s="48"/>
      <c r="CO114" s="48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</row>
    <row r="115" spans="2:207" x14ac:dyDescent="0.3">
      <c r="B115" s="75"/>
      <c r="I115" s="22"/>
      <c r="J115" s="22"/>
      <c r="K115" s="22"/>
      <c r="L115" s="22"/>
      <c r="M115" s="22"/>
      <c r="N115" s="22"/>
      <c r="O115" s="22"/>
    </row>
    <row r="116" spans="2:207" x14ac:dyDescent="0.3">
      <c r="B116" s="75"/>
      <c r="E116" s="37" t="s">
        <v>17</v>
      </c>
      <c r="I116" s="22"/>
      <c r="J116" s="22"/>
      <c r="K116" s="22"/>
      <c r="L116" s="22"/>
      <c r="M116" s="22"/>
      <c r="N116" s="22"/>
      <c r="O116" s="22"/>
      <c r="GU116" s="76" t="s">
        <v>34</v>
      </c>
      <c r="GV116" s="76"/>
      <c r="GW116" s="76"/>
      <c r="GY116" s="73" t="s">
        <v>130</v>
      </c>
    </row>
    <row r="117" spans="2:207" ht="20.399999999999999" customHeight="1" outlineLevel="1" x14ac:dyDescent="0.3">
      <c r="B117" s="75"/>
      <c r="E117" s="38" t="s">
        <v>24</v>
      </c>
      <c r="F117" s="39">
        <v>102</v>
      </c>
      <c r="G117" s="39">
        <v>98</v>
      </c>
      <c r="H117" s="39">
        <v>72</v>
      </c>
      <c r="I117" s="39">
        <v>81</v>
      </c>
      <c r="J117" s="39">
        <v>96</v>
      </c>
      <c r="K117" s="39">
        <v>79</v>
      </c>
      <c r="L117" s="39">
        <v>87</v>
      </c>
      <c r="M117" s="39">
        <v>119</v>
      </c>
      <c r="N117" s="39">
        <v>95</v>
      </c>
      <c r="O117" s="39">
        <v>61</v>
      </c>
      <c r="P117" s="39">
        <v>374</v>
      </c>
      <c r="Q117" s="39">
        <v>262</v>
      </c>
      <c r="R117" s="39">
        <v>345</v>
      </c>
      <c r="S117" s="39">
        <v>401</v>
      </c>
      <c r="T117" s="39">
        <v>290</v>
      </c>
      <c r="U117" s="39">
        <v>177</v>
      </c>
      <c r="V117" s="39">
        <v>78</v>
      </c>
      <c r="W117" s="39">
        <v>290</v>
      </c>
      <c r="X117" s="39">
        <v>332</v>
      </c>
      <c r="Y117" s="39">
        <v>194</v>
      </c>
      <c r="Z117" s="39">
        <v>148</v>
      </c>
      <c r="AA117" s="39">
        <v>148</v>
      </c>
      <c r="AB117" s="39">
        <v>116</v>
      </c>
      <c r="AC117" s="39">
        <v>98</v>
      </c>
      <c r="AD117" s="39">
        <v>133</v>
      </c>
      <c r="AE117" s="39">
        <v>170</v>
      </c>
      <c r="AF117" s="39">
        <v>154</v>
      </c>
      <c r="AG117" s="39">
        <v>147</v>
      </c>
      <c r="AH117" s="39">
        <v>157</v>
      </c>
      <c r="AI117" s="39">
        <v>106</v>
      </c>
      <c r="AJ117" s="39">
        <v>93</v>
      </c>
      <c r="AK117" s="39">
        <v>223</v>
      </c>
      <c r="AL117" s="39">
        <v>216</v>
      </c>
      <c r="AM117" s="39">
        <v>237</v>
      </c>
      <c r="AN117" s="39">
        <v>218</v>
      </c>
      <c r="AO117" s="39">
        <v>156</v>
      </c>
      <c r="AP117" s="39">
        <v>136</v>
      </c>
      <c r="AQ117" s="39">
        <v>35</v>
      </c>
      <c r="AR117" s="39">
        <v>40</v>
      </c>
      <c r="AS117" s="39">
        <v>154</v>
      </c>
      <c r="AT117" s="39">
        <v>163</v>
      </c>
      <c r="AU117" s="39">
        <v>171</v>
      </c>
      <c r="AV117" s="39">
        <v>133</v>
      </c>
      <c r="AW117" s="39">
        <v>94</v>
      </c>
      <c r="AX117" s="39">
        <v>27</v>
      </c>
      <c r="AY117" s="39">
        <v>29</v>
      </c>
      <c r="AZ117" s="39">
        <v>151</v>
      </c>
      <c r="BA117" s="39">
        <v>131</v>
      </c>
      <c r="BB117" s="39">
        <v>186</v>
      </c>
      <c r="BC117" s="39">
        <v>111</v>
      </c>
      <c r="BD117" s="39">
        <v>75</v>
      </c>
      <c r="BE117" s="39">
        <v>44</v>
      </c>
      <c r="BF117" s="39">
        <v>126</v>
      </c>
      <c r="BG117" s="39">
        <v>131</v>
      </c>
      <c r="BH117" s="39">
        <v>116</v>
      </c>
      <c r="BI117" s="39">
        <v>83</v>
      </c>
      <c r="BJ117" s="39">
        <v>87</v>
      </c>
      <c r="BK117" s="39">
        <v>58</v>
      </c>
      <c r="BL117" s="39">
        <v>27</v>
      </c>
      <c r="BM117" s="39">
        <v>104</v>
      </c>
      <c r="BN117" s="39">
        <v>108</v>
      </c>
      <c r="BO117" s="39">
        <v>71</v>
      </c>
      <c r="BP117" s="39">
        <v>78</v>
      </c>
      <c r="BQ117" s="39">
        <v>84</v>
      </c>
      <c r="BR117" s="39">
        <v>27</v>
      </c>
      <c r="BS117" s="39">
        <v>21</v>
      </c>
      <c r="BT117" s="39">
        <v>78</v>
      </c>
      <c r="BU117" s="39">
        <v>83</v>
      </c>
      <c r="BV117" s="39">
        <v>96</v>
      </c>
      <c r="BW117" s="39">
        <v>63</v>
      </c>
      <c r="BX117" s="39">
        <v>59</v>
      </c>
      <c r="BY117" s="39">
        <v>35</v>
      </c>
      <c r="BZ117" s="39">
        <v>18</v>
      </c>
      <c r="CA117" s="39">
        <v>71</v>
      </c>
      <c r="CB117" s="39">
        <v>84</v>
      </c>
      <c r="CC117" s="39">
        <v>82</v>
      </c>
      <c r="CD117" s="39">
        <v>66</v>
      </c>
      <c r="CE117" s="39">
        <v>50</v>
      </c>
      <c r="CF117" s="39">
        <v>33</v>
      </c>
      <c r="CG117" s="39">
        <v>18</v>
      </c>
      <c r="CH117" s="39">
        <v>33</v>
      </c>
      <c r="CI117" s="39">
        <v>112</v>
      </c>
      <c r="CJ117" s="39">
        <v>66</v>
      </c>
      <c r="CK117" s="39">
        <v>67</v>
      </c>
      <c r="CL117" s="39">
        <v>71</v>
      </c>
      <c r="CM117" s="39">
        <v>38</v>
      </c>
      <c r="CN117" s="39">
        <v>27</v>
      </c>
      <c r="CO117" s="39">
        <v>82</v>
      </c>
      <c r="CP117" s="39">
        <v>61</v>
      </c>
      <c r="CQ117" s="39">
        <v>55</v>
      </c>
      <c r="CR117" s="39">
        <v>71</v>
      </c>
      <c r="CS117" s="39">
        <v>34</v>
      </c>
      <c r="CT117" s="39">
        <v>16</v>
      </c>
      <c r="CU117" s="39">
        <v>20</v>
      </c>
      <c r="CV117" s="39">
        <v>60</v>
      </c>
      <c r="CW117" s="39">
        <v>66</v>
      </c>
      <c r="CX117" s="39">
        <v>55</v>
      </c>
      <c r="CY117" s="39">
        <v>38</v>
      </c>
      <c r="CZ117" s="39">
        <v>48</v>
      </c>
      <c r="DA117" s="39">
        <v>28</v>
      </c>
      <c r="DB117" s="39">
        <v>21</v>
      </c>
      <c r="DC117" s="39">
        <v>60</v>
      </c>
      <c r="DD117" s="39">
        <v>44</v>
      </c>
      <c r="DE117" s="39">
        <v>60</v>
      </c>
      <c r="DF117" s="39">
        <v>45</v>
      </c>
      <c r="DG117" s="39">
        <v>30</v>
      </c>
      <c r="DH117" s="39">
        <v>44</v>
      </c>
      <c r="DI117" s="39">
        <v>32</v>
      </c>
      <c r="DJ117" s="39">
        <v>52</v>
      </c>
      <c r="DK117" s="39">
        <v>64</v>
      </c>
      <c r="DL117" s="39">
        <v>53</v>
      </c>
      <c r="DM117" s="39">
        <v>49</v>
      </c>
      <c r="DN117" s="39">
        <v>40</v>
      </c>
      <c r="DO117" s="39">
        <v>31</v>
      </c>
      <c r="DP117" s="39">
        <v>18</v>
      </c>
      <c r="DQ117" s="39">
        <v>61</v>
      </c>
      <c r="DR117" s="39">
        <v>64</v>
      </c>
      <c r="DS117" s="39">
        <v>68</v>
      </c>
      <c r="DT117" s="39">
        <v>64</v>
      </c>
      <c r="DU117" s="39">
        <v>39</v>
      </c>
      <c r="DV117" s="39">
        <v>43</v>
      </c>
      <c r="DW117" s="39">
        <v>25</v>
      </c>
      <c r="DX117" s="39">
        <v>34</v>
      </c>
      <c r="DY117" s="39">
        <v>71</v>
      </c>
      <c r="DZ117" s="39">
        <v>60</v>
      </c>
      <c r="EA117" s="39">
        <v>57</v>
      </c>
      <c r="EB117" s="39">
        <v>64</v>
      </c>
      <c r="EC117" s="39">
        <v>30</v>
      </c>
      <c r="ED117" s="39">
        <v>22</v>
      </c>
      <c r="EE117" s="39">
        <v>65</v>
      </c>
      <c r="EF117" s="39">
        <v>60</v>
      </c>
      <c r="EG117" s="39">
        <v>41</v>
      </c>
      <c r="EH117" s="39">
        <v>26</v>
      </c>
      <c r="EI117" s="39">
        <v>15</v>
      </c>
      <c r="EJ117" s="39">
        <v>18</v>
      </c>
      <c r="EK117" s="39">
        <v>13</v>
      </c>
      <c r="EL117" s="39">
        <v>54</v>
      </c>
      <c r="EM117" s="39">
        <v>47</v>
      </c>
      <c r="EN117" s="39">
        <v>42</v>
      </c>
      <c r="EO117" s="39">
        <v>48</v>
      </c>
      <c r="EP117" s="39">
        <v>43</v>
      </c>
      <c r="EQ117" s="39">
        <v>17</v>
      </c>
      <c r="ER117" s="39">
        <v>20</v>
      </c>
      <c r="ES117" s="39">
        <v>46</v>
      </c>
      <c r="ET117" s="39">
        <v>50</v>
      </c>
      <c r="EU117" s="39">
        <v>41</v>
      </c>
      <c r="EV117" s="39">
        <v>30</v>
      </c>
      <c r="EW117" s="39">
        <v>46</v>
      </c>
      <c r="EX117" s="39">
        <v>14</v>
      </c>
      <c r="EY117" s="39">
        <v>22</v>
      </c>
      <c r="EZ117" s="39">
        <v>55</v>
      </c>
      <c r="FA117" s="39">
        <v>63</v>
      </c>
      <c r="FB117" s="39">
        <v>39</v>
      </c>
      <c r="FC117" s="39">
        <v>79</v>
      </c>
      <c r="FD117" s="39">
        <v>56</v>
      </c>
      <c r="FE117" s="39">
        <v>20</v>
      </c>
      <c r="FF117" s="39">
        <v>13</v>
      </c>
      <c r="FG117" s="39">
        <v>59</v>
      </c>
      <c r="FH117" s="39">
        <v>35</v>
      </c>
      <c r="FI117" s="39">
        <v>70</v>
      </c>
      <c r="FJ117" s="39">
        <v>58</v>
      </c>
      <c r="FK117" s="39">
        <v>73</v>
      </c>
      <c r="FL117" s="39">
        <v>45</v>
      </c>
      <c r="FM117" s="39">
        <v>44</v>
      </c>
      <c r="FN117" s="39">
        <v>113</v>
      </c>
      <c r="FO117" s="39">
        <v>81</v>
      </c>
      <c r="FP117" s="39">
        <v>38</v>
      </c>
      <c r="FQ117" s="39">
        <v>96</v>
      </c>
      <c r="FR117" s="39">
        <v>93</v>
      </c>
      <c r="FS117" s="39">
        <v>49</v>
      </c>
      <c r="FT117" s="39">
        <v>24</v>
      </c>
      <c r="FU117" s="39">
        <v>165</v>
      </c>
      <c r="FV117" s="39">
        <v>216</v>
      </c>
      <c r="FW117" s="39">
        <v>216</v>
      </c>
      <c r="FX117" s="39">
        <v>311</v>
      </c>
      <c r="FY117" s="39">
        <v>198</v>
      </c>
      <c r="FZ117" s="39">
        <v>101</v>
      </c>
      <c r="GA117" s="39">
        <v>48</v>
      </c>
      <c r="GB117" s="39">
        <v>179</v>
      </c>
      <c r="GC117" s="39">
        <v>195</v>
      </c>
      <c r="GD117" s="39">
        <v>149</v>
      </c>
      <c r="GE117" s="39">
        <v>176</v>
      </c>
      <c r="GF117" s="39">
        <v>223</v>
      </c>
      <c r="GG117" s="39">
        <v>117</v>
      </c>
      <c r="GH117" s="39">
        <v>40</v>
      </c>
      <c r="GI117" s="39">
        <v>248</v>
      </c>
      <c r="GJ117" s="39">
        <v>315</v>
      </c>
      <c r="GK117" s="39">
        <v>279</v>
      </c>
      <c r="GL117" s="39">
        <v>244</v>
      </c>
      <c r="GM117" s="39">
        <v>188</v>
      </c>
      <c r="GN117" s="39">
        <v>90</v>
      </c>
      <c r="GO117" s="39">
        <v>55</v>
      </c>
      <c r="GP117" s="39"/>
      <c r="GQ117" s="39"/>
      <c r="GR117" s="39"/>
      <c r="GS117" s="39"/>
      <c r="GT117" s="39"/>
      <c r="GU117" s="84"/>
      <c r="GV117" s="84"/>
      <c r="GW117" s="84"/>
      <c r="GX117" s="70">
        <f t="shared" ref="GX117:GX126" si="1402">SUM(FP117:GT117)</f>
        <v>4053</v>
      </c>
      <c r="GY117" s="72">
        <f t="shared" ref="GY117:GY126" si="1403">GX117/$GX$127</f>
        <v>8.7571842184866688E-2</v>
      </c>
    </row>
    <row r="118" spans="2:207" ht="20.399999999999999" customHeight="1" outlineLevel="1" x14ac:dyDescent="0.3">
      <c r="B118" s="75"/>
      <c r="E118" s="43" t="s">
        <v>25</v>
      </c>
      <c r="F118" s="44">
        <v>188</v>
      </c>
      <c r="G118" s="44">
        <v>148</v>
      </c>
      <c r="H118" s="44">
        <v>150</v>
      </c>
      <c r="I118" s="44">
        <v>141</v>
      </c>
      <c r="J118" s="44">
        <v>196</v>
      </c>
      <c r="K118" s="44">
        <v>173</v>
      </c>
      <c r="L118" s="44">
        <v>248</v>
      </c>
      <c r="M118" s="44">
        <v>220</v>
      </c>
      <c r="N118" s="44">
        <v>179</v>
      </c>
      <c r="O118" s="44">
        <v>150</v>
      </c>
      <c r="P118" s="44">
        <v>690</v>
      </c>
      <c r="Q118" s="44">
        <v>429</v>
      </c>
      <c r="R118" s="44">
        <v>474</v>
      </c>
      <c r="S118" s="44">
        <v>356</v>
      </c>
      <c r="T118" s="44">
        <v>314</v>
      </c>
      <c r="U118" s="44">
        <v>588</v>
      </c>
      <c r="V118" s="44">
        <v>215</v>
      </c>
      <c r="W118" s="44">
        <v>500</v>
      </c>
      <c r="X118" s="44">
        <v>516</v>
      </c>
      <c r="Y118" s="44">
        <v>427</v>
      </c>
      <c r="Z118" s="44">
        <v>353</v>
      </c>
      <c r="AA118" s="44">
        <v>469</v>
      </c>
      <c r="AB118" s="44">
        <v>302</v>
      </c>
      <c r="AC118" s="44">
        <v>321</v>
      </c>
      <c r="AD118" s="44">
        <v>696</v>
      </c>
      <c r="AE118" s="44">
        <v>614</v>
      </c>
      <c r="AF118" s="44">
        <v>746</v>
      </c>
      <c r="AG118" s="44">
        <v>570</v>
      </c>
      <c r="AH118" s="44">
        <v>447</v>
      </c>
      <c r="AI118" s="44">
        <v>210</v>
      </c>
      <c r="AJ118" s="44">
        <v>204</v>
      </c>
      <c r="AK118" s="44">
        <v>604</v>
      </c>
      <c r="AL118" s="44">
        <v>413</v>
      </c>
      <c r="AM118" s="44">
        <v>412</v>
      </c>
      <c r="AN118" s="44">
        <v>395</v>
      </c>
      <c r="AO118" s="44">
        <v>324</v>
      </c>
      <c r="AP118" s="44">
        <v>185</v>
      </c>
      <c r="AQ118" s="44">
        <v>105</v>
      </c>
      <c r="AR118" s="44">
        <v>93</v>
      </c>
      <c r="AS118" s="44">
        <v>608</v>
      </c>
      <c r="AT118" s="44">
        <v>296</v>
      </c>
      <c r="AU118" s="44">
        <v>423</v>
      </c>
      <c r="AV118" s="44">
        <v>293</v>
      </c>
      <c r="AW118" s="44">
        <v>239</v>
      </c>
      <c r="AX118" s="44">
        <v>112</v>
      </c>
      <c r="AY118" s="44">
        <v>105</v>
      </c>
      <c r="AZ118" s="44">
        <v>344</v>
      </c>
      <c r="BA118" s="44">
        <v>373</v>
      </c>
      <c r="BB118" s="44">
        <v>315</v>
      </c>
      <c r="BC118" s="44">
        <v>336</v>
      </c>
      <c r="BD118" s="44">
        <v>173</v>
      </c>
      <c r="BE118" s="44">
        <v>130</v>
      </c>
      <c r="BF118" s="44">
        <v>357</v>
      </c>
      <c r="BG118" s="44">
        <v>474</v>
      </c>
      <c r="BH118" s="44">
        <v>638</v>
      </c>
      <c r="BI118" s="44">
        <v>619</v>
      </c>
      <c r="BJ118" s="44">
        <v>465</v>
      </c>
      <c r="BK118" s="44">
        <v>268</v>
      </c>
      <c r="BL118" s="44">
        <v>153</v>
      </c>
      <c r="BM118" s="44">
        <v>509</v>
      </c>
      <c r="BN118" s="44">
        <v>452</v>
      </c>
      <c r="BO118" s="44">
        <v>370</v>
      </c>
      <c r="BP118" s="44">
        <v>323</v>
      </c>
      <c r="BQ118" s="44">
        <v>232</v>
      </c>
      <c r="BR118" s="44">
        <v>148</v>
      </c>
      <c r="BS118" s="44">
        <v>107</v>
      </c>
      <c r="BT118" s="44">
        <v>242</v>
      </c>
      <c r="BU118" s="44">
        <v>267</v>
      </c>
      <c r="BV118" s="44">
        <v>185</v>
      </c>
      <c r="BW118" s="44">
        <v>165</v>
      </c>
      <c r="BX118" s="44">
        <v>139</v>
      </c>
      <c r="BY118" s="44">
        <v>110</v>
      </c>
      <c r="BZ118" s="44">
        <v>76</v>
      </c>
      <c r="CA118" s="44">
        <v>132</v>
      </c>
      <c r="CB118" s="44">
        <v>131</v>
      </c>
      <c r="CC118" s="44">
        <v>143</v>
      </c>
      <c r="CD118" s="44">
        <v>107</v>
      </c>
      <c r="CE118" s="44">
        <v>102</v>
      </c>
      <c r="CF118" s="44">
        <v>55</v>
      </c>
      <c r="CG118" s="44">
        <v>37</v>
      </c>
      <c r="CH118" s="44">
        <v>39</v>
      </c>
      <c r="CI118" s="44">
        <v>93</v>
      </c>
      <c r="CJ118" s="44">
        <v>73</v>
      </c>
      <c r="CK118" s="44">
        <v>72</v>
      </c>
      <c r="CL118" s="44">
        <v>47</v>
      </c>
      <c r="CM118" s="44">
        <v>35</v>
      </c>
      <c r="CN118" s="44">
        <v>20</v>
      </c>
      <c r="CO118" s="44">
        <v>73</v>
      </c>
      <c r="CP118" s="44">
        <v>59</v>
      </c>
      <c r="CQ118" s="44">
        <v>38</v>
      </c>
      <c r="CR118" s="44">
        <v>61</v>
      </c>
      <c r="CS118" s="44">
        <v>51</v>
      </c>
      <c r="CT118" s="44">
        <v>68</v>
      </c>
      <c r="CU118" s="44">
        <v>52</v>
      </c>
      <c r="CV118" s="44">
        <v>105</v>
      </c>
      <c r="CW118" s="44">
        <v>84</v>
      </c>
      <c r="CX118" s="44">
        <v>85</v>
      </c>
      <c r="CY118" s="44">
        <v>64</v>
      </c>
      <c r="CZ118" s="44">
        <v>67</v>
      </c>
      <c r="DA118" s="44">
        <v>21</v>
      </c>
      <c r="DB118" s="44">
        <v>22</v>
      </c>
      <c r="DC118" s="44">
        <v>58</v>
      </c>
      <c r="DD118" s="44">
        <v>49</v>
      </c>
      <c r="DE118" s="44">
        <v>39</v>
      </c>
      <c r="DF118" s="44">
        <v>40</v>
      </c>
      <c r="DG118" s="44">
        <v>71</v>
      </c>
      <c r="DH118" s="44">
        <v>50</v>
      </c>
      <c r="DI118" s="44">
        <v>29</v>
      </c>
      <c r="DJ118" s="44">
        <v>32</v>
      </c>
      <c r="DK118" s="44">
        <v>71</v>
      </c>
      <c r="DL118" s="44">
        <v>64</v>
      </c>
      <c r="DM118" s="44">
        <v>34</v>
      </c>
      <c r="DN118" s="44">
        <v>33</v>
      </c>
      <c r="DO118" s="44">
        <v>14</v>
      </c>
      <c r="DP118" s="44">
        <v>27</v>
      </c>
      <c r="DQ118" s="44">
        <v>40</v>
      </c>
      <c r="DR118" s="44">
        <v>31</v>
      </c>
      <c r="DS118" s="44">
        <v>31</v>
      </c>
      <c r="DT118" s="44">
        <v>22</v>
      </c>
      <c r="DU118" s="44">
        <v>22</v>
      </c>
      <c r="DV118" s="44">
        <v>72</v>
      </c>
      <c r="DW118" s="44">
        <v>52</v>
      </c>
      <c r="DX118" s="44">
        <v>26</v>
      </c>
      <c r="DY118" s="44">
        <v>41</v>
      </c>
      <c r="DZ118" s="44">
        <v>41</v>
      </c>
      <c r="EA118" s="44">
        <v>66</v>
      </c>
      <c r="EB118" s="44">
        <v>64</v>
      </c>
      <c r="EC118" s="44">
        <v>29</v>
      </c>
      <c r="ED118" s="44">
        <v>20</v>
      </c>
      <c r="EE118" s="44">
        <v>77</v>
      </c>
      <c r="EF118" s="44">
        <v>35</v>
      </c>
      <c r="EG118" s="44">
        <v>62</v>
      </c>
      <c r="EH118" s="44">
        <v>18</v>
      </c>
      <c r="EI118" s="44">
        <v>39</v>
      </c>
      <c r="EJ118" s="44">
        <v>19</v>
      </c>
      <c r="EK118" s="44">
        <v>24</v>
      </c>
      <c r="EL118" s="44">
        <v>78</v>
      </c>
      <c r="EM118" s="44">
        <v>34</v>
      </c>
      <c r="EN118" s="44">
        <v>34</v>
      </c>
      <c r="EO118" s="44">
        <v>38</v>
      </c>
      <c r="EP118" s="44">
        <v>39</v>
      </c>
      <c r="EQ118" s="44">
        <v>23</v>
      </c>
      <c r="ER118" s="44">
        <v>7</v>
      </c>
      <c r="ES118" s="44">
        <v>34</v>
      </c>
      <c r="ET118" s="44">
        <v>52</v>
      </c>
      <c r="EU118" s="44">
        <v>26</v>
      </c>
      <c r="EV118" s="44">
        <v>24</v>
      </c>
      <c r="EW118" s="44">
        <v>43</v>
      </c>
      <c r="EX118" s="44">
        <v>29</v>
      </c>
      <c r="EY118" s="44">
        <v>46</v>
      </c>
      <c r="EZ118" s="44">
        <v>42</v>
      </c>
      <c r="FA118" s="44">
        <v>34</v>
      </c>
      <c r="FB118" s="44">
        <v>50</v>
      </c>
      <c r="FC118" s="44">
        <v>29</v>
      </c>
      <c r="FD118" s="44">
        <v>42</v>
      </c>
      <c r="FE118" s="44">
        <v>25</v>
      </c>
      <c r="FF118" s="44">
        <v>15</v>
      </c>
      <c r="FG118" s="44">
        <v>37</v>
      </c>
      <c r="FH118" s="44">
        <v>39</v>
      </c>
      <c r="FI118" s="44">
        <v>38</v>
      </c>
      <c r="FJ118" s="44">
        <v>30</v>
      </c>
      <c r="FK118" s="44">
        <v>18</v>
      </c>
      <c r="FL118" s="44">
        <v>7</v>
      </c>
      <c r="FM118" s="44">
        <v>6</v>
      </c>
      <c r="FN118" s="44">
        <v>21</v>
      </c>
      <c r="FO118" s="44">
        <v>25</v>
      </c>
      <c r="FP118" s="44">
        <v>46</v>
      </c>
      <c r="FQ118" s="44">
        <v>85</v>
      </c>
      <c r="FR118" s="44">
        <v>47</v>
      </c>
      <c r="FS118" s="44">
        <v>26</v>
      </c>
      <c r="FT118" s="44">
        <v>15</v>
      </c>
      <c r="FU118" s="44">
        <v>55</v>
      </c>
      <c r="FV118" s="44">
        <v>47</v>
      </c>
      <c r="FW118" s="44">
        <v>33</v>
      </c>
      <c r="FX118" s="44">
        <v>44</v>
      </c>
      <c r="FY118" s="44">
        <v>30</v>
      </c>
      <c r="FZ118" s="44">
        <v>29</v>
      </c>
      <c r="GA118" s="44">
        <v>16</v>
      </c>
      <c r="GB118" s="44">
        <v>41</v>
      </c>
      <c r="GC118" s="44">
        <v>38</v>
      </c>
      <c r="GD118" s="44">
        <v>104</v>
      </c>
      <c r="GE118" s="44">
        <v>83</v>
      </c>
      <c r="GF118" s="44">
        <v>94</v>
      </c>
      <c r="GG118" s="44">
        <v>51</v>
      </c>
      <c r="GH118" s="44">
        <v>131</v>
      </c>
      <c r="GI118" s="44">
        <v>246</v>
      </c>
      <c r="GJ118" s="44">
        <v>285</v>
      </c>
      <c r="GK118" s="44">
        <v>326</v>
      </c>
      <c r="GL118" s="44">
        <v>339</v>
      </c>
      <c r="GM118" s="44">
        <v>202</v>
      </c>
      <c r="GN118" s="44">
        <v>84</v>
      </c>
      <c r="GO118" s="44">
        <v>43</v>
      </c>
      <c r="GP118" s="44"/>
      <c r="GQ118" s="44"/>
      <c r="GR118" s="44"/>
      <c r="GS118" s="44"/>
      <c r="GT118" s="44"/>
      <c r="GU118" s="82"/>
      <c r="GV118" s="82"/>
      <c r="GW118" s="82"/>
      <c r="GX118" s="29">
        <f t="shared" si="1402"/>
        <v>2540</v>
      </c>
      <c r="GY118" s="72">
        <f t="shared" si="1403"/>
        <v>5.4880947236506633E-2</v>
      </c>
    </row>
    <row r="119" spans="2:207" ht="20.399999999999999" customHeight="1" outlineLevel="1" x14ac:dyDescent="0.3">
      <c r="B119" s="75"/>
      <c r="E119" s="38" t="s">
        <v>26</v>
      </c>
      <c r="F119" s="39">
        <v>133</v>
      </c>
      <c r="G119" s="39">
        <v>110</v>
      </c>
      <c r="H119" s="39">
        <v>80</v>
      </c>
      <c r="I119" s="39">
        <v>86</v>
      </c>
      <c r="J119" s="39">
        <v>90</v>
      </c>
      <c r="K119" s="39">
        <v>111</v>
      </c>
      <c r="L119" s="39">
        <v>86</v>
      </c>
      <c r="M119" s="39">
        <v>159</v>
      </c>
      <c r="N119" s="39">
        <v>87</v>
      </c>
      <c r="O119" s="39">
        <v>75</v>
      </c>
      <c r="P119" s="39">
        <v>551</v>
      </c>
      <c r="Q119" s="39">
        <v>555</v>
      </c>
      <c r="R119" s="39">
        <v>493</v>
      </c>
      <c r="S119" s="39">
        <v>341</v>
      </c>
      <c r="T119" s="39">
        <v>247</v>
      </c>
      <c r="U119" s="39">
        <v>120</v>
      </c>
      <c r="V119" s="39">
        <v>87</v>
      </c>
      <c r="W119" s="39">
        <v>281</v>
      </c>
      <c r="X119" s="39">
        <v>241</v>
      </c>
      <c r="Y119" s="39">
        <v>116</v>
      </c>
      <c r="Z119" s="39">
        <v>76</v>
      </c>
      <c r="AA119" s="39">
        <v>82</v>
      </c>
      <c r="AB119" s="39">
        <v>64</v>
      </c>
      <c r="AC119" s="39">
        <v>49</v>
      </c>
      <c r="AD119" s="39">
        <v>130</v>
      </c>
      <c r="AE119" s="39">
        <v>133</v>
      </c>
      <c r="AF119" s="39">
        <v>144</v>
      </c>
      <c r="AG119" s="39">
        <v>220</v>
      </c>
      <c r="AH119" s="39">
        <v>373</v>
      </c>
      <c r="AI119" s="39">
        <v>225</v>
      </c>
      <c r="AJ119" s="39">
        <v>227</v>
      </c>
      <c r="AK119" s="39">
        <v>506</v>
      </c>
      <c r="AL119" s="39">
        <v>490</v>
      </c>
      <c r="AM119" s="39">
        <v>372</v>
      </c>
      <c r="AN119" s="39">
        <v>235</v>
      </c>
      <c r="AO119" s="39">
        <v>192</v>
      </c>
      <c r="AP119" s="39">
        <v>132</v>
      </c>
      <c r="AQ119" s="39">
        <v>65</v>
      </c>
      <c r="AR119" s="39">
        <v>54</v>
      </c>
      <c r="AS119" s="39">
        <v>258</v>
      </c>
      <c r="AT119" s="39">
        <v>224</v>
      </c>
      <c r="AU119" s="39">
        <v>218</v>
      </c>
      <c r="AV119" s="39">
        <v>179</v>
      </c>
      <c r="AW119" s="39">
        <v>100</v>
      </c>
      <c r="AX119" s="39">
        <v>62</v>
      </c>
      <c r="AY119" s="39">
        <v>45</v>
      </c>
      <c r="AZ119" s="39">
        <v>294</v>
      </c>
      <c r="BA119" s="39">
        <v>293</v>
      </c>
      <c r="BB119" s="39">
        <v>248</v>
      </c>
      <c r="BC119" s="39">
        <v>234</v>
      </c>
      <c r="BD119" s="39">
        <v>98</v>
      </c>
      <c r="BE119" s="39">
        <v>102</v>
      </c>
      <c r="BF119" s="39">
        <v>322</v>
      </c>
      <c r="BG119" s="39">
        <v>244</v>
      </c>
      <c r="BH119" s="39">
        <v>216</v>
      </c>
      <c r="BI119" s="39">
        <v>242</v>
      </c>
      <c r="BJ119" s="39">
        <v>193</v>
      </c>
      <c r="BK119" s="39">
        <v>111</v>
      </c>
      <c r="BL119" s="39">
        <v>94</v>
      </c>
      <c r="BM119" s="39">
        <v>237</v>
      </c>
      <c r="BN119" s="39">
        <v>207</v>
      </c>
      <c r="BO119" s="39">
        <v>231</v>
      </c>
      <c r="BP119" s="39">
        <v>236</v>
      </c>
      <c r="BQ119" s="39">
        <v>227</v>
      </c>
      <c r="BR119" s="39">
        <v>132</v>
      </c>
      <c r="BS119" s="39">
        <v>105</v>
      </c>
      <c r="BT119" s="39">
        <v>279</v>
      </c>
      <c r="BU119" s="39">
        <v>237</v>
      </c>
      <c r="BV119" s="39">
        <v>274</v>
      </c>
      <c r="BW119" s="39">
        <v>270</v>
      </c>
      <c r="BX119" s="39">
        <v>222</v>
      </c>
      <c r="BY119" s="39">
        <v>127</v>
      </c>
      <c r="BZ119" s="39">
        <v>67</v>
      </c>
      <c r="CA119" s="39">
        <v>219</v>
      </c>
      <c r="CB119" s="39">
        <v>239</v>
      </c>
      <c r="CC119" s="39">
        <v>187</v>
      </c>
      <c r="CD119" s="39">
        <v>208</v>
      </c>
      <c r="CE119" s="39">
        <v>133</v>
      </c>
      <c r="CF119" s="39">
        <v>84</v>
      </c>
      <c r="CG119" s="39">
        <v>64</v>
      </c>
      <c r="CH119" s="39">
        <v>102</v>
      </c>
      <c r="CI119" s="39">
        <v>147</v>
      </c>
      <c r="CJ119" s="39">
        <v>126</v>
      </c>
      <c r="CK119" s="39">
        <v>158</v>
      </c>
      <c r="CL119" s="39">
        <v>113</v>
      </c>
      <c r="CM119" s="39">
        <v>70</v>
      </c>
      <c r="CN119" s="39">
        <v>56</v>
      </c>
      <c r="CO119" s="39">
        <v>132</v>
      </c>
      <c r="CP119" s="39">
        <v>191</v>
      </c>
      <c r="CQ119" s="39">
        <v>111</v>
      </c>
      <c r="CR119" s="39">
        <v>159</v>
      </c>
      <c r="CS119" s="39">
        <v>143</v>
      </c>
      <c r="CT119" s="39">
        <v>40</v>
      </c>
      <c r="CU119" s="39">
        <v>32</v>
      </c>
      <c r="CV119" s="39">
        <v>131</v>
      </c>
      <c r="CW119" s="39">
        <v>145</v>
      </c>
      <c r="CX119" s="39">
        <v>116</v>
      </c>
      <c r="CY119" s="39">
        <v>127</v>
      </c>
      <c r="CZ119" s="39">
        <v>90</v>
      </c>
      <c r="DA119" s="39">
        <v>54</v>
      </c>
      <c r="DB119" s="39">
        <v>34</v>
      </c>
      <c r="DC119" s="39">
        <v>133</v>
      </c>
      <c r="DD119" s="39">
        <v>114</v>
      </c>
      <c r="DE119" s="39">
        <v>108</v>
      </c>
      <c r="DF119" s="39">
        <v>85</v>
      </c>
      <c r="DG119" s="39">
        <v>93</v>
      </c>
      <c r="DH119" s="39">
        <v>59</v>
      </c>
      <c r="DI119" s="39">
        <v>38</v>
      </c>
      <c r="DJ119" s="39">
        <v>89</v>
      </c>
      <c r="DK119" s="39">
        <v>118</v>
      </c>
      <c r="DL119" s="39">
        <v>99</v>
      </c>
      <c r="DM119" s="39">
        <v>67</v>
      </c>
      <c r="DN119" s="39">
        <v>69</v>
      </c>
      <c r="DO119" s="39">
        <v>49</v>
      </c>
      <c r="DP119" s="39">
        <v>24</v>
      </c>
      <c r="DQ119" s="39">
        <v>96</v>
      </c>
      <c r="DR119" s="39">
        <v>104</v>
      </c>
      <c r="DS119" s="39">
        <v>84</v>
      </c>
      <c r="DT119" s="39">
        <v>72</v>
      </c>
      <c r="DU119" s="39">
        <v>87</v>
      </c>
      <c r="DV119" s="39">
        <v>45</v>
      </c>
      <c r="DW119" s="39">
        <v>38</v>
      </c>
      <c r="DX119" s="39">
        <v>35</v>
      </c>
      <c r="DY119" s="39">
        <v>129</v>
      </c>
      <c r="DZ119" s="39">
        <v>87</v>
      </c>
      <c r="EA119" s="39">
        <v>99</v>
      </c>
      <c r="EB119" s="39">
        <v>84</v>
      </c>
      <c r="EC119" s="39">
        <v>48</v>
      </c>
      <c r="ED119" s="39">
        <v>31</v>
      </c>
      <c r="EE119" s="39">
        <v>119</v>
      </c>
      <c r="EF119" s="39">
        <v>90</v>
      </c>
      <c r="EG119" s="39">
        <v>118</v>
      </c>
      <c r="EH119" s="39">
        <v>43</v>
      </c>
      <c r="EI119" s="39">
        <v>34</v>
      </c>
      <c r="EJ119" s="39">
        <v>20</v>
      </c>
      <c r="EK119" s="39">
        <v>25</v>
      </c>
      <c r="EL119" s="39">
        <v>108</v>
      </c>
      <c r="EM119" s="39">
        <v>53</v>
      </c>
      <c r="EN119" s="39">
        <v>103</v>
      </c>
      <c r="EO119" s="39">
        <v>47</v>
      </c>
      <c r="EP119" s="39">
        <v>40</v>
      </c>
      <c r="EQ119" s="39">
        <v>41</v>
      </c>
      <c r="ER119" s="39">
        <v>31</v>
      </c>
      <c r="ES119" s="39">
        <v>57</v>
      </c>
      <c r="ET119" s="39">
        <v>47</v>
      </c>
      <c r="EU119" s="39">
        <v>32</v>
      </c>
      <c r="EV119" s="39">
        <v>33</v>
      </c>
      <c r="EW119" s="39">
        <v>33</v>
      </c>
      <c r="EX119" s="39">
        <v>15</v>
      </c>
      <c r="EY119" s="39">
        <v>30</v>
      </c>
      <c r="EZ119" s="39">
        <v>49</v>
      </c>
      <c r="FA119" s="39">
        <v>52</v>
      </c>
      <c r="FB119" s="39">
        <v>49</v>
      </c>
      <c r="FC119" s="39">
        <v>63</v>
      </c>
      <c r="FD119" s="39">
        <v>260</v>
      </c>
      <c r="FE119" s="39">
        <v>157</v>
      </c>
      <c r="FF119" s="39">
        <v>193</v>
      </c>
      <c r="FG119" s="39">
        <v>481</v>
      </c>
      <c r="FH119" s="39">
        <v>268</v>
      </c>
      <c r="FI119" s="39">
        <v>183</v>
      </c>
      <c r="FJ119" s="39">
        <v>186</v>
      </c>
      <c r="FK119" s="39">
        <v>348</v>
      </c>
      <c r="FL119" s="39">
        <v>319</v>
      </c>
      <c r="FM119" s="39">
        <v>288</v>
      </c>
      <c r="FN119" s="39">
        <v>1173</v>
      </c>
      <c r="FO119" s="39">
        <v>1096</v>
      </c>
      <c r="FP119" s="39">
        <v>627</v>
      </c>
      <c r="FQ119" s="39">
        <v>1544</v>
      </c>
      <c r="FR119" s="39">
        <v>1108</v>
      </c>
      <c r="FS119" s="39">
        <v>581</v>
      </c>
      <c r="FT119" s="39">
        <v>386</v>
      </c>
      <c r="FU119" s="39">
        <v>1544</v>
      </c>
      <c r="FV119" s="39">
        <v>1324</v>
      </c>
      <c r="FW119" s="39">
        <v>1089</v>
      </c>
      <c r="FX119" s="39">
        <v>1214</v>
      </c>
      <c r="FY119" s="39">
        <v>1207</v>
      </c>
      <c r="FZ119" s="39">
        <v>754</v>
      </c>
      <c r="GA119" s="39">
        <v>262</v>
      </c>
      <c r="GB119" s="39">
        <v>1766</v>
      </c>
      <c r="GC119" s="39">
        <v>1608</v>
      </c>
      <c r="GD119" s="39">
        <v>1458</v>
      </c>
      <c r="GE119" s="39">
        <v>1288</v>
      </c>
      <c r="GF119" s="39">
        <v>921</v>
      </c>
      <c r="GG119" s="39">
        <v>398</v>
      </c>
      <c r="GH119" s="39">
        <v>152</v>
      </c>
      <c r="GI119" s="39">
        <v>837</v>
      </c>
      <c r="GJ119" s="39">
        <v>865</v>
      </c>
      <c r="GK119" s="39">
        <v>681</v>
      </c>
      <c r="GL119" s="39">
        <v>552</v>
      </c>
      <c r="GM119" s="39">
        <v>454</v>
      </c>
      <c r="GN119" s="39">
        <v>202</v>
      </c>
      <c r="GO119" s="39">
        <v>118</v>
      </c>
      <c r="GP119" s="39"/>
      <c r="GQ119" s="39"/>
      <c r="GR119" s="39"/>
      <c r="GS119" s="39"/>
      <c r="GT119" s="39"/>
      <c r="GU119" s="82"/>
      <c r="GV119" s="82"/>
      <c r="GW119" s="82"/>
      <c r="GX119" s="70">
        <f t="shared" si="1402"/>
        <v>22940</v>
      </c>
      <c r="GY119" s="72">
        <f t="shared" si="1403"/>
        <v>0.49565705889978823</v>
      </c>
    </row>
    <row r="120" spans="2:207" ht="20.399999999999999" customHeight="1" outlineLevel="1" x14ac:dyDescent="0.3">
      <c r="B120" s="75"/>
      <c r="E120" s="43" t="s">
        <v>27</v>
      </c>
      <c r="F120" s="44">
        <v>145</v>
      </c>
      <c r="G120" s="44">
        <v>103</v>
      </c>
      <c r="H120" s="44">
        <v>168</v>
      </c>
      <c r="I120" s="44">
        <v>173</v>
      </c>
      <c r="J120" s="44">
        <v>198</v>
      </c>
      <c r="K120" s="44">
        <v>199</v>
      </c>
      <c r="L120" s="44">
        <v>251</v>
      </c>
      <c r="M120" s="44">
        <v>297</v>
      </c>
      <c r="N120" s="44">
        <v>175</v>
      </c>
      <c r="O120" s="44">
        <v>142</v>
      </c>
      <c r="P120" s="44">
        <v>851</v>
      </c>
      <c r="Q120" s="44">
        <v>668</v>
      </c>
      <c r="R120" s="44">
        <v>654</v>
      </c>
      <c r="S120" s="44">
        <v>511</v>
      </c>
      <c r="T120" s="44">
        <v>530</v>
      </c>
      <c r="U120" s="44">
        <v>345</v>
      </c>
      <c r="V120" s="44">
        <v>168</v>
      </c>
      <c r="W120" s="44">
        <v>443</v>
      </c>
      <c r="X120" s="44">
        <v>504</v>
      </c>
      <c r="Y120" s="44">
        <v>442</v>
      </c>
      <c r="Z120" s="44">
        <v>326</v>
      </c>
      <c r="AA120" s="44">
        <v>300</v>
      </c>
      <c r="AB120" s="44">
        <v>176</v>
      </c>
      <c r="AC120" s="44">
        <v>129</v>
      </c>
      <c r="AD120" s="44">
        <v>459</v>
      </c>
      <c r="AE120" s="44">
        <v>424</v>
      </c>
      <c r="AF120" s="44">
        <v>343</v>
      </c>
      <c r="AG120" s="44">
        <v>397</v>
      </c>
      <c r="AH120" s="44">
        <v>338</v>
      </c>
      <c r="AI120" s="44">
        <v>219</v>
      </c>
      <c r="AJ120" s="44">
        <v>150</v>
      </c>
      <c r="AK120" s="44">
        <v>511</v>
      </c>
      <c r="AL120" s="44">
        <v>430</v>
      </c>
      <c r="AM120" s="44">
        <v>305</v>
      </c>
      <c r="AN120" s="44">
        <v>264</v>
      </c>
      <c r="AO120" s="44">
        <v>301</v>
      </c>
      <c r="AP120" s="44">
        <v>173</v>
      </c>
      <c r="AQ120" s="44">
        <v>110</v>
      </c>
      <c r="AR120" s="44">
        <v>107</v>
      </c>
      <c r="AS120" s="44">
        <v>294</v>
      </c>
      <c r="AT120" s="44">
        <v>253</v>
      </c>
      <c r="AU120" s="44">
        <v>247</v>
      </c>
      <c r="AV120" s="44">
        <v>186</v>
      </c>
      <c r="AW120" s="44">
        <v>114</v>
      </c>
      <c r="AX120" s="44">
        <v>66</v>
      </c>
      <c r="AY120" s="44">
        <v>48</v>
      </c>
      <c r="AZ120" s="44">
        <v>291</v>
      </c>
      <c r="BA120" s="44">
        <v>289</v>
      </c>
      <c r="BB120" s="44">
        <v>249</v>
      </c>
      <c r="BC120" s="44">
        <v>283</v>
      </c>
      <c r="BD120" s="44">
        <v>147</v>
      </c>
      <c r="BE120" s="44">
        <v>113</v>
      </c>
      <c r="BF120" s="44">
        <v>281</v>
      </c>
      <c r="BG120" s="44">
        <v>241</v>
      </c>
      <c r="BH120" s="44">
        <v>285</v>
      </c>
      <c r="BI120" s="44">
        <v>277</v>
      </c>
      <c r="BJ120" s="44">
        <v>192</v>
      </c>
      <c r="BK120" s="44">
        <v>123</v>
      </c>
      <c r="BL120" s="44">
        <v>84</v>
      </c>
      <c r="BM120" s="44">
        <v>210</v>
      </c>
      <c r="BN120" s="44">
        <v>187</v>
      </c>
      <c r="BO120" s="44">
        <v>163</v>
      </c>
      <c r="BP120" s="44">
        <v>137</v>
      </c>
      <c r="BQ120" s="44">
        <v>107</v>
      </c>
      <c r="BR120" s="44">
        <v>83</v>
      </c>
      <c r="BS120" s="44">
        <v>62</v>
      </c>
      <c r="BT120" s="44">
        <v>138</v>
      </c>
      <c r="BU120" s="44">
        <v>141</v>
      </c>
      <c r="BV120" s="44">
        <v>122</v>
      </c>
      <c r="BW120" s="44">
        <v>160</v>
      </c>
      <c r="BX120" s="44">
        <v>72</v>
      </c>
      <c r="BY120" s="44">
        <v>54</v>
      </c>
      <c r="BZ120" s="44">
        <v>54</v>
      </c>
      <c r="CA120" s="44">
        <v>127</v>
      </c>
      <c r="CB120" s="44">
        <v>118</v>
      </c>
      <c r="CC120" s="44">
        <v>114</v>
      </c>
      <c r="CD120" s="44">
        <v>122</v>
      </c>
      <c r="CE120" s="44">
        <v>93</v>
      </c>
      <c r="CF120" s="44">
        <v>61</v>
      </c>
      <c r="CG120" s="44">
        <v>73</v>
      </c>
      <c r="CH120" s="44">
        <v>91</v>
      </c>
      <c r="CI120" s="44">
        <v>153</v>
      </c>
      <c r="CJ120" s="44">
        <v>178</v>
      </c>
      <c r="CK120" s="44">
        <v>169</v>
      </c>
      <c r="CL120" s="44">
        <v>123</v>
      </c>
      <c r="CM120" s="44">
        <v>90</v>
      </c>
      <c r="CN120" s="44">
        <v>55</v>
      </c>
      <c r="CO120" s="44">
        <v>148</v>
      </c>
      <c r="CP120" s="44">
        <v>173</v>
      </c>
      <c r="CQ120" s="44">
        <v>156</v>
      </c>
      <c r="CR120" s="44">
        <v>144</v>
      </c>
      <c r="CS120" s="44">
        <v>162</v>
      </c>
      <c r="CT120" s="44">
        <v>81</v>
      </c>
      <c r="CU120" s="44">
        <v>51</v>
      </c>
      <c r="CV120" s="44">
        <v>171</v>
      </c>
      <c r="CW120" s="44">
        <v>228</v>
      </c>
      <c r="CX120" s="44">
        <v>171</v>
      </c>
      <c r="CY120" s="44">
        <v>160</v>
      </c>
      <c r="CZ120" s="44">
        <v>189</v>
      </c>
      <c r="DA120" s="44">
        <v>98</v>
      </c>
      <c r="DB120" s="44">
        <v>64</v>
      </c>
      <c r="DC120" s="44">
        <v>207</v>
      </c>
      <c r="DD120" s="44">
        <v>247</v>
      </c>
      <c r="DE120" s="44">
        <v>167</v>
      </c>
      <c r="DF120" s="44">
        <v>159</v>
      </c>
      <c r="DG120" s="44">
        <v>144</v>
      </c>
      <c r="DH120" s="44">
        <v>99</v>
      </c>
      <c r="DI120" s="44">
        <v>97</v>
      </c>
      <c r="DJ120" s="44">
        <v>163</v>
      </c>
      <c r="DK120" s="44">
        <v>182</v>
      </c>
      <c r="DL120" s="44">
        <v>185</v>
      </c>
      <c r="DM120" s="44">
        <v>167</v>
      </c>
      <c r="DN120" s="44">
        <v>133</v>
      </c>
      <c r="DO120" s="44">
        <v>88</v>
      </c>
      <c r="DP120" s="44">
        <v>40</v>
      </c>
      <c r="DQ120" s="44">
        <v>220</v>
      </c>
      <c r="DR120" s="44">
        <v>187</v>
      </c>
      <c r="DS120" s="44">
        <v>180</v>
      </c>
      <c r="DT120" s="44">
        <v>147</v>
      </c>
      <c r="DU120" s="44">
        <v>138</v>
      </c>
      <c r="DV120" s="44">
        <v>68</v>
      </c>
      <c r="DW120" s="44">
        <v>49</v>
      </c>
      <c r="DX120" s="44">
        <v>66</v>
      </c>
      <c r="DY120" s="44">
        <v>172</v>
      </c>
      <c r="DZ120" s="44">
        <v>160</v>
      </c>
      <c r="EA120" s="44">
        <v>162</v>
      </c>
      <c r="EB120" s="44">
        <v>120</v>
      </c>
      <c r="EC120" s="44">
        <v>80</v>
      </c>
      <c r="ED120" s="44">
        <v>65</v>
      </c>
      <c r="EE120" s="44">
        <v>127</v>
      </c>
      <c r="EF120" s="44">
        <v>145</v>
      </c>
      <c r="EG120" s="44">
        <v>120</v>
      </c>
      <c r="EH120" s="44">
        <v>61</v>
      </c>
      <c r="EI120" s="44">
        <v>66</v>
      </c>
      <c r="EJ120" s="44">
        <v>45</v>
      </c>
      <c r="EK120" s="44">
        <v>35</v>
      </c>
      <c r="EL120" s="44">
        <v>145</v>
      </c>
      <c r="EM120" s="44">
        <v>87</v>
      </c>
      <c r="EN120" s="44">
        <v>90</v>
      </c>
      <c r="EO120" s="44">
        <v>83</v>
      </c>
      <c r="EP120" s="44">
        <v>85</v>
      </c>
      <c r="EQ120" s="44">
        <v>56</v>
      </c>
      <c r="ER120" s="44">
        <v>46</v>
      </c>
      <c r="ES120" s="44">
        <v>118</v>
      </c>
      <c r="ET120" s="44">
        <v>98</v>
      </c>
      <c r="EU120" s="44">
        <v>101</v>
      </c>
      <c r="EV120" s="44">
        <v>70</v>
      </c>
      <c r="EW120" s="44">
        <v>66</v>
      </c>
      <c r="EX120" s="44">
        <v>46</v>
      </c>
      <c r="EY120" s="44">
        <v>18</v>
      </c>
      <c r="EZ120" s="44">
        <v>66</v>
      </c>
      <c r="FA120" s="44">
        <v>96</v>
      </c>
      <c r="FB120" s="44">
        <v>83</v>
      </c>
      <c r="FC120" s="44">
        <v>55</v>
      </c>
      <c r="FD120" s="44">
        <v>67</v>
      </c>
      <c r="FE120" s="44">
        <v>52</v>
      </c>
      <c r="FF120" s="44">
        <v>23</v>
      </c>
      <c r="FG120" s="44">
        <v>77</v>
      </c>
      <c r="FH120" s="44">
        <v>72</v>
      </c>
      <c r="FI120" s="44">
        <v>76</v>
      </c>
      <c r="FJ120" s="44">
        <v>89</v>
      </c>
      <c r="FK120" s="44">
        <v>81</v>
      </c>
      <c r="FL120" s="44">
        <v>49</v>
      </c>
      <c r="FM120" s="44">
        <v>36</v>
      </c>
      <c r="FN120" s="44">
        <v>111</v>
      </c>
      <c r="FO120" s="44">
        <v>99</v>
      </c>
      <c r="FP120" s="44">
        <v>77</v>
      </c>
      <c r="FQ120" s="44">
        <v>115</v>
      </c>
      <c r="FR120" s="44">
        <v>133</v>
      </c>
      <c r="FS120" s="44">
        <v>75</v>
      </c>
      <c r="FT120" s="44">
        <v>36</v>
      </c>
      <c r="FU120" s="44">
        <v>167</v>
      </c>
      <c r="FV120" s="44">
        <v>173</v>
      </c>
      <c r="FW120" s="44">
        <v>107</v>
      </c>
      <c r="FX120" s="44">
        <v>116</v>
      </c>
      <c r="FY120" s="44">
        <v>132</v>
      </c>
      <c r="FZ120" s="44">
        <v>40</v>
      </c>
      <c r="GA120" s="44">
        <v>47</v>
      </c>
      <c r="GB120" s="44">
        <v>211</v>
      </c>
      <c r="GC120" s="44">
        <v>225</v>
      </c>
      <c r="GD120" s="44">
        <v>401</v>
      </c>
      <c r="GE120" s="44">
        <v>320</v>
      </c>
      <c r="GF120" s="44">
        <v>329</v>
      </c>
      <c r="GG120" s="44">
        <v>196</v>
      </c>
      <c r="GH120" s="44">
        <v>117</v>
      </c>
      <c r="GI120" s="44">
        <v>441</v>
      </c>
      <c r="GJ120" s="44">
        <v>498</v>
      </c>
      <c r="GK120" s="44">
        <v>447</v>
      </c>
      <c r="GL120" s="44">
        <v>389</v>
      </c>
      <c r="GM120" s="44">
        <v>447</v>
      </c>
      <c r="GN120" s="44">
        <v>146</v>
      </c>
      <c r="GO120" s="44">
        <v>104</v>
      </c>
      <c r="GP120" s="44"/>
      <c r="GQ120" s="44"/>
      <c r="GR120" s="44"/>
      <c r="GS120" s="44"/>
      <c r="GT120" s="44"/>
      <c r="GU120" s="82"/>
      <c r="GV120" s="82"/>
      <c r="GW120" s="82"/>
      <c r="GX120" s="29">
        <f t="shared" si="1402"/>
        <v>5489</v>
      </c>
      <c r="GY120" s="72">
        <f t="shared" si="1403"/>
        <v>0.11859902337841925</v>
      </c>
    </row>
    <row r="121" spans="2:207" ht="20.399999999999999" customHeight="1" outlineLevel="1" x14ac:dyDescent="0.3">
      <c r="B121" s="75"/>
      <c r="E121" s="38" t="s">
        <v>28</v>
      </c>
      <c r="F121" s="39">
        <v>122</v>
      </c>
      <c r="G121" s="39">
        <v>92</v>
      </c>
      <c r="H121" s="39">
        <v>79</v>
      </c>
      <c r="I121" s="39">
        <v>120</v>
      </c>
      <c r="J121" s="39">
        <v>181</v>
      </c>
      <c r="K121" s="39">
        <v>147</v>
      </c>
      <c r="L121" s="39">
        <v>125</v>
      </c>
      <c r="M121" s="39">
        <v>149</v>
      </c>
      <c r="N121" s="39">
        <v>161</v>
      </c>
      <c r="O121" s="39">
        <v>115</v>
      </c>
      <c r="P121" s="39">
        <v>622</v>
      </c>
      <c r="Q121" s="39">
        <v>672</v>
      </c>
      <c r="R121" s="39">
        <v>576</v>
      </c>
      <c r="S121" s="39">
        <v>552</v>
      </c>
      <c r="T121" s="39">
        <v>461</v>
      </c>
      <c r="U121" s="39">
        <v>240</v>
      </c>
      <c r="V121" s="39">
        <v>109</v>
      </c>
      <c r="W121" s="39">
        <v>482</v>
      </c>
      <c r="X121" s="39">
        <v>417</v>
      </c>
      <c r="Y121" s="39">
        <v>258</v>
      </c>
      <c r="Z121" s="39">
        <v>247</v>
      </c>
      <c r="AA121" s="39">
        <v>240</v>
      </c>
      <c r="AB121" s="39">
        <v>170</v>
      </c>
      <c r="AC121" s="39">
        <v>118</v>
      </c>
      <c r="AD121" s="39">
        <v>360</v>
      </c>
      <c r="AE121" s="39">
        <v>286</v>
      </c>
      <c r="AF121" s="39">
        <v>342</v>
      </c>
      <c r="AG121" s="39">
        <v>276</v>
      </c>
      <c r="AH121" s="39">
        <v>279</v>
      </c>
      <c r="AI121" s="39">
        <v>185</v>
      </c>
      <c r="AJ121" s="39">
        <v>143</v>
      </c>
      <c r="AK121" s="39">
        <v>360</v>
      </c>
      <c r="AL121" s="39">
        <v>349</v>
      </c>
      <c r="AM121" s="39">
        <v>294</v>
      </c>
      <c r="AN121" s="39">
        <v>268</v>
      </c>
      <c r="AO121" s="39">
        <v>291</v>
      </c>
      <c r="AP121" s="39">
        <v>200</v>
      </c>
      <c r="AQ121" s="39">
        <v>99</v>
      </c>
      <c r="AR121" s="39">
        <v>99</v>
      </c>
      <c r="AS121" s="39">
        <v>284</v>
      </c>
      <c r="AT121" s="39">
        <v>210</v>
      </c>
      <c r="AU121" s="39">
        <v>283</v>
      </c>
      <c r="AV121" s="39">
        <v>192</v>
      </c>
      <c r="AW121" s="39">
        <v>139</v>
      </c>
      <c r="AX121" s="39">
        <v>56</v>
      </c>
      <c r="AY121" s="39">
        <v>67</v>
      </c>
      <c r="AZ121" s="39">
        <v>316</v>
      </c>
      <c r="BA121" s="39">
        <v>283</v>
      </c>
      <c r="BB121" s="39">
        <v>273</v>
      </c>
      <c r="BC121" s="39">
        <v>271</v>
      </c>
      <c r="BD121" s="39">
        <v>209</v>
      </c>
      <c r="BE121" s="39">
        <v>108</v>
      </c>
      <c r="BF121" s="39">
        <v>240</v>
      </c>
      <c r="BG121" s="39">
        <v>290</v>
      </c>
      <c r="BH121" s="39">
        <v>276</v>
      </c>
      <c r="BI121" s="39">
        <v>232</v>
      </c>
      <c r="BJ121" s="39">
        <v>198</v>
      </c>
      <c r="BK121" s="39">
        <v>100</v>
      </c>
      <c r="BL121" s="39">
        <v>89</v>
      </c>
      <c r="BM121" s="39">
        <v>276</v>
      </c>
      <c r="BN121" s="39">
        <v>219</v>
      </c>
      <c r="BO121" s="39">
        <v>182</v>
      </c>
      <c r="BP121" s="39">
        <v>168</v>
      </c>
      <c r="BQ121" s="39">
        <v>136</v>
      </c>
      <c r="BR121" s="39">
        <v>65</v>
      </c>
      <c r="BS121" s="39">
        <v>50</v>
      </c>
      <c r="BT121" s="39">
        <v>178</v>
      </c>
      <c r="BU121" s="39">
        <v>176</v>
      </c>
      <c r="BV121" s="39">
        <v>130</v>
      </c>
      <c r="BW121" s="39">
        <v>109</v>
      </c>
      <c r="BX121" s="39">
        <v>125</v>
      </c>
      <c r="BY121" s="39">
        <v>53</v>
      </c>
      <c r="BZ121" s="39">
        <v>62</v>
      </c>
      <c r="CA121" s="39">
        <v>129</v>
      </c>
      <c r="CB121" s="39">
        <v>106</v>
      </c>
      <c r="CC121" s="39">
        <v>119</v>
      </c>
      <c r="CD121" s="39">
        <v>109</v>
      </c>
      <c r="CE121" s="39">
        <v>116</v>
      </c>
      <c r="CF121" s="39">
        <v>67</v>
      </c>
      <c r="CG121" s="39">
        <v>57</v>
      </c>
      <c r="CH121" s="39">
        <v>87</v>
      </c>
      <c r="CI121" s="39">
        <v>141</v>
      </c>
      <c r="CJ121" s="39">
        <v>136</v>
      </c>
      <c r="CK121" s="39">
        <v>139</v>
      </c>
      <c r="CL121" s="39">
        <v>130</v>
      </c>
      <c r="CM121" s="39">
        <v>67</v>
      </c>
      <c r="CN121" s="39">
        <v>37</v>
      </c>
      <c r="CO121" s="39">
        <v>123</v>
      </c>
      <c r="CP121" s="39">
        <v>129</v>
      </c>
      <c r="CQ121" s="39">
        <v>97</v>
      </c>
      <c r="CR121" s="39">
        <v>113</v>
      </c>
      <c r="CS121" s="39">
        <v>103</v>
      </c>
      <c r="CT121" s="39">
        <v>64</v>
      </c>
      <c r="CU121" s="39">
        <v>48</v>
      </c>
      <c r="CV121" s="39">
        <v>128</v>
      </c>
      <c r="CW121" s="39">
        <v>118</v>
      </c>
      <c r="CX121" s="39">
        <v>126</v>
      </c>
      <c r="CY121" s="39">
        <v>106</v>
      </c>
      <c r="CZ121" s="39">
        <v>104</v>
      </c>
      <c r="DA121" s="39">
        <v>53</v>
      </c>
      <c r="DB121" s="39">
        <v>53</v>
      </c>
      <c r="DC121" s="39">
        <v>113</v>
      </c>
      <c r="DD121" s="39">
        <v>89</v>
      </c>
      <c r="DE121" s="39">
        <v>73</v>
      </c>
      <c r="DF121" s="39">
        <v>85</v>
      </c>
      <c r="DG121" s="39">
        <v>156</v>
      </c>
      <c r="DH121" s="39">
        <v>64</v>
      </c>
      <c r="DI121" s="39">
        <v>50</v>
      </c>
      <c r="DJ121" s="39">
        <v>88</v>
      </c>
      <c r="DK121" s="39">
        <v>103</v>
      </c>
      <c r="DL121" s="39">
        <v>95</v>
      </c>
      <c r="DM121" s="39">
        <v>63</v>
      </c>
      <c r="DN121" s="39">
        <v>49</v>
      </c>
      <c r="DO121" s="39">
        <v>44</v>
      </c>
      <c r="DP121" s="39">
        <v>25</v>
      </c>
      <c r="DQ121" s="39">
        <v>115</v>
      </c>
      <c r="DR121" s="39">
        <v>107</v>
      </c>
      <c r="DS121" s="39">
        <v>79</v>
      </c>
      <c r="DT121" s="39">
        <v>59</v>
      </c>
      <c r="DU121" s="39">
        <v>86</v>
      </c>
      <c r="DV121" s="39">
        <v>52</v>
      </c>
      <c r="DW121" s="39">
        <v>30</v>
      </c>
      <c r="DX121" s="39">
        <v>34</v>
      </c>
      <c r="DY121" s="39">
        <v>65</v>
      </c>
      <c r="DZ121" s="39">
        <v>78</v>
      </c>
      <c r="EA121" s="39">
        <v>85</v>
      </c>
      <c r="EB121" s="39">
        <v>78</v>
      </c>
      <c r="EC121" s="39">
        <v>43</v>
      </c>
      <c r="ED121" s="39">
        <v>32</v>
      </c>
      <c r="EE121" s="39">
        <v>77</v>
      </c>
      <c r="EF121" s="39">
        <v>48</v>
      </c>
      <c r="EG121" s="39">
        <v>53</v>
      </c>
      <c r="EH121" s="39">
        <v>33</v>
      </c>
      <c r="EI121" s="39">
        <v>34</v>
      </c>
      <c r="EJ121" s="39">
        <v>29</v>
      </c>
      <c r="EK121" s="39">
        <v>15</v>
      </c>
      <c r="EL121" s="39">
        <v>85</v>
      </c>
      <c r="EM121" s="39">
        <v>70</v>
      </c>
      <c r="EN121" s="39">
        <v>56</v>
      </c>
      <c r="EO121" s="39">
        <v>57</v>
      </c>
      <c r="EP121" s="39">
        <v>45</v>
      </c>
      <c r="EQ121" s="39">
        <v>32</v>
      </c>
      <c r="ER121" s="39">
        <v>28</v>
      </c>
      <c r="ES121" s="39">
        <v>64</v>
      </c>
      <c r="ET121" s="39">
        <v>59</v>
      </c>
      <c r="EU121" s="39">
        <v>69</v>
      </c>
      <c r="EV121" s="39">
        <v>52</v>
      </c>
      <c r="EW121" s="39">
        <v>58</v>
      </c>
      <c r="EX121" s="39">
        <v>29</v>
      </c>
      <c r="EY121" s="39">
        <v>17</v>
      </c>
      <c r="EZ121" s="39">
        <v>62</v>
      </c>
      <c r="FA121" s="39">
        <v>50</v>
      </c>
      <c r="FB121" s="39">
        <v>73</v>
      </c>
      <c r="FC121" s="39">
        <v>78</v>
      </c>
      <c r="FD121" s="39">
        <v>63</v>
      </c>
      <c r="FE121" s="39">
        <v>50</v>
      </c>
      <c r="FF121" s="39">
        <v>36</v>
      </c>
      <c r="FG121" s="39">
        <v>90</v>
      </c>
      <c r="FH121" s="39">
        <v>69</v>
      </c>
      <c r="FI121" s="39">
        <v>53</v>
      </c>
      <c r="FJ121" s="39">
        <v>43</v>
      </c>
      <c r="FK121" s="39">
        <v>54</v>
      </c>
      <c r="FL121" s="39">
        <v>43</v>
      </c>
      <c r="FM121" s="39">
        <v>32</v>
      </c>
      <c r="FN121" s="39">
        <v>42</v>
      </c>
      <c r="FO121" s="39">
        <v>52</v>
      </c>
      <c r="FP121" s="39">
        <v>31</v>
      </c>
      <c r="FQ121" s="39">
        <v>79</v>
      </c>
      <c r="FR121" s="39">
        <v>93</v>
      </c>
      <c r="FS121" s="39">
        <v>33</v>
      </c>
      <c r="FT121" s="39">
        <v>25</v>
      </c>
      <c r="FU121" s="39">
        <v>94</v>
      </c>
      <c r="FV121" s="39">
        <v>69</v>
      </c>
      <c r="FW121" s="39">
        <v>82</v>
      </c>
      <c r="FX121" s="39">
        <v>89</v>
      </c>
      <c r="FY121" s="39">
        <v>89</v>
      </c>
      <c r="FZ121" s="39">
        <v>49</v>
      </c>
      <c r="GA121" s="39">
        <v>13</v>
      </c>
      <c r="GB121" s="39">
        <v>95</v>
      </c>
      <c r="GC121" s="39">
        <v>95</v>
      </c>
      <c r="GD121" s="39">
        <v>199</v>
      </c>
      <c r="GE121" s="39">
        <v>129</v>
      </c>
      <c r="GF121" s="39">
        <v>143</v>
      </c>
      <c r="GG121" s="39">
        <v>101</v>
      </c>
      <c r="GH121" s="39">
        <v>76</v>
      </c>
      <c r="GI121" s="39">
        <v>182</v>
      </c>
      <c r="GJ121" s="39">
        <v>220</v>
      </c>
      <c r="GK121" s="39">
        <v>284</v>
      </c>
      <c r="GL121" s="39">
        <v>247</v>
      </c>
      <c r="GM121" s="39">
        <v>260</v>
      </c>
      <c r="GN121" s="39">
        <v>98</v>
      </c>
      <c r="GO121" s="39">
        <v>95</v>
      </c>
      <c r="GP121" s="39"/>
      <c r="GQ121" s="39"/>
      <c r="GR121" s="39"/>
      <c r="GS121" s="39"/>
      <c r="GT121" s="39"/>
      <c r="GU121" s="82"/>
      <c r="GV121" s="82"/>
      <c r="GW121" s="82"/>
      <c r="GX121" s="70">
        <f t="shared" si="1402"/>
        <v>2970</v>
      </c>
      <c r="GY121" s="72">
        <f t="shared" si="1403"/>
        <v>6.4171816256860123E-2</v>
      </c>
    </row>
    <row r="122" spans="2:207" ht="20.399999999999999" customHeight="1" outlineLevel="1" x14ac:dyDescent="0.3">
      <c r="B122" s="75"/>
      <c r="E122" s="43" t="s">
        <v>29</v>
      </c>
      <c r="F122" s="44">
        <v>144</v>
      </c>
      <c r="G122" s="44">
        <v>152</v>
      </c>
      <c r="H122" s="44">
        <v>133</v>
      </c>
      <c r="I122" s="44">
        <v>162</v>
      </c>
      <c r="J122" s="44">
        <v>132</v>
      </c>
      <c r="K122" s="44">
        <v>149</v>
      </c>
      <c r="L122" s="44">
        <v>136</v>
      </c>
      <c r="M122" s="44">
        <v>130</v>
      </c>
      <c r="N122" s="44">
        <v>103</v>
      </c>
      <c r="O122" s="44">
        <v>77</v>
      </c>
      <c r="P122" s="44">
        <v>402</v>
      </c>
      <c r="Q122" s="44">
        <v>458</v>
      </c>
      <c r="R122" s="44">
        <v>404</v>
      </c>
      <c r="S122" s="44">
        <v>306</v>
      </c>
      <c r="T122" s="44">
        <v>205</v>
      </c>
      <c r="U122" s="44">
        <v>127</v>
      </c>
      <c r="V122" s="44">
        <v>58</v>
      </c>
      <c r="W122" s="44">
        <v>196</v>
      </c>
      <c r="X122" s="44">
        <v>191</v>
      </c>
      <c r="Y122" s="44">
        <v>106</v>
      </c>
      <c r="Z122" s="44">
        <v>111</v>
      </c>
      <c r="AA122" s="44">
        <v>130</v>
      </c>
      <c r="AB122" s="44">
        <v>93</v>
      </c>
      <c r="AC122" s="44">
        <v>73</v>
      </c>
      <c r="AD122" s="44">
        <v>154</v>
      </c>
      <c r="AE122" s="44">
        <v>136</v>
      </c>
      <c r="AF122" s="44">
        <v>152</v>
      </c>
      <c r="AG122" s="44">
        <v>133</v>
      </c>
      <c r="AH122" s="44">
        <v>118</v>
      </c>
      <c r="AI122" s="44">
        <v>91</v>
      </c>
      <c r="AJ122" s="44">
        <v>65</v>
      </c>
      <c r="AK122" s="44">
        <v>224</v>
      </c>
      <c r="AL122" s="44">
        <v>182</v>
      </c>
      <c r="AM122" s="44">
        <v>194</v>
      </c>
      <c r="AN122" s="44">
        <v>162</v>
      </c>
      <c r="AO122" s="44">
        <v>157</v>
      </c>
      <c r="AP122" s="44">
        <v>92</v>
      </c>
      <c r="AQ122" s="44">
        <v>46</v>
      </c>
      <c r="AR122" s="44">
        <v>51</v>
      </c>
      <c r="AS122" s="44">
        <v>182</v>
      </c>
      <c r="AT122" s="44">
        <v>171</v>
      </c>
      <c r="AU122" s="44">
        <v>193</v>
      </c>
      <c r="AV122" s="44">
        <v>150</v>
      </c>
      <c r="AW122" s="44">
        <v>87</v>
      </c>
      <c r="AX122" s="44">
        <v>32</v>
      </c>
      <c r="AY122" s="44">
        <v>32</v>
      </c>
      <c r="AZ122" s="44">
        <v>184</v>
      </c>
      <c r="BA122" s="44">
        <v>160</v>
      </c>
      <c r="BB122" s="44">
        <v>200</v>
      </c>
      <c r="BC122" s="44">
        <v>149</v>
      </c>
      <c r="BD122" s="44">
        <v>125</v>
      </c>
      <c r="BE122" s="44">
        <v>62</v>
      </c>
      <c r="BF122" s="44">
        <v>148</v>
      </c>
      <c r="BG122" s="44">
        <v>181</v>
      </c>
      <c r="BH122" s="44">
        <v>194</v>
      </c>
      <c r="BI122" s="44">
        <v>172</v>
      </c>
      <c r="BJ122" s="44">
        <v>131</v>
      </c>
      <c r="BK122" s="44">
        <v>84</v>
      </c>
      <c r="BL122" s="44">
        <v>66</v>
      </c>
      <c r="BM122" s="44">
        <v>197</v>
      </c>
      <c r="BN122" s="44">
        <v>179</v>
      </c>
      <c r="BO122" s="44">
        <v>153</v>
      </c>
      <c r="BP122" s="44">
        <v>122</v>
      </c>
      <c r="BQ122" s="44">
        <v>112</v>
      </c>
      <c r="BR122" s="44">
        <v>71</v>
      </c>
      <c r="BS122" s="44">
        <v>60</v>
      </c>
      <c r="BT122" s="44">
        <v>127</v>
      </c>
      <c r="BU122" s="44">
        <v>132</v>
      </c>
      <c r="BV122" s="44">
        <v>136</v>
      </c>
      <c r="BW122" s="44">
        <v>119</v>
      </c>
      <c r="BX122" s="44">
        <v>95</v>
      </c>
      <c r="BY122" s="44">
        <v>43</v>
      </c>
      <c r="BZ122" s="44">
        <v>55</v>
      </c>
      <c r="CA122" s="44">
        <v>117</v>
      </c>
      <c r="CB122" s="44">
        <v>108</v>
      </c>
      <c r="CC122" s="44">
        <v>153</v>
      </c>
      <c r="CD122" s="44">
        <v>90</v>
      </c>
      <c r="CE122" s="44">
        <v>109</v>
      </c>
      <c r="CF122" s="44">
        <v>61</v>
      </c>
      <c r="CG122" s="44">
        <v>34</v>
      </c>
      <c r="CH122" s="44">
        <v>67</v>
      </c>
      <c r="CI122" s="44">
        <v>121</v>
      </c>
      <c r="CJ122" s="44">
        <v>127</v>
      </c>
      <c r="CK122" s="44">
        <v>123</v>
      </c>
      <c r="CL122" s="44">
        <v>115</v>
      </c>
      <c r="CM122" s="44">
        <v>75</v>
      </c>
      <c r="CN122" s="44">
        <v>42</v>
      </c>
      <c r="CO122" s="44">
        <v>126</v>
      </c>
      <c r="CP122" s="44">
        <v>137</v>
      </c>
      <c r="CQ122" s="44">
        <v>97</v>
      </c>
      <c r="CR122" s="44">
        <v>108</v>
      </c>
      <c r="CS122" s="44">
        <v>101</v>
      </c>
      <c r="CT122" s="44">
        <v>58</v>
      </c>
      <c r="CU122" s="44">
        <v>43</v>
      </c>
      <c r="CV122" s="44">
        <v>118</v>
      </c>
      <c r="CW122" s="44">
        <v>86</v>
      </c>
      <c r="CX122" s="44">
        <v>88</v>
      </c>
      <c r="CY122" s="44">
        <v>98</v>
      </c>
      <c r="CZ122" s="44">
        <v>91</v>
      </c>
      <c r="DA122" s="44">
        <v>60</v>
      </c>
      <c r="DB122" s="44">
        <v>33</v>
      </c>
      <c r="DC122" s="44">
        <v>90</v>
      </c>
      <c r="DD122" s="44">
        <v>48</v>
      </c>
      <c r="DE122" s="44">
        <v>66</v>
      </c>
      <c r="DF122" s="44">
        <v>70</v>
      </c>
      <c r="DG122" s="44">
        <v>84</v>
      </c>
      <c r="DH122" s="44">
        <v>58</v>
      </c>
      <c r="DI122" s="44">
        <v>29</v>
      </c>
      <c r="DJ122" s="44">
        <v>81</v>
      </c>
      <c r="DK122" s="44">
        <v>47</v>
      </c>
      <c r="DL122" s="44">
        <v>66</v>
      </c>
      <c r="DM122" s="44">
        <v>40</v>
      </c>
      <c r="DN122" s="44">
        <v>37</v>
      </c>
      <c r="DO122" s="44">
        <v>15</v>
      </c>
      <c r="DP122" s="44">
        <v>32</v>
      </c>
      <c r="DQ122" s="44">
        <v>43</v>
      </c>
      <c r="DR122" s="44">
        <v>36</v>
      </c>
      <c r="DS122" s="44">
        <v>49</v>
      </c>
      <c r="DT122" s="44">
        <v>37</v>
      </c>
      <c r="DU122" s="44">
        <v>56</v>
      </c>
      <c r="DV122" s="44">
        <v>28</v>
      </c>
      <c r="DW122" s="44">
        <v>27</v>
      </c>
      <c r="DX122" s="44">
        <v>38</v>
      </c>
      <c r="DY122" s="44">
        <v>83</v>
      </c>
      <c r="DZ122" s="44">
        <v>82</v>
      </c>
      <c r="EA122" s="44">
        <v>87</v>
      </c>
      <c r="EB122" s="44">
        <v>62</v>
      </c>
      <c r="EC122" s="44">
        <v>50</v>
      </c>
      <c r="ED122" s="44">
        <v>37</v>
      </c>
      <c r="EE122" s="44">
        <v>89</v>
      </c>
      <c r="EF122" s="44">
        <v>56</v>
      </c>
      <c r="EG122" s="44">
        <v>68</v>
      </c>
      <c r="EH122" s="44">
        <v>46</v>
      </c>
      <c r="EI122" s="44">
        <v>31</v>
      </c>
      <c r="EJ122" s="44">
        <v>24</v>
      </c>
      <c r="EK122" s="44">
        <v>23</v>
      </c>
      <c r="EL122" s="44">
        <v>73</v>
      </c>
      <c r="EM122" s="44">
        <v>57</v>
      </c>
      <c r="EN122" s="44">
        <v>71</v>
      </c>
      <c r="EO122" s="44">
        <v>51</v>
      </c>
      <c r="EP122" s="44">
        <v>40</v>
      </c>
      <c r="EQ122" s="44">
        <v>30</v>
      </c>
      <c r="ER122" s="44">
        <v>28</v>
      </c>
      <c r="ES122" s="44">
        <v>72</v>
      </c>
      <c r="ET122" s="44">
        <v>54</v>
      </c>
      <c r="EU122" s="44">
        <v>46</v>
      </c>
      <c r="EV122" s="44">
        <v>41</v>
      </c>
      <c r="EW122" s="44">
        <v>38</v>
      </c>
      <c r="EX122" s="44">
        <v>30</v>
      </c>
      <c r="EY122" s="44">
        <v>21</v>
      </c>
      <c r="EZ122" s="44">
        <v>63</v>
      </c>
      <c r="FA122" s="44">
        <v>47</v>
      </c>
      <c r="FB122" s="44">
        <v>51</v>
      </c>
      <c r="FC122" s="44">
        <v>62</v>
      </c>
      <c r="FD122" s="44">
        <v>40</v>
      </c>
      <c r="FE122" s="44">
        <v>38</v>
      </c>
      <c r="FF122" s="44">
        <v>42</v>
      </c>
      <c r="FG122" s="44">
        <v>60</v>
      </c>
      <c r="FH122" s="44">
        <v>67</v>
      </c>
      <c r="FI122" s="44">
        <v>59</v>
      </c>
      <c r="FJ122" s="44">
        <v>66</v>
      </c>
      <c r="FK122" s="44">
        <v>45</v>
      </c>
      <c r="FL122" s="44">
        <v>38</v>
      </c>
      <c r="FM122" s="44">
        <v>35</v>
      </c>
      <c r="FN122" s="44">
        <v>92</v>
      </c>
      <c r="FO122" s="44">
        <v>68</v>
      </c>
      <c r="FP122" s="44">
        <v>66</v>
      </c>
      <c r="FQ122" s="44">
        <v>116</v>
      </c>
      <c r="FR122" s="44">
        <v>133</v>
      </c>
      <c r="FS122" s="44">
        <v>88</v>
      </c>
      <c r="FT122" s="44">
        <v>63</v>
      </c>
      <c r="FU122" s="44">
        <v>196</v>
      </c>
      <c r="FV122" s="44">
        <v>208</v>
      </c>
      <c r="FW122" s="44">
        <v>224</v>
      </c>
      <c r="FX122" s="44">
        <v>215</v>
      </c>
      <c r="FY122" s="44">
        <v>156</v>
      </c>
      <c r="FZ122" s="44">
        <v>172</v>
      </c>
      <c r="GA122" s="44">
        <v>59</v>
      </c>
      <c r="GB122" s="44">
        <v>235</v>
      </c>
      <c r="GC122" s="44">
        <v>317</v>
      </c>
      <c r="GD122" s="44">
        <v>393</v>
      </c>
      <c r="GE122" s="44">
        <v>295</v>
      </c>
      <c r="GF122" s="44">
        <v>360</v>
      </c>
      <c r="GG122" s="44">
        <v>204</v>
      </c>
      <c r="GH122" s="44">
        <v>171</v>
      </c>
      <c r="GI122" s="44">
        <v>422</v>
      </c>
      <c r="GJ122" s="44">
        <v>606</v>
      </c>
      <c r="GK122" s="44">
        <v>559</v>
      </c>
      <c r="GL122" s="44">
        <v>438</v>
      </c>
      <c r="GM122" s="44">
        <v>393</v>
      </c>
      <c r="GN122" s="44">
        <v>212</v>
      </c>
      <c r="GO122" s="44">
        <v>64</v>
      </c>
      <c r="GP122" s="44"/>
      <c r="GQ122" s="44"/>
      <c r="GR122" s="44"/>
      <c r="GS122" s="44"/>
      <c r="GT122" s="44"/>
      <c r="GU122" s="82"/>
      <c r="GV122" s="82"/>
      <c r="GW122" s="82"/>
      <c r="GX122" s="29">
        <f t="shared" si="1402"/>
        <v>6365</v>
      </c>
      <c r="GY122" s="72">
        <f t="shared" si="1403"/>
        <v>0.13752646817337194</v>
      </c>
    </row>
    <row r="123" spans="2:207" ht="20.399999999999999" customHeight="1" outlineLevel="1" x14ac:dyDescent="0.3">
      <c r="B123" s="75"/>
      <c r="E123" s="38" t="s">
        <v>30</v>
      </c>
      <c r="F123" s="39">
        <v>15</v>
      </c>
      <c r="G123" s="39">
        <v>6</v>
      </c>
      <c r="H123" s="39">
        <v>16</v>
      </c>
      <c r="I123" s="39">
        <v>16</v>
      </c>
      <c r="J123" s="39">
        <v>7</v>
      </c>
      <c r="K123" s="39">
        <v>2</v>
      </c>
      <c r="L123" s="39">
        <v>19</v>
      </c>
      <c r="M123" s="39">
        <v>8</v>
      </c>
      <c r="N123" s="39">
        <v>7</v>
      </c>
      <c r="O123" s="39">
        <v>4</v>
      </c>
      <c r="P123" s="39">
        <v>42</v>
      </c>
      <c r="Q123" s="39">
        <v>25</v>
      </c>
      <c r="R123" s="39">
        <v>23</v>
      </c>
      <c r="S123" s="39">
        <v>42</v>
      </c>
      <c r="T123" s="39">
        <v>42</v>
      </c>
      <c r="U123" s="39">
        <v>11</v>
      </c>
      <c r="V123" s="39">
        <v>8</v>
      </c>
      <c r="W123" s="39">
        <v>23</v>
      </c>
      <c r="X123" s="39">
        <v>36</v>
      </c>
      <c r="Y123" s="39">
        <v>17</v>
      </c>
      <c r="Z123" s="39">
        <v>12</v>
      </c>
      <c r="AA123" s="39">
        <v>19</v>
      </c>
      <c r="AB123" s="39">
        <v>3</v>
      </c>
      <c r="AC123" s="39">
        <v>2</v>
      </c>
      <c r="AD123" s="39">
        <v>23</v>
      </c>
      <c r="AE123" s="39">
        <v>7</v>
      </c>
      <c r="AF123" s="39">
        <v>17</v>
      </c>
      <c r="AG123" s="39">
        <v>13</v>
      </c>
      <c r="AH123" s="39">
        <v>10</v>
      </c>
      <c r="AI123" s="39">
        <v>1</v>
      </c>
      <c r="AJ123" s="39">
        <v>6</v>
      </c>
      <c r="AK123" s="39">
        <v>9</v>
      </c>
      <c r="AL123" s="39">
        <v>13</v>
      </c>
      <c r="AM123" s="39">
        <v>16</v>
      </c>
      <c r="AN123" s="39">
        <v>10</v>
      </c>
      <c r="AO123" s="39">
        <v>9</v>
      </c>
      <c r="AP123" s="39">
        <v>1</v>
      </c>
      <c r="AQ123" s="39">
        <v>2</v>
      </c>
      <c r="AR123" s="39">
        <v>4</v>
      </c>
      <c r="AS123" s="39">
        <v>19</v>
      </c>
      <c r="AT123" s="39">
        <v>17</v>
      </c>
      <c r="AU123" s="39">
        <v>15</v>
      </c>
      <c r="AV123" s="39">
        <v>17</v>
      </c>
      <c r="AW123" s="39">
        <v>6</v>
      </c>
      <c r="AX123" s="39">
        <v>1</v>
      </c>
      <c r="AY123" s="39">
        <v>6</v>
      </c>
      <c r="AZ123" s="39">
        <v>14</v>
      </c>
      <c r="BA123" s="39">
        <v>19</v>
      </c>
      <c r="BB123" s="39">
        <v>23</v>
      </c>
      <c r="BC123" s="39">
        <v>16</v>
      </c>
      <c r="BD123" s="39">
        <v>7</v>
      </c>
      <c r="BE123" s="39">
        <v>5</v>
      </c>
      <c r="BF123" s="39">
        <v>14</v>
      </c>
      <c r="BG123" s="39">
        <v>15</v>
      </c>
      <c r="BH123" s="39">
        <v>28</v>
      </c>
      <c r="BI123" s="39">
        <v>19</v>
      </c>
      <c r="BJ123" s="39">
        <v>8</v>
      </c>
      <c r="BK123" s="39">
        <v>8</v>
      </c>
      <c r="BL123" s="39">
        <v>6</v>
      </c>
      <c r="BM123" s="39">
        <v>12</v>
      </c>
      <c r="BN123" s="39">
        <v>4</v>
      </c>
      <c r="BO123" s="39">
        <v>12</v>
      </c>
      <c r="BP123" s="39">
        <v>16</v>
      </c>
      <c r="BQ123" s="39">
        <v>9</v>
      </c>
      <c r="BR123" s="39">
        <v>4</v>
      </c>
      <c r="BS123" s="39">
        <v>10</v>
      </c>
      <c r="BT123" s="39">
        <v>14</v>
      </c>
      <c r="BU123" s="39">
        <v>18</v>
      </c>
      <c r="BV123" s="39">
        <v>17</v>
      </c>
      <c r="BW123" s="39">
        <v>8</v>
      </c>
      <c r="BX123" s="39">
        <v>3</v>
      </c>
      <c r="BY123" s="39">
        <v>4</v>
      </c>
      <c r="BZ123" s="39">
        <v>5</v>
      </c>
      <c r="CA123" s="39">
        <v>6</v>
      </c>
      <c r="CB123" s="39">
        <v>10</v>
      </c>
      <c r="CC123" s="39">
        <v>11</v>
      </c>
      <c r="CD123" s="39">
        <v>5</v>
      </c>
      <c r="CE123" s="39">
        <v>1</v>
      </c>
      <c r="CF123" s="39">
        <v>5</v>
      </c>
      <c r="CG123" s="39">
        <v>2</v>
      </c>
      <c r="CH123" s="39">
        <v>1</v>
      </c>
      <c r="CI123" s="39">
        <v>6</v>
      </c>
      <c r="CJ123" s="39">
        <v>6</v>
      </c>
      <c r="CK123" s="39">
        <v>5</v>
      </c>
      <c r="CL123" s="39">
        <v>3</v>
      </c>
      <c r="CM123" s="39">
        <v>2</v>
      </c>
      <c r="CN123" s="39">
        <v>5</v>
      </c>
      <c r="CO123" s="39">
        <v>6</v>
      </c>
      <c r="CP123" s="39">
        <v>4</v>
      </c>
      <c r="CQ123" s="39">
        <v>5</v>
      </c>
      <c r="CR123" s="39">
        <v>2</v>
      </c>
      <c r="CS123" s="39">
        <v>5</v>
      </c>
      <c r="CT123" s="39">
        <v>6</v>
      </c>
      <c r="CU123" s="39">
        <v>4</v>
      </c>
      <c r="CV123" s="39">
        <v>5</v>
      </c>
      <c r="CW123" s="39">
        <v>9</v>
      </c>
      <c r="CX123" s="39">
        <v>6</v>
      </c>
      <c r="CY123" s="39">
        <v>3</v>
      </c>
      <c r="CZ123" s="39">
        <v>4</v>
      </c>
      <c r="DA123" s="39">
        <v>2</v>
      </c>
      <c r="DB123" s="39">
        <v>1</v>
      </c>
      <c r="DC123" s="39">
        <v>9</v>
      </c>
      <c r="DD123" s="39">
        <v>8</v>
      </c>
      <c r="DE123" s="39">
        <v>4</v>
      </c>
      <c r="DF123" s="39">
        <v>13</v>
      </c>
      <c r="DG123" s="39">
        <v>10</v>
      </c>
      <c r="DH123" s="39">
        <v>6</v>
      </c>
      <c r="DI123" s="39">
        <v>2</v>
      </c>
      <c r="DJ123" s="39">
        <v>10</v>
      </c>
      <c r="DK123" s="39">
        <v>5</v>
      </c>
      <c r="DL123" s="39">
        <v>11</v>
      </c>
      <c r="DM123" s="39">
        <v>4</v>
      </c>
      <c r="DN123" s="39">
        <v>3</v>
      </c>
      <c r="DO123" s="39">
        <v>4</v>
      </c>
      <c r="DP123" s="39">
        <v>6</v>
      </c>
      <c r="DQ123" s="39">
        <v>2</v>
      </c>
      <c r="DR123" s="39">
        <v>7</v>
      </c>
      <c r="DS123" s="39">
        <v>4</v>
      </c>
      <c r="DT123" s="39">
        <v>13</v>
      </c>
      <c r="DU123" s="39">
        <v>9</v>
      </c>
      <c r="DV123" s="39">
        <v>3</v>
      </c>
      <c r="DW123" s="39">
        <v>5</v>
      </c>
      <c r="DX123" s="39">
        <v>5</v>
      </c>
      <c r="DY123" s="39">
        <v>9</v>
      </c>
      <c r="DZ123" s="39">
        <v>9</v>
      </c>
      <c r="EA123" s="39">
        <v>6</v>
      </c>
      <c r="EB123" s="39">
        <v>3</v>
      </c>
      <c r="EC123" s="39">
        <v>3</v>
      </c>
      <c r="ED123" s="39">
        <v>6</v>
      </c>
      <c r="EE123" s="39">
        <v>5</v>
      </c>
      <c r="EF123" s="39">
        <v>5</v>
      </c>
      <c r="EG123" s="39">
        <v>7</v>
      </c>
      <c r="EH123" s="39">
        <v>4</v>
      </c>
      <c r="EI123" s="39">
        <v>6</v>
      </c>
      <c r="EJ123" s="39">
        <v>2</v>
      </c>
      <c r="EK123" s="39">
        <v>3</v>
      </c>
      <c r="EL123" s="39">
        <v>7</v>
      </c>
      <c r="EM123" s="39">
        <v>5</v>
      </c>
      <c r="EN123" s="39">
        <v>12</v>
      </c>
      <c r="EO123" s="39">
        <v>9</v>
      </c>
      <c r="EP123" s="39">
        <v>6</v>
      </c>
      <c r="EQ123" s="39">
        <v>1</v>
      </c>
      <c r="ER123" s="39">
        <v>5</v>
      </c>
      <c r="ES123" s="39">
        <v>8</v>
      </c>
      <c r="ET123" s="39">
        <v>8</v>
      </c>
      <c r="EU123" s="39">
        <v>5</v>
      </c>
      <c r="EV123" s="39">
        <v>9</v>
      </c>
      <c r="EW123" s="39">
        <v>6</v>
      </c>
      <c r="EX123" s="39">
        <v>4</v>
      </c>
      <c r="EY123" s="39">
        <v>1</v>
      </c>
      <c r="EZ123" s="39">
        <v>7</v>
      </c>
      <c r="FA123" s="39">
        <v>10</v>
      </c>
      <c r="FB123" s="39">
        <v>5</v>
      </c>
      <c r="FC123" s="39">
        <v>14</v>
      </c>
      <c r="FD123" s="39">
        <v>8</v>
      </c>
      <c r="FE123" s="39">
        <v>2</v>
      </c>
      <c r="FF123" s="39">
        <v>6</v>
      </c>
      <c r="FG123" s="39">
        <v>16</v>
      </c>
      <c r="FH123" s="39">
        <v>14</v>
      </c>
      <c r="FI123" s="39">
        <v>15</v>
      </c>
      <c r="FJ123" s="39">
        <v>14</v>
      </c>
      <c r="FK123" s="39">
        <v>19</v>
      </c>
      <c r="FL123" s="39">
        <v>7</v>
      </c>
      <c r="FM123" s="39">
        <v>2</v>
      </c>
      <c r="FN123" s="39">
        <v>14</v>
      </c>
      <c r="FO123" s="39">
        <v>11</v>
      </c>
      <c r="FP123" s="39">
        <v>4</v>
      </c>
      <c r="FQ123" s="39">
        <v>21</v>
      </c>
      <c r="FR123" s="39">
        <v>19</v>
      </c>
      <c r="FS123" s="39">
        <v>3</v>
      </c>
      <c r="FT123" s="39">
        <v>0</v>
      </c>
      <c r="FU123" s="39">
        <v>13</v>
      </c>
      <c r="FV123" s="39">
        <v>13</v>
      </c>
      <c r="FW123" s="39">
        <v>17</v>
      </c>
      <c r="FX123" s="39">
        <v>27</v>
      </c>
      <c r="FY123" s="39">
        <v>17</v>
      </c>
      <c r="FZ123" s="39">
        <v>5</v>
      </c>
      <c r="GA123" s="39">
        <v>1</v>
      </c>
      <c r="GB123" s="39">
        <v>16</v>
      </c>
      <c r="GC123" s="39">
        <v>14</v>
      </c>
      <c r="GD123" s="39">
        <v>18</v>
      </c>
      <c r="GE123" s="39">
        <v>17</v>
      </c>
      <c r="GF123" s="39">
        <v>29</v>
      </c>
      <c r="GG123" s="39">
        <v>14</v>
      </c>
      <c r="GH123" s="39">
        <v>11</v>
      </c>
      <c r="GI123" s="39">
        <v>42</v>
      </c>
      <c r="GJ123" s="39">
        <v>60</v>
      </c>
      <c r="GK123" s="39">
        <v>25</v>
      </c>
      <c r="GL123" s="39">
        <v>26</v>
      </c>
      <c r="GM123" s="39">
        <v>12</v>
      </c>
      <c r="GN123" s="39">
        <v>15</v>
      </c>
      <c r="GO123" s="39">
        <v>15</v>
      </c>
      <c r="GP123" s="39"/>
      <c r="GQ123" s="39"/>
      <c r="GR123" s="39"/>
      <c r="GS123" s="39"/>
      <c r="GT123" s="39"/>
      <c r="GU123" s="82"/>
      <c r="GV123" s="82"/>
      <c r="GW123" s="82"/>
      <c r="GX123" s="70">
        <f t="shared" si="1402"/>
        <v>454</v>
      </c>
      <c r="GY123" s="72">
        <f t="shared" si="1403"/>
        <v>9.8094291517220513E-3</v>
      </c>
    </row>
    <row r="124" spans="2:207" ht="20.399999999999999" customHeight="1" outlineLevel="1" x14ac:dyDescent="0.3">
      <c r="B124" s="75"/>
      <c r="E124" s="43" t="s">
        <v>31</v>
      </c>
      <c r="F124" s="44">
        <v>11</v>
      </c>
      <c r="G124" s="44">
        <v>6</v>
      </c>
      <c r="H124" s="44">
        <v>1</v>
      </c>
      <c r="I124" s="44">
        <v>18</v>
      </c>
      <c r="J124" s="44">
        <v>12</v>
      </c>
      <c r="K124" s="44">
        <v>12</v>
      </c>
      <c r="L124" s="44">
        <v>4</v>
      </c>
      <c r="M124" s="44">
        <v>7</v>
      </c>
      <c r="N124" s="44">
        <v>7</v>
      </c>
      <c r="O124" s="44">
        <v>4</v>
      </c>
      <c r="P124" s="44">
        <v>23</v>
      </c>
      <c r="Q124" s="44">
        <v>22</v>
      </c>
      <c r="R124" s="44">
        <v>33</v>
      </c>
      <c r="S124" s="44">
        <v>17</v>
      </c>
      <c r="T124" s="44">
        <v>27</v>
      </c>
      <c r="U124" s="44">
        <v>13</v>
      </c>
      <c r="V124" s="44">
        <v>6</v>
      </c>
      <c r="W124" s="44">
        <v>40</v>
      </c>
      <c r="X124" s="44">
        <v>42</v>
      </c>
      <c r="Y124" s="44">
        <v>36</v>
      </c>
      <c r="Z124" s="44">
        <v>30</v>
      </c>
      <c r="AA124" s="44">
        <v>12</v>
      </c>
      <c r="AB124" s="44">
        <v>5</v>
      </c>
      <c r="AC124" s="44">
        <v>10</v>
      </c>
      <c r="AD124" s="44">
        <v>24</v>
      </c>
      <c r="AE124" s="44">
        <v>23</v>
      </c>
      <c r="AF124" s="44">
        <v>18</v>
      </c>
      <c r="AG124" s="44">
        <v>23</v>
      </c>
      <c r="AH124" s="44">
        <v>13</v>
      </c>
      <c r="AI124" s="44">
        <v>30</v>
      </c>
      <c r="AJ124" s="44">
        <v>15</v>
      </c>
      <c r="AK124" s="44">
        <v>40</v>
      </c>
      <c r="AL124" s="44">
        <v>24</v>
      </c>
      <c r="AM124" s="44">
        <v>12</v>
      </c>
      <c r="AN124" s="44">
        <v>14</v>
      </c>
      <c r="AO124" s="44">
        <v>13</v>
      </c>
      <c r="AP124" s="44">
        <v>6</v>
      </c>
      <c r="AQ124" s="44">
        <v>3</v>
      </c>
      <c r="AR124" s="44">
        <v>5</v>
      </c>
      <c r="AS124" s="44">
        <v>23</v>
      </c>
      <c r="AT124" s="44">
        <v>17</v>
      </c>
      <c r="AU124" s="44">
        <v>5</v>
      </c>
      <c r="AV124" s="44">
        <v>6</v>
      </c>
      <c r="AW124" s="44">
        <v>2</v>
      </c>
      <c r="AX124" s="44">
        <v>1</v>
      </c>
      <c r="AY124" s="44">
        <v>0</v>
      </c>
      <c r="AZ124" s="44">
        <v>16</v>
      </c>
      <c r="BA124" s="44">
        <v>24</v>
      </c>
      <c r="BB124" s="44">
        <v>8</v>
      </c>
      <c r="BC124" s="44">
        <v>13</v>
      </c>
      <c r="BD124" s="44">
        <v>0</v>
      </c>
      <c r="BE124" s="44">
        <v>2</v>
      </c>
      <c r="BF124" s="44">
        <v>7</v>
      </c>
      <c r="BG124" s="44">
        <v>9</v>
      </c>
      <c r="BH124" s="44">
        <v>2</v>
      </c>
      <c r="BI124" s="44">
        <v>7</v>
      </c>
      <c r="BJ124" s="44">
        <v>6</v>
      </c>
      <c r="BK124" s="44">
        <v>3</v>
      </c>
      <c r="BL124" s="44">
        <v>0</v>
      </c>
      <c r="BM124" s="44">
        <v>10</v>
      </c>
      <c r="BN124" s="44">
        <v>8</v>
      </c>
      <c r="BO124" s="44">
        <v>10</v>
      </c>
      <c r="BP124" s="44">
        <v>13</v>
      </c>
      <c r="BQ124" s="44">
        <v>13</v>
      </c>
      <c r="BR124" s="44">
        <v>4</v>
      </c>
      <c r="BS124" s="44">
        <v>6</v>
      </c>
      <c r="BT124" s="44">
        <v>10</v>
      </c>
      <c r="BU124" s="44">
        <v>13</v>
      </c>
      <c r="BV124" s="44">
        <v>5</v>
      </c>
      <c r="BW124" s="44">
        <v>6</v>
      </c>
      <c r="BX124" s="44">
        <v>6</v>
      </c>
      <c r="BY124" s="44">
        <v>5</v>
      </c>
      <c r="BZ124" s="44">
        <v>4</v>
      </c>
      <c r="CA124" s="44">
        <v>11</v>
      </c>
      <c r="CB124" s="44">
        <v>10</v>
      </c>
      <c r="CC124" s="44">
        <v>11</v>
      </c>
      <c r="CD124" s="44">
        <v>10</v>
      </c>
      <c r="CE124" s="44">
        <v>8</v>
      </c>
      <c r="CF124" s="44">
        <v>4</v>
      </c>
      <c r="CG124" s="44">
        <v>5</v>
      </c>
      <c r="CH124" s="44">
        <v>4</v>
      </c>
      <c r="CI124" s="44">
        <v>14</v>
      </c>
      <c r="CJ124" s="44">
        <v>16</v>
      </c>
      <c r="CK124" s="44">
        <v>3</v>
      </c>
      <c r="CL124" s="44">
        <v>9</v>
      </c>
      <c r="CM124" s="44">
        <v>2</v>
      </c>
      <c r="CN124" s="44">
        <v>3</v>
      </c>
      <c r="CO124" s="44">
        <v>12</v>
      </c>
      <c r="CP124" s="44">
        <v>5</v>
      </c>
      <c r="CQ124" s="44">
        <v>10</v>
      </c>
      <c r="CR124" s="44">
        <v>12</v>
      </c>
      <c r="CS124" s="44">
        <v>2</v>
      </c>
      <c r="CT124" s="44">
        <v>2</v>
      </c>
      <c r="CU124" s="44">
        <v>3</v>
      </c>
      <c r="CV124" s="44">
        <v>8</v>
      </c>
      <c r="CW124" s="44">
        <v>15</v>
      </c>
      <c r="CX124" s="44">
        <v>17</v>
      </c>
      <c r="CY124" s="44">
        <v>8</v>
      </c>
      <c r="CZ124" s="44">
        <v>7</v>
      </c>
      <c r="DA124" s="44">
        <v>0</v>
      </c>
      <c r="DB124" s="44">
        <v>1</v>
      </c>
      <c r="DC124" s="44">
        <v>18</v>
      </c>
      <c r="DD124" s="44">
        <v>8</v>
      </c>
      <c r="DE124" s="44">
        <v>9</v>
      </c>
      <c r="DF124" s="44">
        <v>9</v>
      </c>
      <c r="DG124" s="44">
        <v>6</v>
      </c>
      <c r="DH124" s="44">
        <v>12</v>
      </c>
      <c r="DI124" s="44">
        <v>0</v>
      </c>
      <c r="DJ124" s="44">
        <v>7</v>
      </c>
      <c r="DK124" s="44">
        <v>12</v>
      </c>
      <c r="DL124" s="44">
        <v>17</v>
      </c>
      <c r="DM124" s="44">
        <v>10</v>
      </c>
      <c r="DN124" s="44">
        <v>15</v>
      </c>
      <c r="DO124" s="44">
        <v>6</v>
      </c>
      <c r="DP124" s="44">
        <v>2</v>
      </c>
      <c r="DQ124" s="44">
        <v>20</v>
      </c>
      <c r="DR124" s="44">
        <v>11</v>
      </c>
      <c r="DS124" s="44">
        <v>9</v>
      </c>
      <c r="DT124" s="44">
        <v>7</v>
      </c>
      <c r="DU124" s="44">
        <v>3</v>
      </c>
      <c r="DV124" s="44">
        <v>1</v>
      </c>
      <c r="DW124" s="44">
        <v>2</v>
      </c>
      <c r="DX124" s="44">
        <v>4</v>
      </c>
      <c r="DY124" s="44">
        <v>12</v>
      </c>
      <c r="DZ124" s="44">
        <v>12</v>
      </c>
      <c r="EA124" s="44">
        <v>9</v>
      </c>
      <c r="EB124" s="44">
        <v>6</v>
      </c>
      <c r="EC124" s="44">
        <v>1</v>
      </c>
      <c r="ED124" s="44">
        <v>2</v>
      </c>
      <c r="EE124" s="44">
        <v>14</v>
      </c>
      <c r="EF124" s="44">
        <v>13</v>
      </c>
      <c r="EG124" s="44">
        <v>15</v>
      </c>
      <c r="EH124" s="44">
        <v>6</v>
      </c>
      <c r="EI124" s="44">
        <v>4</v>
      </c>
      <c r="EJ124" s="44">
        <v>3</v>
      </c>
      <c r="EK124" s="44">
        <v>2</v>
      </c>
      <c r="EL124" s="44">
        <v>7</v>
      </c>
      <c r="EM124" s="44">
        <v>3</v>
      </c>
      <c r="EN124" s="44">
        <v>9</v>
      </c>
      <c r="EO124" s="44">
        <v>5</v>
      </c>
      <c r="EP124" s="44">
        <v>9</v>
      </c>
      <c r="EQ124" s="44">
        <v>5</v>
      </c>
      <c r="ER124" s="44">
        <v>1</v>
      </c>
      <c r="ES124" s="44">
        <v>6</v>
      </c>
      <c r="ET124" s="44">
        <v>5</v>
      </c>
      <c r="EU124" s="44">
        <v>10</v>
      </c>
      <c r="EV124" s="44">
        <v>5</v>
      </c>
      <c r="EW124" s="44">
        <v>3</v>
      </c>
      <c r="EX124" s="44">
        <v>4</v>
      </c>
      <c r="EY124" s="44">
        <v>4</v>
      </c>
      <c r="EZ124" s="44">
        <v>9</v>
      </c>
      <c r="FA124" s="44">
        <v>12</v>
      </c>
      <c r="FB124" s="44">
        <v>10</v>
      </c>
      <c r="FC124" s="44">
        <v>13</v>
      </c>
      <c r="FD124" s="44">
        <v>6</v>
      </c>
      <c r="FE124" s="44">
        <v>3</v>
      </c>
      <c r="FF124" s="44">
        <v>4</v>
      </c>
      <c r="FG124" s="44">
        <v>12</v>
      </c>
      <c r="FH124" s="44">
        <v>4</v>
      </c>
      <c r="FI124" s="44">
        <v>23</v>
      </c>
      <c r="FJ124" s="44">
        <v>8</v>
      </c>
      <c r="FK124" s="44">
        <v>7</v>
      </c>
      <c r="FL124" s="44">
        <v>6</v>
      </c>
      <c r="FM124" s="44">
        <v>1</v>
      </c>
      <c r="FN124" s="44">
        <v>5</v>
      </c>
      <c r="FO124" s="44">
        <v>10</v>
      </c>
      <c r="FP124" s="44">
        <v>9</v>
      </c>
      <c r="FQ124" s="44">
        <v>9</v>
      </c>
      <c r="FR124" s="44">
        <v>13</v>
      </c>
      <c r="FS124" s="44">
        <v>6</v>
      </c>
      <c r="FT124" s="44">
        <v>2</v>
      </c>
      <c r="FU124" s="44">
        <v>7</v>
      </c>
      <c r="FV124" s="44">
        <v>10</v>
      </c>
      <c r="FW124" s="44">
        <v>11</v>
      </c>
      <c r="FX124" s="44">
        <v>10</v>
      </c>
      <c r="FY124" s="44">
        <v>12</v>
      </c>
      <c r="FZ124" s="44">
        <v>4</v>
      </c>
      <c r="GA124" s="44">
        <v>2</v>
      </c>
      <c r="GB124" s="44">
        <v>12</v>
      </c>
      <c r="GC124" s="44">
        <v>12</v>
      </c>
      <c r="GD124" s="44">
        <v>13</v>
      </c>
      <c r="GE124" s="44">
        <v>31</v>
      </c>
      <c r="GF124" s="44">
        <v>33</v>
      </c>
      <c r="GG124" s="44">
        <v>22</v>
      </c>
      <c r="GH124" s="44">
        <v>9</v>
      </c>
      <c r="GI124" s="44">
        <v>29</v>
      </c>
      <c r="GJ124" s="44">
        <v>39</v>
      </c>
      <c r="GK124" s="44">
        <v>27</v>
      </c>
      <c r="GL124" s="44">
        <v>26</v>
      </c>
      <c r="GM124" s="44">
        <v>30</v>
      </c>
      <c r="GN124" s="44">
        <v>10</v>
      </c>
      <c r="GO124" s="44">
        <v>1</v>
      </c>
      <c r="GP124" s="44"/>
      <c r="GQ124" s="44"/>
      <c r="GR124" s="44"/>
      <c r="GS124" s="44"/>
      <c r="GT124" s="44"/>
      <c r="GU124" s="82"/>
      <c r="GV124" s="82"/>
      <c r="GW124" s="82"/>
      <c r="GX124" s="29">
        <f t="shared" si="1402"/>
        <v>389</v>
      </c>
      <c r="GY124" s="72">
        <f t="shared" si="1403"/>
        <v>8.40499546259885E-3</v>
      </c>
    </row>
    <row r="125" spans="2:207" ht="20.399999999999999" customHeight="1" outlineLevel="1" x14ac:dyDescent="0.3">
      <c r="B125" s="75"/>
      <c r="E125" s="38" t="s">
        <v>32</v>
      </c>
      <c r="F125" s="39">
        <v>41</v>
      </c>
      <c r="G125" s="39">
        <v>17</v>
      </c>
      <c r="H125" s="39">
        <v>27</v>
      </c>
      <c r="I125" s="39">
        <v>22</v>
      </c>
      <c r="J125" s="39">
        <v>32</v>
      </c>
      <c r="K125" s="39">
        <v>20</v>
      </c>
      <c r="L125" s="39">
        <v>14</v>
      </c>
      <c r="M125" s="39">
        <v>8</v>
      </c>
      <c r="N125" s="39">
        <v>21</v>
      </c>
      <c r="O125" s="39">
        <v>3</v>
      </c>
      <c r="P125" s="39">
        <v>90</v>
      </c>
      <c r="Q125" s="39">
        <v>58</v>
      </c>
      <c r="R125" s="39">
        <v>62</v>
      </c>
      <c r="S125" s="39">
        <v>63</v>
      </c>
      <c r="T125" s="39">
        <v>24</v>
      </c>
      <c r="U125" s="39">
        <v>8</v>
      </c>
      <c r="V125" s="39">
        <v>10</v>
      </c>
      <c r="W125" s="39">
        <v>48</v>
      </c>
      <c r="X125" s="39">
        <v>84</v>
      </c>
      <c r="Y125" s="39">
        <v>32</v>
      </c>
      <c r="Z125" s="39">
        <v>29</v>
      </c>
      <c r="AA125" s="39">
        <v>22</v>
      </c>
      <c r="AB125" s="39">
        <v>9</v>
      </c>
      <c r="AC125" s="39">
        <v>7</v>
      </c>
      <c r="AD125" s="39">
        <v>38</v>
      </c>
      <c r="AE125" s="39">
        <v>35</v>
      </c>
      <c r="AF125" s="39">
        <v>40</v>
      </c>
      <c r="AG125" s="39">
        <v>35</v>
      </c>
      <c r="AH125" s="39">
        <v>47</v>
      </c>
      <c r="AI125" s="39">
        <v>19</v>
      </c>
      <c r="AJ125" s="39">
        <v>13</v>
      </c>
      <c r="AK125" s="39">
        <v>53</v>
      </c>
      <c r="AL125" s="39">
        <v>59</v>
      </c>
      <c r="AM125" s="39">
        <v>34</v>
      </c>
      <c r="AN125" s="39">
        <v>36</v>
      </c>
      <c r="AO125" s="39">
        <v>18</v>
      </c>
      <c r="AP125" s="39">
        <v>18</v>
      </c>
      <c r="AQ125" s="39">
        <v>11</v>
      </c>
      <c r="AR125" s="39">
        <v>8</v>
      </c>
      <c r="AS125" s="39">
        <v>76</v>
      </c>
      <c r="AT125" s="39">
        <v>37</v>
      </c>
      <c r="AU125" s="39">
        <v>26</v>
      </c>
      <c r="AV125" s="39">
        <v>28</v>
      </c>
      <c r="AW125" s="39">
        <v>12</v>
      </c>
      <c r="AX125" s="39">
        <v>12</v>
      </c>
      <c r="AY125" s="39">
        <v>13</v>
      </c>
      <c r="AZ125" s="39">
        <v>57</v>
      </c>
      <c r="BA125" s="39">
        <v>39</v>
      </c>
      <c r="BB125" s="39">
        <v>29</v>
      </c>
      <c r="BC125" s="39">
        <v>58</v>
      </c>
      <c r="BD125" s="39">
        <v>22</v>
      </c>
      <c r="BE125" s="39">
        <v>15</v>
      </c>
      <c r="BF125" s="39">
        <v>58</v>
      </c>
      <c r="BG125" s="39">
        <v>48</v>
      </c>
      <c r="BH125" s="39">
        <v>46</v>
      </c>
      <c r="BI125" s="39">
        <v>42</v>
      </c>
      <c r="BJ125" s="39">
        <v>48</v>
      </c>
      <c r="BK125" s="39">
        <v>19</v>
      </c>
      <c r="BL125" s="39">
        <v>3</v>
      </c>
      <c r="BM125" s="39">
        <v>46</v>
      </c>
      <c r="BN125" s="39">
        <v>28</v>
      </c>
      <c r="BO125" s="39">
        <v>24</v>
      </c>
      <c r="BP125" s="39">
        <v>23</v>
      </c>
      <c r="BQ125" s="39">
        <v>26</v>
      </c>
      <c r="BR125" s="39">
        <v>16</v>
      </c>
      <c r="BS125" s="39">
        <v>12</v>
      </c>
      <c r="BT125" s="39">
        <v>29</v>
      </c>
      <c r="BU125" s="39">
        <v>33</v>
      </c>
      <c r="BV125" s="39">
        <v>27</v>
      </c>
      <c r="BW125" s="39">
        <v>27</v>
      </c>
      <c r="BX125" s="39">
        <v>14</v>
      </c>
      <c r="BY125" s="39">
        <v>11</v>
      </c>
      <c r="BZ125" s="39">
        <v>8</v>
      </c>
      <c r="CA125" s="39">
        <v>35</v>
      </c>
      <c r="CB125" s="39">
        <v>18</v>
      </c>
      <c r="CC125" s="39">
        <v>32</v>
      </c>
      <c r="CD125" s="39">
        <v>18</v>
      </c>
      <c r="CE125" s="39">
        <v>25</v>
      </c>
      <c r="CF125" s="39">
        <v>11</v>
      </c>
      <c r="CG125" s="39">
        <v>10</v>
      </c>
      <c r="CH125" s="39">
        <v>18</v>
      </c>
      <c r="CI125" s="39">
        <v>26</v>
      </c>
      <c r="CJ125" s="39">
        <v>25</v>
      </c>
      <c r="CK125" s="39">
        <v>32</v>
      </c>
      <c r="CL125" s="39">
        <v>14</v>
      </c>
      <c r="CM125" s="39">
        <v>14</v>
      </c>
      <c r="CN125" s="39">
        <v>7</v>
      </c>
      <c r="CO125" s="39">
        <v>31</v>
      </c>
      <c r="CP125" s="39">
        <v>25</v>
      </c>
      <c r="CQ125" s="39">
        <v>14</v>
      </c>
      <c r="CR125" s="39">
        <v>30</v>
      </c>
      <c r="CS125" s="39">
        <v>18</v>
      </c>
      <c r="CT125" s="39">
        <v>10</v>
      </c>
      <c r="CU125" s="39">
        <v>6</v>
      </c>
      <c r="CV125" s="39">
        <v>24</v>
      </c>
      <c r="CW125" s="39">
        <v>35</v>
      </c>
      <c r="CX125" s="39">
        <v>19</v>
      </c>
      <c r="CY125" s="39">
        <v>7</v>
      </c>
      <c r="CZ125" s="39">
        <v>6</v>
      </c>
      <c r="DA125" s="39">
        <v>0</v>
      </c>
      <c r="DB125" s="39">
        <v>9</v>
      </c>
      <c r="DC125" s="39">
        <v>15</v>
      </c>
      <c r="DD125" s="39">
        <v>20</v>
      </c>
      <c r="DE125" s="39">
        <v>21</v>
      </c>
      <c r="DF125" s="39">
        <v>15</v>
      </c>
      <c r="DG125" s="39">
        <v>25</v>
      </c>
      <c r="DH125" s="39">
        <v>27</v>
      </c>
      <c r="DI125" s="39">
        <v>5</v>
      </c>
      <c r="DJ125" s="39">
        <v>30</v>
      </c>
      <c r="DK125" s="39">
        <v>22</v>
      </c>
      <c r="DL125" s="39">
        <v>15</v>
      </c>
      <c r="DM125" s="39">
        <v>12</v>
      </c>
      <c r="DN125" s="39">
        <v>7</v>
      </c>
      <c r="DO125" s="39">
        <v>7</v>
      </c>
      <c r="DP125" s="39">
        <v>4</v>
      </c>
      <c r="DQ125" s="39">
        <v>26</v>
      </c>
      <c r="DR125" s="39">
        <v>8</v>
      </c>
      <c r="DS125" s="39">
        <v>12</v>
      </c>
      <c r="DT125" s="39">
        <v>12</v>
      </c>
      <c r="DU125" s="39">
        <v>12</v>
      </c>
      <c r="DV125" s="39">
        <v>7</v>
      </c>
      <c r="DW125" s="39">
        <v>6</v>
      </c>
      <c r="DX125" s="39">
        <v>7</v>
      </c>
      <c r="DY125" s="39">
        <v>23</v>
      </c>
      <c r="DZ125" s="39">
        <v>12</v>
      </c>
      <c r="EA125" s="39">
        <v>10</v>
      </c>
      <c r="EB125" s="39">
        <v>5</v>
      </c>
      <c r="EC125" s="39">
        <v>9</v>
      </c>
      <c r="ED125" s="39">
        <v>3</v>
      </c>
      <c r="EE125" s="39">
        <v>15</v>
      </c>
      <c r="EF125" s="39">
        <v>10</v>
      </c>
      <c r="EG125" s="39">
        <v>8</v>
      </c>
      <c r="EH125" s="39">
        <v>4</v>
      </c>
      <c r="EI125" s="39">
        <v>8</v>
      </c>
      <c r="EJ125" s="39">
        <v>4</v>
      </c>
      <c r="EK125" s="39">
        <v>8</v>
      </c>
      <c r="EL125" s="39">
        <v>18</v>
      </c>
      <c r="EM125" s="39">
        <v>11</v>
      </c>
      <c r="EN125" s="39">
        <v>9</v>
      </c>
      <c r="EO125" s="39">
        <v>13</v>
      </c>
      <c r="EP125" s="39">
        <v>7</v>
      </c>
      <c r="EQ125" s="39">
        <v>3</v>
      </c>
      <c r="ER125" s="39">
        <v>6</v>
      </c>
      <c r="ES125" s="39">
        <v>12</v>
      </c>
      <c r="ET125" s="39">
        <v>10</v>
      </c>
      <c r="EU125" s="39">
        <v>11</v>
      </c>
      <c r="EV125" s="39">
        <v>12</v>
      </c>
      <c r="EW125" s="39">
        <v>10</v>
      </c>
      <c r="EX125" s="39">
        <v>10</v>
      </c>
      <c r="EY125" s="39">
        <v>6</v>
      </c>
      <c r="EZ125" s="39">
        <v>12</v>
      </c>
      <c r="FA125" s="39">
        <v>8</v>
      </c>
      <c r="FB125" s="39">
        <v>12</v>
      </c>
      <c r="FC125" s="39">
        <v>10</v>
      </c>
      <c r="FD125" s="39">
        <v>8</v>
      </c>
      <c r="FE125" s="39">
        <v>5</v>
      </c>
      <c r="FF125" s="39">
        <v>3</v>
      </c>
      <c r="FG125" s="39">
        <v>16</v>
      </c>
      <c r="FH125" s="39">
        <v>14</v>
      </c>
      <c r="FI125" s="39">
        <v>15</v>
      </c>
      <c r="FJ125" s="39">
        <v>17</v>
      </c>
      <c r="FK125" s="39">
        <v>11</v>
      </c>
      <c r="FL125" s="39">
        <v>10</v>
      </c>
      <c r="FM125" s="39">
        <v>6</v>
      </c>
      <c r="FN125" s="39">
        <v>21</v>
      </c>
      <c r="FO125" s="39">
        <v>16</v>
      </c>
      <c r="FP125" s="39">
        <v>7</v>
      </c>
      <c r="FQ125" s="39">
        <v>10</v>
      </c>
      <c r="FR125" s="39">
        <v>22</v>
      </c>
      <c r="FS125" s="39">
        <v>6</v>
      </c>
      <c r="FT125" s="39">
        <v>10</v>
      </c>
      <c r="FU125" s="39">
        <v>23</v>
      </c>
      <c r="FV125" s="39">
        <v>29</v>
      </c>
      <c r="FW125" s="39">
        <v>19</v>
      </c>
      <c r="FX125" s="39">
        <v>30</v>
      </c>
      <c r="FY125" s="39">
        <v>13</v>
      </c>
      <c r="FZ125" s="39">
        <v>8</v>
      </c>
      <c r="GA125" s="39">
        <v>7</v>
      </c>
      <c r="GB125" s="39">
        <v>20</v>
      </c>
      <c r="GC125" s="39">
        <v>22</v>
      </c>
      <c r="GD125" s="39">
        <v>24</v>
      </c>
      <c r="GE125" s="39">
        <v>38</v>
      </c>
      <c r="GF125" s="39">
        <v>68</v>
      </c>
      <c r="GG125" s="39">
        <v>21</v>
      </c>
      <c r="GH125" s="39">
        <v>6</v>
      </c>
      <c r="GI125" s="39">
        <v>40</v>
      </c>
      <c r="GJ125" s="39">
        <v>61</v>
      </c>
      <c r="GK125" s="39">
        <v>60</v>
      </c>
      <c r="GL125" s="39">
        <v>51</v>
      </c>
      <c r="GM125" s="39">
        <v>53</v>
      </c>
      <c r="GN125" s="39">
        <v>20</v>
      </c>
      <c r="GO125" s="39">
        <v>14</v>
      </c>
      <c r="GP125" s="39"/>
      <c r="GQ125" s="39"/>
      <c r="GR125" s="39"/>
      <c r="GS125" s="39"/>
      <c r="GT125" s="39"/>
      <c r="GU125" s="82"/>
      <c r="GV125" s="82"/>
      <c r="GW125" s="82"/>
      <c r="GX125" s="70">
        <f t="shared" si="1402"/>
        <v>682</v>
      </c>
      <c r="GY125" s="72">
        <f t="shared" si="1403"/>
        <v>1.4735750399723434E-2</v>
      </c>
    </row>
    <row r="126" spans="2:207" ht="20.399999999999999" customHeight="1" outlineLevel="1" x14ac:dyDescent="0.3">
      <c r="B126" s="75"/>
      <c r="E126" s="43" t="s">
        <v>33</v>
      </c>
      <c r="F126" s="44">
        <v>8</v>
      </c>
      <c r="G126" s="44">
        <v>12</v>
      </c>
      <c r="H126" s="44">
        <v>7</v>
      </c>
      <c r="I126" s="44">
        <v>4</v>
      </c>
      <c r="J126" s="44">
        <v>13</v>
      </c>
      <c r="K126" s="44">
        <v>10</v>
      </c>
      <c r="L126" s="44">
        <v>11</v>
      </c>
      <c r="M126" s="44">
        <v>17</v>
      </c>
      <c r="N126" s="44">
        <v>7</v>
      </c>
      <c r="O126" s="44">
        <v>3</v>
      </c>
      <c r="P126" s="44">
        <v>60</v>
      </c>
      <c r="Q126" s="44">
        <v>39</v>
      </c>
      <c r="R126" s="44">
        <v>35</v>
      </c>
      <c r="S126" s="44">
        <v>27</v>
      </c>
      <c r="T126" s="44">
        <v>27</v>
      </c>
      <c r="U126" s="44">
        <v>11</v>
      </c>
      <c r="V126" s="44">
        <v>6</v>
      </c>
      <c r="W126" s="44">
        <v>24</v>
      </c>
      <c r="X126" s="44">
        <v>42</v>
      </c>
      <c r="Y126" s="44">
        <v>14</v>
      </c>
      <c r="Z126" s="44">
        <v>18</v>
      </c>
      <c r="AA126" s="44">
        <v>28</v>
      </c>
      <c r="AB126" s="44">
        <v>5</v>
      </c>
      <c r="AC126" s="44">
        <v>6</v>
      </c>
      <c r="AD126" s="44">
        <v>29</v>
      </c>
      <c r="AE126" s="44">
        <v>31</v>
      </c>
      <c r="AF126" s="44">
        <v>13</v>
      </c>
      <c r="AG126" s="44">
        <v>13</v>
      </c>
      <c r="AH126" s="44">
        <v>11</v>
      </c>
      <c r="AI126" s="44">
        <v>3</v>
      </c>
      <c r="AJ126" s="44">
        <v>6</v>
      </c>
      <c r="AK126" s="44">
        <v>35</v>
      </c>
      <c r="AL126" s="44">
        <v>22</v>
      </c>
      <c r="AM126" s="44">
        <v>21</v>
      </c>
      <c r="AN126" s="44">
        <v>14</v>
      </c>
      <c r="AO126" s="44">
        <v>19</v>
      </c>
      <c r="AP126" s="44">
        <v>1</v>
      </c>
      <c r="AQ126" s="44">
        <v>1</v>
      </c>
      <c r="AR126" s="44">
        <v>0</v>
      </c>
      <c r="AS126" s="44">
        <v>16</v>
      </c>
      <c r="AT126" s="44">
        <v>10</v>
      </c>
      <c r="AU126" s="44">
        <v>3</v>
      </c>
      <c r="AV126" s="44">
        <v>11</v>
      </c>
      <c r="AW126" s="44">
        <v>2</v>
      </c>
      <c r="AX126" s="44">
        <v>1</v>
      </c>
      <c r="AY126" s="44">
        <v>0</v>
      </c>
      <c r="AZ126" s="44">
        <v>12</v>
      </c>
      <c r="BA126" s="44">
        <v>14</v>
      </c>
      <c r="BB126" s="44">
        <v>3</v>
      </c>
      <c r="BC126" s="44">
        <v>7</v>
      </c>
      <c r="BD126" s="44">
        <v>4</v>
      </c>
      <c r="BE126" s="44">
        <v>6</v>
      </c>
      <c r="BF126" s="44">
        <v>8</v>
      </c>
      <c r="BG126" s="44">
        <v>13</v>
      </c>
      <c r="BH126" s="44">
        <v>12</v>
      </c>
      <c r="BI126" s="44">
        <v>5</v>
      </c>
      <c r="BJ126" s="44">
        <v>9</v>
      </c>
      <c r="BK126" s="44">
        <v>5</v>
      </c>
      <c r="BL126" s="44">
        <v>3</v>
      </c>
      <c r="BM126" s="44">
        <v>4</v>
      </c>
      <c r="BN126" s="44">
        <v>14</v>
      </c>
      <c r="BO126" s="44">
        <v>18</v>
      </c>
      <c r="BP126" s="44">
        <v>11</v>
      </c>
      <c r="BQ126" s="44">
        <v>8</v>
      </c>
      <c r="BR126" s="44">
        <v>5</v>
      </c>
      <c r="BS126" s="44">
        <v>5</v>
      </c>
      <c r="BT126" s="44">
        <v>32</v>
      </c>
      <c r="BU126" s="44">
        <v>11</v>
      </c>
      <c r="BV126" s="44">
        <v>7</v>
      </c>
      <c r="BW126" s="44">
        <v>12</v>
      </c>
      <c r="BX126" s="44">
        <v>3</v>
      </c>
      <c r="BY126" s="44">
        <v>4</v>
      </c>
      <c r="BZ126" s="44">
        <v>0</v>
      </c>
      <c r="CA126" s="44">
        <v>9</v>
      </c>
      <c r="CB126" s="44">
        <v>6</v>
      </c>
      <c r="CC126" s="44">
        <v>15</v>
      </c>
      <c r="CD126" s="44">
        <v>8</v>
      </c>
      <c r="CE126" s="44">
        <v>3</v>
      </c>
      <c r="CF126" s="44">
        <v>1</v>
      </c>
      <c r="CG126" s="44">
        <v>0</v>
      </c>
      <c r="CH126" s="44">
        <v>3</v>
      </c>
      <c r="CI126" s="44">
        <v>8</v>
      </c>
      <c r="CJ126" s="44">
        <v>4</v>
      </c>
      <c r="CK126" s="44">
        <v>3</v>
      </c>
      <c r="CL126" s="44">
        <v>8</v>
      </c>
      <c r="CM126" s="44">
        <v>6</v>
      </c>
      <c r="CN126" s="44">
        <v>2</v>
      </c>
      <c r="CO126" s="44">
        <v>10</v>
      </c>
      <c r="CP126" s="44">
        <v>3</v>
      </c>
      <c r="CQ126" s="44">
        <v>2</v>
      </c>
      <c r="CR126" s="44">
        <v>4</v>
      </c>
      <c r="CS126" s="44">
        <v>9</v>
      </c>
      <c r="CT126" s="44">
        <v>3</v>
      </c>
      <c r="CU126" s="44">
        <v>2</v>
      </c>
      <c r="CV126" s="44">
        <v>10</v>
      </c>
      <c r="CW126" s="44">
        <v>8</v>
      </c>
      <c r="CX126" s="44">
        <v>7</v>
      </c>
      <c r="CY126" s="44">
        <v>5</v>
      </c>
      <c r="CZ126" s="44">
        <v>3</v>
      </c>
      <c r="DA126" s="44">
        <v>1</v>
      </c>
      <c r="DB126" s="44">
        <v>1</v>
      </c>
      <c r="DC126" s="44">
        <v>2</v>
      </c>
      <c r="DD126" s="44">
        <v>5</v>
      </c>
      <c r="DE126" s="44">
        <v>1</v>
      </c>
      <c r="DF126" s="44">
        <v>1</v>
      </c>
      <c r="DG126" s="44">
        <v>2</v>
      </c>
      <c r="DH126" s="44">
        <v>1</v>
      </c>
      <c r="DI126" s="44">
        <v>1</v>
      </c>
      <c r="DJ126" s="44">
        <v>2</v>
      </c>
      <c r="DK126" s="44">
        <v>4</v>
      </c>
      <c r="DL126" s="44">
        <v>1</v>
      </c>
      <c r="DM126" s="44">
        <v>7</v>
      </c>
      <c r="DN126" s="44">
        <v>1</v>
      </c>
      <c r="DO126" s="44">
        <v>2</v>
      </c>
      <c r="DP126" s="44">
        <v>3</v>
      </c>
      <c r="DQ126" s="44">
        <v>0</v>
      </c>
      <c r="DR126" s="44">
        <v>6</v>
      </c>
      <c r="DS126" s="44">
        <v>7</v>
      </c>
      <c r="DT126" s="44">
        <v>4</v>
      </c>
      <c r="DU126" s="44">
        <v>3</v>
      </c>
      <c r="DV126" s="44">
        <v>1</v>
      </c>
      <c r="DW126" s="44">
        <v>3</v>
      </c>
      <c r="DX126" s="44">
        <v>0</v>
      </c>
      <c r="DY126" s="44">
        <v>7</v>
      </c>
      <c r="DZ126" s="44">
        <v>3</v>
      </c>
      <c r="EA126" s="44">
        <v>12</v>
      </c>
      <c r="EB126" s="44">
        <v>13</v>
      </c>
      <c r="EC126" s="44">
        <v>2</v>
      </c>
      <c r="ED126" s="44">
        <v>1</v>
      </c>
      <c r="EE126" s="44">
        <v>6</v>
      </c>
      <c r="EF126" s="44">
        <v>1</v>
      </c>
      <c r="EG126" s="44">
        <v>3</v>
      </c>
      <c r="EH126" s="44">
        <v>3</v>
      </c>
      <c r="EI126" s="44">
        <v>1</v>
      </c>
      <c r="EJ126" s="44">
        <v>2</v>
      </c>
      <c r="EK126" s="44">
        <v>1</v>
      </c>
      <c r="EL126" s="44">
        <v>6</v>
      </c>
      <c r="EM126" s="44">
        <v>3</v>
      </c>
      <c r="EN126" s="44">
        <v>5</v>
      </c>
      <c r="EO126" s="44">
        <v>2</v>
      </c>
      <c r="EP126" s="44">
        <v>0</v>
      </c>
      <c r="EQ126" s="44">
        <v>5</v>
      </c>
      <c r="ER126" s="44">
        <v>1</v>
      </c>
      <c r="ES126" s="44">
        <v>5</v>
      </c>
      <c r="ET126" s="44">
        <v>5</v>
      </c>
      <c r="EU126" s="44">
        <v>4</v>
      </c>
      <c r="EV126" s="44">
        <v>4</v>
      </c>
      <c r="EW126" s="44">
        <v>2</v>
      </c>
      <c r="EX126" s="44">
        <v>1</v>
      </c>
      <c r="EY126" s="44">
        <v>0</v>
      </c>
      <c r="EZ126" s="44">
        <v>5</v>
      </c>
      <c r="FA126" s="44">
        <v>2</v>
      </c>
      <c r="FB126" s="44">
        <v>5</v>
      </c>
      <c r="FC126" s="44">
        <v>7</v>
      </c>
      <c r="FD126" s="44">
        <v>5</v>
      </c>
      <c r="FE126" s="44">
        <v>0</v>
      </c>
      <c r="FF126" s="44">
        <v>1</v>
      </c>
      <c r="FG126" s="44">
        <v>2</v>
      </c>
      <c r="FH126" s="44">
        <v>15</v>
      </c>
      <c r="FI126" s="44">
        <v>5</v>
      </c>
      <c r="FJ126" s="44">
        <v>5</v>
      </c>
      <c r="FK126" s="44">
        <v>7</v>
      </c>
      <c r="FL126" s="44">
        <v>1</v>
      </c>
      <c r="FM126" s="44">
        <v>2</v>
      </c>
      <c r="FN126" s="44">
        <v>6</v>
      </c>
      <c r="FO126" s="44">
        <v>14</v>
      </c>
      <c r="FP126" s="44">
        <v>2</v>
      </c>
      <c r="FQ126" s="44">
        <v>12</v>
      </c>
      <c r="FR126" s="44">
        <v>13</v>
      </c>
      <c r="FS126" s="44">
        <v>2</v>
      </c>
      <c r="FT126" s="44">
        <v>3</v>
      </c>
      <c r="FU126" s="44">
        <v>12</v>
      </c>
      <c r="FV126" s="44">
        <v>7</v>
      </c>
      <c r="FW126" s="44">
        <v>12</v>
      </c>
      <c r="FX126" s="44">
        <v>11</v>
      </c>
      <c r="FY126" s="44">
        <v>9</v>
      </c>
      <c r="FZ126" s="44">
        <v>2</v>
      </c>
      <c r="GA126" s="44">
        <v>2</v>
      </c>
      <c r="GB126" s="44">
        <v>11</v>
      </c>
      <c r="GC126" s="44">
        <v>17</v>
      </c>
      <c r="GD126" s="44">
        <v>39</v>
      </c>
      <c r="GE126" s="44">
        <v>34</v>
      </c>
      <c r="GF126" s="44">
        <v>24</v>
      </c>
      <c r="GG126" s="44">
        <v>17</v>
      </c>
      <c r="GH126" s="44">
        <v>5</v>
      </c>
      <c r="GI126" s="44">
        <v>23</v>
      </c>
      <c r="GJ126" s="44">
        <v>26</v>
      </c>
      <c r="GK126" s="44">
        <v>40</v>
      </c>
      <c r="GL126" s="44">
        <v>42</v>
      </c>
      <c r="GM126" s="44">
        <v>22</v>
      </c>
      <c r="GN126" s="44">
        <v>11</v>
      </c>
      <c r="GO126" s="44">
        <v>2</v>
      </c>
      <c r="GP126" s="44"/>
      <c r="GQ126" s="44"/>
      <c r="GR126" s="44"/>
      <c r="GS126" s="44"/>
      <c r="GT126" s="44"/>
      <c r="GU126" s="83"/>
      <c r="GV126" s="83"/>
      <c r="GW126" s="83"/>
      <c r="GX126" s="29">
        <f t="shared" si="1402"/>
        <v>400</v>
      </c>
      <c r="GY126" s="72">
        <f t="shared" si="1403"/>
        <v>8.6426688561427774E-3</v>
      </c>
    </row>
    <row r="127" spans="2:207" x14ac:dyDescent="0.3">
      <c r="B127" s="75"/>
      <c r="F127" s="34"/>
      <c r="G127" s="34"/>
      <c r="H127" s="34"/>
      <c r="GX127" s="74">
        <f>SUM(GX117:GX126)</f>
        <v>46282</v>
      </c>
    </row>
    <row r="128" spans="2:207" x14ac:dyDescent="0.3">
      <c r="B128" s="75"/>
      <c r="F128" s="34"/>
      <c r="G128" s="34"/>
      <c r="H128" s="34"/>
    </row>
    <row r="151" spans="17:202" hidden="1" x14ac:dyDescent="0.3">
      <c r="R151" s="14">
        <f t="shared" ref="R151:U151" si="1404">R152</f>
        <v>45259</v>
      </c>
      <c r="S151" s="14">
        <f t="shared" si="1404"/>
        <v>45260</v>
      </c>
      <c r="T151" s="14">
        <f t="shared" si="1404"/>
        <v>45261</v>
      </c>
      <c r="U151" s="14">
        <f t="shared" si="1404"/>
        <v>45262</v>
      </c>
      <c r="V151" s="14">
        <f t="shared" ref="V151:GT151" si="1405">V152</f>
        <v>45263</v>
      </c>
      <c r="W151" s="14">
        <f t="shared" si="1405"/>
        <v>45264</v>
      </c>
      <c r="X151" s="14">
        <f t="shared" si="1405"/>
        <v>45265</v>
      </c>
      <c r="Y151" s="14">
        <f t="shared" si="1405"/>
        <v>45266</v>
      </c>
      <c r="Z151" s="14">
        <f t="shared" si="1405"/>
        <v>45267</v>
      </c>
      <c r="AA151" s="14">
        <f t="shared" si="1405"/>
        <v>45268</v>
      </c>
      <c r="AB151" s="14">
        <f t="shared" si="1405"/>
        <v>45269</v>
      </c>
      <c r="AC151" s="14">
        <f t="shared" si="1405"/>
        <v>45270</v>
      </c>
      <c r="AD151" s="14">
        <f t="shared" si="1405"/>
        <v>45271</v>
      </c>
      <c r="AE151" s="14">
        <f t="shared" si="1405"/>
        <v>45272</v>
      </c>
      <c r="AF151" s="14">
        <f t="shared" si="1405"/>
        <v>45273</v>
      </c>
      <c r="AG151" s="14">
        <f t="shared" si="1405"/>
        <v>45274</v>
      </c>
      <c r="AH151" s="14">
        <f t="shared" si="1405"/>
        <v>45275</v>
      </c>
      <c r="AI151" s="14">
        <f t="shared" si="1405"/>
        <v>45276</v>
      </c>
      <c r="AJ151" s="14">
        <f t="shared" si="1405"/>
        <v>45277</v>
      </c>
      <c r="AK151" s="14">
        <f t="shared" si="1405"/>
        <v>45278</v>
      </c>
      <c r="AL151" s="14">
        <f t="shared" si="1405"/>
        <v>45279</v>
      </c>
      <c r="AM151" s="14">
        <f t="shared" si="1405"/>
        <v>45280</v>
      </c>
      <c r="AN151" s="14">
        <f t="shared" si="1405"/>
        <v>45281</v>
      </c>
      <c r="AO151" s="14">
        <f t="shared" si="1405"/>
        <v>45282</v>
      </c>
      <c r="AP151" s="14">
        <f t="shared" si="1405"/>
        <v>45283</v>
      </c>
      <c r="AQ151" s="14">
        <f t="shared" si="1405"/>
        <v>45284</v>
      </c>
      <c r="AR151" s="14">
        <f t="shared" si="1405"/>
        <v>45285</v>
      </c>
      <c r="AS151" s="14">
        <f t="shared" si="1405"/>
        <v>45286</v>
      </c>
      <c r="AT151" s="14">
        <f t="shared" si="1405"/>
        <v>45287</v>
      </c>
      <c r="AU151" s="14">
        <f t="shared" si="1405"/>
        <v>45288</v>
      </c>
      <c r="AV151" s="14">
        <f t="shared" si="1405"/>
        <v>45289</v>
      </c>
      <c r="AW151" s="14">
        <f t="shared" si="1405"/>
        <v>45290</v>
      </c>
      <c r="AX151" s="14">
        <f t="shared" si="1405"/>
        <v>45291</v>
      </c>
      <c r="AY151" s="14">
        <f t="shared" si="1405"/>
        <v>45292</v>
      </c>
      <c r="AZ151" s="14">
        <f t="shared" si="1405"/>
        <v>45293</v>
      </c>
      <c r="BA151" s="14">
        <f t="shared" si="1405"/>
        <v>45294</v>
      </c>
      <c r="BB151" s="14">
        <f t="shared" si="1405"/>
        <v>45295</v>
      </c>
      <c r="BC151" s="14">
        <f t="shared" si="1405"/>
        <v>45296</v>
      </c>
      <c r="BD151" s="14">
        <f t="shared" si="1405"/>
        <v>45297</v>
      </c>
      <c r="BE151" s="14">
        <f t="shared" si="1405"/>
        <v>45296</v>
      </c>
      <c r="BF151" s="14">
        <f t="shared" si="1405"/>
        <v>45297</v>
      </c>
      <c r="BG151" s="14">
        <f t="shared" si="1405"/>
        <v>45296</v>
      </c>
      <c r="BH151" s="14">
        <f t="shared" si="1405"/>
        <v>45297</v>
      </c>
      <c r="BI151" s="14">
        <f t="shared" si="1405"/>
        <v>45296</v>
      </c>
      <c r="BJ151" s="14">
        <f t="shared" si="1405"/>
        <v>45297</v>
      </c>
      <c r="BK151" s="14">
        <f t="shared" si="1405"/>
        <v>45293</v>
      </c>
      <c r="BL151" s="14">
        <f t="shared" si="1405"/>
        <v>45294</v>
      </c>
      <c r="BM151" s="14">
        <f t="shared" si="1405"/>
        <v>45295</v>
      </c>
      <c r="BN151" s="14">
        <f t="shared" si="1405"/>
        <v>45296</v>
      </c>
      <c r="BO151" s="14">
        <f t="shared" si="1405"/>
        <v>45297</v>
      </c>
      <c r="BP151" s="14">
        <f t="shared" si="1405"/>
        <v>45296</v>
      </c>
      <c r="BQ151" s="14">
        <f t="shared" si="1405"/>
        <v>45297</v>
      </c>
      <c r="BR151" s="14">
        <f t="shared" si="1405"/>
        <v>45296</v>
      </c>
      <c r="BS151" s="14">
        <f t="shared" si="1405"/>
        <v>45297</v>
      </c>
      <c r="BT151" s="14">
        <f t="shared" si="1405"/>
        <v>45297</v>
      </c>
      <c r="BU151" s="14">
        <f t="shared" si="1405"/>
        <v>45295</v>
      </c>
      <c r="BV151" s="14">
        <f t="shared" si="1405"/>
        <v>45296</v>
      </c>
      <c r="BW151" s="14">
        <f t="shared" si="1405"/>
        <v>45297</v>
      </c>
      <c r="BX151" s="14">
        <f t="shared" si="1405"/>
        <v>45297</v>
      </c>
      <c r="BY151" s="14">
        <f t="shared" si="1405"/>
        <v>45295</v>
      </c>
      <c r="BZ151" s="14">
        <f t="shared" si="1405"/>
        <v>45296</v>
      </c>
      <c r="CA151" s="14">
        <f t="shared" si="1405"/>
        <v>45297</v>
      </c>
      <c r="CB151" s="14">
        <f t="shared" si="1405"/>
        <v>45297</v>
      </c>
      <c r="CC151" s="14">
        <f t="shared" si="1405"/>
        <v>45296</v>
      </c>
      <c r="CD151" s="14">
        <f t="shared" si="1405"/>
        <v>45297</v>
      </c>
      <c r="CE151" s="14">
        <f t="shared" si="1405"/>
        <v>45295</v>
      </c>
      <c r="CF151" s="14">
        <f t="shared" si="1405"/>
        <v>45296</v>
      </c>
      <c r="CG151" s="14">
        <f t="shared" si="1405"/>
        <v>45297</v>
      </c>
      <c r="CH151" s="14">
        <f t="shared" si="1405"/>
        <v>45295</v>
      </c>
      <c r="CI151" s="14">
        <f t="shared" si="1405"/>
        <v>45296</v>
      </c>
      <c r="CJ151" s="14">
        <f t="shared" si="1405"/>
        <v>45297</v>
      </c>
      <c r="CK151" s="14">
        <f t="shared" si="1405"/>
        <v>45297</v>
      </c>
      <c r="CL151" s="14">
        <f t="shared" si="1405"/>
        <v>45296</v>
      </c>
      <c r="CM151" s="14">
        <f t="shared" si="1405"/>
        <v>45297</v>
      </c>
      <c r="CN151" s="14">
        <f t="shared" si="1405"/>
        <v>45298</v>
      </c>
      <c r="CO151" s="14">
        <f t="shared" si="1405"/>
        <v>45298</v>
      </c>
      <c r="CP151" s="14">
        <f t="shared" si="1405"/>
        <v>45298</v>
      </c>
      <c r="CQ151" s="14">
        <f t="shared" si="1405"/>
        <v>45297</v>
      </c>
      <c r="CR151" s="14">
        <f t="shared" si="1405"/>
        <v>45298</v>
      </c>
      <c r="CS151" s="14">
        <f t="shared" si="1405"/>
        <v>45297</v>
      </c>
      <c r="CT151" s="14">
        <f t="shared" si="1405"/>
        <v>45298</v>
      </c>
      <c r="CU151" s="14">
        <f t="shared" si="1405"/>
        <v>45297</v>
      </c>
      <c r="CV151" s="14">
        <f t="shared" si="1405"/>
        <v>45298</v>
      </c>
      <c r="CW151" s="14">
        <f t="shared" si="1405"/>
        <v>45297</v>
      </c>
      <c r="CX151" s="14">
        <f t="shared" si="1405"/>
        <v>45298</v>
      </c>
      <c r="CY151" s="14">
        <f t="shared" si="1405"/>
        <v>45297</v>
      </c>
      <c r="CZ151" s="14">
        <f t="shared" si="1405"/>
        <v>45298</v>
      </c>
      <c r="DA151" s="14">
        <f t="shared" si="1405"/>
        <v>45298</v>
      </c>
      <c r="DB151" s="14">
        <f t="shared" si="1405"/>
        <v>45297</v>
      </c>
      <c r="DC151" s="14">
        <f t="shared" si="1405"/>
        <v>45298</v>
      </c>
      <c r="DD151" s="14">
        <f t="shared" si="1405"/>
        <v>45297</v>
      </c>
      <c r="DE151" s="14">
        <f t="shared" si="1405"/>
        <v>45297</v>
      </c>
      <c r="DF151" s="14">
        <f t="shared" si="1405"/>
        <v>45297</v>
      </c>
      <c r="DG151" s="14">
        <f t="shared" si="1405"/>
        <v>45297</v>
      </c>
      <c r="DH151" s="14">
        <f t="shared" si="1405"/>
        <v>45298</v>
      </c>
      <c r="DI151" s="14">
        <f t="shared" si="1405"/>
        <v>45298</v>
      </c>
      <c r="DJ151" s="14">
        <f t="shared" si="1405"/>
        <v>45297</v>
      </c>
      <c r="DK151" s="14">
        <f t="shared" si="1405"/>
        <v>45297</v>
      </c>
      <c r="DL151" s="14">
        <f t="shared" si="1405"/>
        <v>45298</v>
      </c>
      <c r="DM151" s="14">
        <f t="shared" si="1405"/>
        <v>45298</v>
      </c>
      <c r="DN151" s="14">
        <f t="shared" si="1405"/>
        <v>45298</v>
      </c>
      <c r="DO151" s="14">
        <f t="shared" si="1405"/>
        <v>45297</v>
      </c>
      <c r="DP151" s="14">
        <f t="shared" si="1405"/>
        <v>45298</v>
      </c>
      <c r="DQ151" s="14">
        <f t="shared" si="1405"/>
        <v>45298</v>
      </c>
      <c r="DR151" s="14">
        <f t="shared" si="1405"/>
        <v>45297</v>
      </c>
      <c r="DS151" s="14">
        <f t="shared" si="1405"/>
        <v>45298</v>
      </c>
      <c r="DT151" s="14">
        <f t="shared" si="1405"/>
        <v>45297</v>
      </c>
      <c r="DU151" s="14">
        <f t="shared" si="1405"/>
        <v>45298</v>
      </c>
      <c r="DV151" s="14">
        <f t="shared" si="1405"/>
        <v>45298</v>
      </c>
      <c r="DW151" s="14">
        <f t="shared" si="1405"/>
        <v>45297</v>
      </c>
      <c r="DX151" s="14">
        <f t="shared" si="1405"/>
        <v>45298</v>
      </c>
      <c r="DY151" s="14">
        <f t="shared" si="1405"/>
        <v>45298</v>
      </c>
      <c r="DZ151" s="14">
        <f t="shared" si="1405"/>
        <v>45297</v>
      </c>
      <c r="EA151" s="14">
        <f t="shared" si="1405"/>
        <v>45298</v>
      </c>
      <c r="EB151" s="14">
        <f t="shared" si="1405"/>
        <v>45298</v>
      </c>
      <c r="EC151" s="14">
        <f t="shared" si="1405"/>
        <v>45298</v>
      </c>
      <c r="ED151" s="14">
        <f t="shared" si="1405"/>
        <v>45297</v>
      </c>
      <c r="EE151" s="14">
        <f t="shared" si="1405"/>
        <v>45298</v>
      </c>
      <c r="EF151" s="14">
        <f t="shared" si="1405"/>
        <v>45297</v>
      </c>
      <c r="EG151" s="14">
        <f t="shared" si="1405"/>
        <v>45298</v>
      </c>
      <c r="EH151" s="14">
        <f t="shared" si="1405"/>
        <v>45296</v>
      </c>
      <c r="EI151" s="14">
        <f t="shared" si="1405"/>
        <v>45297</v>
      </c>
      <c r="EJ151" s="14">
        <f t="shared" si="1405"/>
        <v>45298</v>
      </c>
      <c r="EK151" s="14">
        <f t="shared" si="1405"/>
        <v>45298</v>
      </c>
      <c r="EL151" s="14">
        <f t="shared" si="1405"/>
        <v>45297</v>
      </c>
      <c r="EM151" s="14">
        <f t="shared" si="1405"/>
        <v>45298</v>
      </c>
      <c r="EN151" s="14">
        <f t="shared" si="1405"/>
        <v>45296</v>
      </c>
      <c r="EO151" s="14">
        <f t="shared" si="1405"/>
        <v>45297</v>
      </c>
      <c r="EP151" s="14">
        <f t="shared" si="1405"/>
        <v>45298</v>
      </c>
      <c r="EQ151" s="14">
        <f t="shared" si="1405"/>
        <v>45298</v>
      </c>
      <c r="ER151" s="14">
        <f t="shared" si="1405"/>
        <v>45297</v>
      </c>
      <c r="ES151" s="14">
        <f t="shared" si="1405"/>
        <v>45298</v>
      </c>
      <c r="ET151" s="14">
        <f t="shared" si="1405"/>
        <v>45297</v>
      </c>
      <c r="EU151" s="14">
        <f t="shared" si="1405"/>
        <v>45298</v>
      </c>
      <c r="EV151" s="14">
        <f t="shared" si="1405"/>
        <v>45298</v>
      </c>
      <c r="EW151" s="14">
        <f t="shared" si="1405"/>
        <v>45297</v>
      </c>
      <c r="EX151" s="14">
        <f t="shared" si="1405"/>
        <v>45298</v>
      </c>
      <c r="EY151" s="14">
        <f t="shared" si="1405"/>
        <v>45298</v>
      </c>
      <c r="EZ151" s="14">
        <f t="shared" si="1405"/>
        <v>45298</v>
      </c>
      <c r="FA151" s="14">
        <f t="shared" si="1405"/>
        <v>45298</v>
      </c>
      <c r="FB151" s="14">
        <f t="shared" si="1405"/>
        <v>45298</v>
      </c>
      <c r="FC151" s="14">
        <f t="shared" si="1405"/>
        <v>45297</v>
      </c>
      <c r="FD151" s="14">
        <f t="shared" si="1405"/>
        <v>45297</v>
      </c>
      <c r="FE151" s="14">
        <f t="shared" si="1405"/>
        <v>45298</v>
      </c>
      <c r="FF151" s="14">
        <f t="shared" si="1405"/>
        <v>45298</v>
      </c>
      <c r="FG151" s="14">
        <f t="shared" si="1405"/>
        <v>45298</v>
      </c>
      <c r="FH151" s="14">
        <f t="shared" si="1405"/>
        <v>45298</v>
      </c>
      <c r="FI151" s="14">
        <f t="shared" si="1405"/>
        <v>45297</v>
      </c>
      <c r="FJ151" s="14">
        <f t="shared" si="1405"/>
        <v>45298</v>
      </c>
      <c r="FK151" s="14">
        <f t="shared" si="1405"/>
        <v>45298</v>
      </c>
      <c r="FL151" s="14">
        <f t="shared" si="1405"/>
        <v>45297</v>
      </c>
      <c r="FM151" s="14">
        <f t="shared" si="1405"/>
        <v>45298</v>
      </c>
      <c r="FN151" s="14">
        <f t="shared" si="1405"/>
        <v>45298</v>
      </c>
      <c r="FO151" s="14">
        <f t="shared" si="1405"/>
        <v>45298</v>
      </c>
      <c r="FP151" s="14">
        <f t="shared" si="1405"/>
        <v>45297</v>
      </c>
      <c r="FQ151" s="14">
        <f t="shared" si="1405"/>
        <v>45298</v>
      </c>
      <c r="FR151" s="14">
        <f t="shared" si="1405"/>
        <v>45298</v>
      </c>
      <c r="FS151" s="14">
        <f t="shared" si="1405"/>
        <v>45297</v>
      </c>
      <c r="FT151" s="14">
        <f t="shared" si="1405"/>
        <v>45298</v>
      </c>
      <c r="FU151" s="14">
        <f t="shared" si="1405"/>
        <v>45297</v>
      </c>
      <c r="FV151" s="14">
        <f t="shared" si="1405"/>
        <v>45298</v>
      </c>
      <c r="FW151" s="14">
        <f t="shared" si="1405"/>
        <v>45298</v>
      </c>
      <c r="FX151" s="14">
        <f t="shared" si="1405"/>
        <v>45297</v>
      </c>
      <c r="FY151" s="14">
        <f t="shared" si="1405"/>
        <v>45298</v>
      </c>
      <c r="FZ151" s="14">
        <f t="shared" si="1405"/>
        <v>45298</v>
      </c>
      <c r="GA151" s="14">
        <f t="shared" si="1405"/>
        <v>45297</v>
      </c>
      <c r="GB151" s="14">
        <f t="shared" si="1405"/>
        <v>45298</v>
      </c>
      <c r="GC151" s="14">
        <f t="shared" si="1405"/>
        <v>45298</v>
      </c>
      <c r="GD151" s="14">
        <f t="shared" si="1405"/>
        <v>45298</v>
      </c>
      <c r="GE151" s="14">
        <f t="shared" si="1405"/>
        <v>45297</v>
      </c>
      <c r="GF151" s="14">
        <f t="shared" si="1405"/>
        <v>45297</v>
      </c>
      <c r="GG151" s="14">
        <f t="shared" si="1405"/>
        <v>45297</v>
      </c>
      <c r="GH151" s="14">
        <f t="shared" si="1405"/>
        <v>45298</v>
      </c>
      <c r="GI151" s="14">
        <f t="shared" si="1405"/>
        <v>45298</v>
      </c>
      <c r="GJ151" s="14">
        <f t="shared" si="1405"/>
        <v>45297</v>
      </c>
      <c r="GK151" s="14">
        <f t="shared" si="1405"/>
        <v>45298</v>
      </c>
      <c r="GL151" s="14">
        <f t="shared" si="1405"/>
        <v>45297</v>
      </c>
      <c r="GM151" s="14">
        <f t="shared" si="1405"/>
        <v>45298</v>
      </c>
      <c r="GN151" s="14">
        <f t="shared" si="1405"/>
        <v>45298</v>
      </c>
      <c r="GO151" s="14">
        <f t="shared" si="1405"/>
        <v>45297</v>
      </c>
      <c r="GP151" s="14">
        <f t="shared" si="1405"/>
        <v>45298</v>
      </c>
      <c r="GQ151" s="14">
        <f t="shared" si="1405"/>
        <v>45298</v>
      </c>
      <c r="GR151" s="14">
        <f t="shared" si="1405"/>
        <v>45297</v>
      </c>
      <c r="GS151" s="14">
        <f t="shared" si="1405"/>
        <v>45298</v>
      </c>
      <c r="GT151" s="14">
        <f t="shared" si="1405"/>
        <v>45299</v>
      </c>
    </row>
    <row r="152" spans="17:202" hidden="1" x14ac:dyDescent="0.3">
      <c r="R152" s="19">
        <f>R104</f>
        <v>45259</v>
      </c>
      <c r="S152" s="19">
        <f t="shared" ref="S152:BD152" si="1406">R152+1</f>
        <v>45260</v>
      </c>
      <c r="T152" s="19">
        <f t="shared" si="1406"/>
        <v>45261</v>
      </c>
      <c r="U152" s="19">
        <f t="shared" si="1406"/>
        <v>45262</v>
      </c>
      <c r="V152" s="19">
        <f t="shared" si="1406"/>
        <v>45263</v>
      </c>
      <c r="W152" s="19">
        <f t="shared" si="1406"/>
        <v>45264</v>
      </c>
      <c r="X152" s="19">
        <f t="shared" si="1406"/>
        <v>45265</v>
      </c>
      <c r="Y152" s="19">
        <f t="shared" si="1406"/>
        <v>45266</v>
      </c>
      <c r="Z152" s="19">
        <f t="shared" si="1406"/>
        <v>45267</v>
      </c>
      <c r="AA152" s="19">
        <f t="shared" si="1406"/>
        <v>45268</v>
      </c>
      <c r="AB152" s="19">
        <f t="shared" si="1406"/>
        <v>45269</v>
      </c>
      <c r="AC152" s="19">
        <f t="shared" si="1406"/>
        <v>45270</v>
      </c>
      <c r="AD152" s="19">
        <f t="shared" si="1406"/>
        <v>45271</v>
      </c>
      <c r="AE152" s="19">
        <f t="shared" si="1406"/>
        <v>45272</v>
      </c>
      <c r="AF152" s="19">
        <f t="shared" si="1406"/>
        <v>45273</v>
      </c>
      <c r="AG152" s="19">
        <f t="shared" si="1406"/>
        <v>45274</v>
      </c>
      <c r="AH152" s="19">
        <f t="shared" si="1406"/>
        <v>45275</v>
      </c>
      <c r="AI152" s="19">
        <f t="shared" si="1406"/>
        <v>45276</v>
      </c>
      <c r="AJ152" s="19">
        <f t="shared" si="1406"/>
        <v>45277</v>
      </c>
      <c r="AK152" s="19">
        <f t="shared" si="1406"/>
        <v>45278</v>
      </c>
      <c r="AL152" s="19">
        <f t="shared" si="1406"/>
        <v>45279</v>
      </c>
      <c r="AM152" s="19">
        <f t="shared" si="1406"/>
        <v>45280</v>
      </c>
      <c r="AN152" s="19">
        <f t="shared" si="1406"/>
        <v>45281</v>
      </c>
      <c r="AO152" s="19">
        <f t="shared" si="1406"/>
        <v>45282</v>
      </c>
      <c r="AP152" s="19">
        <f t="shared" si="1406"/>
        <v>45283</v>
      </c>
      <c r="AQ152" s="19">
        <f t="shared" si="1406"/>
        <v>45284</v>
      </c>
      <c r="AR152" s="19">
        <f t="shared" si="1406"/>
        <v>45285</v>
      </c>
      <c r="AS152" s="19">
        <f t="shared" si="1406"/>
        <v>45286</v>
      </c>
      <c r="AT152" s="19">
        <f t="shared" si="1406"/>
        <v>45287</v>
      </c>
      <c r="AU152" s="19">
        <f t="shared" si="1406"/>
        <v>45288</v>
      </c>
      <c r="AV152" s="19">
        <f t="shared" si="1406"/>
        <v>45289</v>
      </c>
      <c r="AW152" s="19">
        <f t="shared" si="1406"/>
        <v>45290</v>
      </c>
      <c r="AX152" s="19">
        <f t="shared" si="1406"/>
        <v>45291</v>
      </c>
      <c r="AY152" s="19">
        <f t="shared" si="1406"/>
        <v>45292</v>
      </c>
      <c r="AZ152" s="19">
        <f t="shared" si="1406"/>
        <v>45293</v>
      </c>
      <c r="BA152" s="19">
        <f t="shared" si="1406"/>
        <v>45294</v>
      </c>
      <c r="BB152" s="19">
        <f t="shared" si="1406"/>
        <v>45295</v>
      </c>
      <c r="BC152" s="19">
        <f t="shared" si="1406"/>
        <v>45296</v>
      </c>
      <c r="BD152" s="19">
        <f t="shared" si="1406"/>
        <v>45297</v>
      </c>
      <c r="BE152" s="19">
        <f>BB152+1</f>
        <v>45296</v>
      </c>
      <c r="BF152" s="19">
        <f>BC152+1</f>
        <v>45297</v>
      </c>
      <c r="BG152" s="19">
        <f>BB152+1</f>
        <v>45296</v>
      </c>
      <c r="BH152" s="19">
        <f>BC152+1</f>
        <v>45297</v>
      </c>
      <c r="BI152" s="19">
        <f>BB152+1</f>
        <v>45296</v>
      </c>
      <c r="BJ152" s="19">
        <f>BC152+1</f>
        <v>45297</v>
      </c>
      <c r="BK152" s="19">
        <f t="shared" ref="BK152:BO152" si="1407">AY152+1</f>
        <v>45293</v>
      </c>
      <c r="BL152" s="19">
        <f t="shared" si="1407"/>
        <v>45294</v>
      </c>
      <c r="BM152" s="19">
        <f t="shared" si="1407"/>
        <v>45295</v>
      </c>
      <c r="BN152" s="19">
        <f t="shared" si="1407"/>
        <v>45296</v>
      </c>
      <c r="BO152" s="19">
        <f t="shared" si="1407"/>
        <v>45297</v>
      </c>
      <c r="BP152" s="19">
        <f>BB152+1</f>
        <v>45296</v>
      </c>
      <c r="BQ152" s="19">
        <f>BC152+1</f>
        <v>45297</v>
      </c>
      <c r="BR152" s="19">
        <f>BB152+1</f>
        <v>45296</v>
      </c>
      <c r="BS152" s="19">
        <f>BC152+1</f>
        <v>45297</v>
      </c>
      <c r="BT152" s="19">
        <f>BC152+1</f>
        <v>45297</v>
      </c>
      <c r="BU152" s="19">
        <f>BA152+1</f>
        <v>45295</v>
      </c>
      <c r="BV152" s="19">
        <f>BB152+1</f>
        <v>45296</v>
      </c>
      <c r="BW152" s="19">
        <f>BC152+1</f>
        <v>45297</v>
      </c>
      <c r="BX152" s="19">
        <f>BC152+1</f>
        <v>45297</v>
      </c>
      <c r="BY152" s="19">
        <f>BA152+1</f>
        <v>45295</v>
      </c>
      <c r="BZ152" s="19">
        <f>BB152+1</f>
        <v>45296</v>
      </c>
      <c r="CA152" s="19">
        <f>BC152+1</f>
        <v>45297</v>
      </c>
      <c r="CB152" s="19">
        <f>BC152+1</f>
        <v>45297</v>
      </c>
      <c r="CC152" s="19">
        <f>BB152+1</f>
        <v>45296</v>
      </c>
      <c r="CD152" s="19">
        <f>BC152+1</f>
        <v>45297</v>
      </c>
      <c r="CE152" s="19">
        <f>BA152+1</f>
        <v>45295</v>
      </c>
      <c r="CF152" s="19">
        <f>BB152+1</f>
        <v>45296</v>
      </c>
      <c r="CG152" s="19">
        <f>BC152+1</f>
        <v>45297</v>
      </c>
      <c r="CH152" s="19">
        <f>BA152+1</f>
        <v>45295</v>
      </c>
      <c r="CI152" s="19">
        <f>BB152+1</f>
        <v>45296</v>
      </c>
      <c r="CJ152" s="19">
        <f>BC152+1</f>
        <v>45297</v>
      </c>
      <c r="CK152" s="19">
        <f>BC152+1</f>
        <v>45297</v>
      </c>
      <c r="CL152" s="19">
        <f>BB152+1</f>
        <v>45296</v>
      </c>
      <c r="CM152" s="19">
        <f>BC152+1</f>
        <v>45297</v>
      </c>
      <c r="CN152" s="19">
        <f>BD152+1</f>
        <v>45298</v>
      </c>
      <c r="CO152" s="19">
        <f>CM152+1</f>
        <v>45298</v>
      </c>
      <c r="CP152" s="19">
        <f>CK152+1</f>
        <v>45298</v>
      </c>
      <c r="CQ152" s="19">
        <f>CL152+1</f>
        <v>45297</v>
      </c>
      <c r="CR152" s="19">
        <f>CK152+1</f>
        <v>45298</v>
      </c>
      <c r="CS152" s="19">
        <f>CL152+1</f>
        <v>45297</v>
      </c>
      <c r="CT152" s="19">
        <f>CK152+1</f>
        <v>45298</v>
      </c>
      <c r="CU152" s="19">
        <f>CL152+1</f>
        <v>45297</v>
      </c>
      <c r="CV152" s="19">
        <f>CK152+1</f>
        <v>45298</v>
      </c>
      <c r="CW152" s="19">
        <f>CL152+1</f>
        <v>45297</v>
      </c>
      <c r="CX152" s="19">
        <f>CK152+1</f>
        <v>45298</v>
      </c>
      <c r="CY152" s="19">
        <f>CL152+1</f>
        <v>45297</v>
      </c>
      <c r="CZ152" s="19">
        <f>CJ152+1</f>
        <v>45298</v>
      </c>
      <c r="DA152" s="19">
        <f>CK152+1</f>
        <v>45298</v>
      </c>
      <c r="DB152" s="19">
        <f>CL152+1</f>
        <v>45297</v>
      </c>
      <c r="DC152" s="19">
        <f>CK152+1</f>
        <v>45298</v>
      </c>
      <c r="DD152" s="19">
        <f>CL152+1</f>
        <v>45297</v>
      </c>
      <c r="DE152" s="19">
        <f>CL152+1</f>
        <v>45297</v>
      </c>
      <c r="DF152" s="19">
        <f>CL152+1</f>
        <v>45297</v>
      </c>
      <c r="DG152" s="19">
        <f>CL152+1</f>
        <v>45297</v>
      </c>
      <c r="DH152" s="19">
        <f>CJ152+1</f>
        <v>45298</v>
      </c>
      <c r="DI152" s="19">
        <f>CK152+1</f>
        <v>45298</v>
      </c>
      <c r="DJ152" s="19">
        <f>CL152+1</f>
        <v>45297</v>
      </c>
      <c r="DK152" s="19">
        <f>CL152+1</f>
        <v>45297</v>
      </c>
      <c r="DL152" s="19">
        <f>CK152+1</f>
        <v>45298</v>
      </c>
      <c r="DM152" s="19">
        <f>CK152+1</f>
        <v>45298</v>
      </c>
      <c r="DN152" s="19">
        <f>CJ152+1</f>
        <v>45298</v>
      </c>
      <c r="DO152" s="19">
        <f t="shared" ref="DO152:DR152" si="1408">CI152+1</f>
        <v>45297</v>
      </c>
      <c r="DP152" s="19">
        <f t="shared" si="1408"/>
        <v>45298</v>
      </c>
      <c r="DQ152" s="19">
        <f t="shared" si="1408"/>
        <v>45298</v>
      </c>
      <c r="DR152" s="19">
        <f t="shared" si="1408"/>
        <v>45297</v>
      </c>
      <c r="DS152" s="19">
        <f>CK152+1</f>
        <v>45298</v>
      </c>
      <c r="DT152" s="19">
        <f>CL152+1</f>
        <v>45297</v>
      </c>
      <c r="DU152" s="19">
        <f>CJ152+1</f>
        <v>45298</v>
      </c>
      <c r="DV152" s="19">
        <f>CK152+1</f>
        <v>45298</v>
      </c>
      <c r="DW152" s="19">
        <f>CL152+1</f>
        <v>45297</v>
      </c>
      <c r="DX152" s="19">
        <f>CJ152+1</f>
        <v>45298</v>
      </c>
      <c r="DY152" s="19">
        <f>CK152+1</f>
        <v>45298</v>
      </c>
      <c r="DZ152" s="19">
        <f>CL152+1</f>
        <v>45297</v>
      </c>
      <c r="EA152" s="19">
        <f>CM152+1</f>
        <v>45298</v>
      </c>
      <c r="EB152" s="19">
        <f>CM152+1</f>
        <v>45298</v>
      </c>
      <c r="EC152" s="19">
        <f>CK152+1</f>
        <v>45298</v>
      </c>
      <c r="ED152" s="19">
        <f>CL152+1</f>
        <v>45297</v>
      </c>
      <c r="EE152" s="19">
        <f>CM152+1</f>
        <v>45298</v>
      </c>
      <c r="EF152" s="19">
        <f t="shared" ref="EF152:EM152" si="1409">CF152+1</f>
        <v>45297</v>
      </c>
      <c r="EG152" s="19">
        <f t="shared" si="1409"/>
        <v>45298</v>
      </c>
      <c r="EH152" s="19">
        <f t="shared" si="1409"/>
        <v>45296</v>
      </c>
      <c r="EI152" s="19">
        <f t="shared" si="1409"/>
        <v>45297</v>
      </c>
      <c r="EJ152" s="19">
        <f t="shared" si="1409"/>
        <v>45298</v>
      </c>
      <c r="EK152" s="19">
        <f t="shared" si="1409"/>
        <v>45298</v>
      </c>
      <c r="EL152" s="19">
        <f t="shared" si="1409"/>
        <v>45297</v>
      </c>
      <c r="EM152" s="19">
        <f t="shared" si="1409"/>
        <v>45298</v>
      </c>
      <c r="EN152" s="19">
        <f t="shared" ref="EN152:ES152" si="1410">CH152+1</f>
        <v>45296</v>
      </c>
      <c r="EO152" s="19">
        <f t="shared" si="1410"/>
        <v>45297</v>
      </c>
      <c r="EP152" s="19">
        <f t="shared" si="1410"/>
        <v>45298</v>
      </c>
      <c r="EQ152" s="19">
        <f t="shared" si="1410"/>
        <v>45298</v>
      </c>
      <c r="ER152" s="19">
        <f t="shared" si="1410"/>
        <v>45297</v>
      </c>
      <c r="ES152" s="19">
        <f t="shared" si="1410"/>
        <v>45298</v>
      </c>
      <c r="ET152" s="19">
        <f>CL152+1</f>
        <v>45297</v>
      </c>
      <c r="EU152" s="19">
        <f>CK152+1</f>
        <v>45298</v>
      </c>
      <c r="EV152" s="19">
        <f>CK152+1</f>
        <v>45298</v>
      </c>
      <c r="EW152" s="19">
        <f>CL152+1</f>
        <v>45297</v>
      </c>
      <c r="EX152" s="19">
        <f>CM152+1</f>
        <v>45298</v>
      </c>
      <c r="EY152" s="19">
        <f>CM152+1</f>
        <v>45298</v>
      </c>
      <c r="EZ152" s="19">
        <f>CM152+1</f>
        <v>45298</v>
      </c>
      <c r="FA152" s="19">
        <f>CM152+1</f>
        <v>45298</v>
      </c>
      <c r="FB152" s="19">
        <f>CK152+1</f>
        <v>45298</v>
      </c>
      <c r="FC152" s="19">
        <f>CL152+1</f>
        <v>45297</v>
      </c>
      <c r="FD152" s="19">
        <f>CL152+1</f>
        <v>45297</v>
      </c>
      <c r="FE152" s="19">
        <f>CM152+1</f>
        <v>45298</v>
      </c>
      <c r="FF152" s="19">
        <f>CM152+1</f>
        <v>45298</v>
      </c>
      <c r="FG152" s="19">
        <f>CM152+1</f>
        <v>45298</v>
      </c>
      <c r="FH152" s="19">
        <f>CM152+1</f>
        <v>45298</v>
      </c>
      <c r="FI152" s="19">
        <f>CI152+1</f>
        <v>45297</v>
      </c>
      <c r="FJ152" s="19">
        <f>CJ152+1</f>
        <v>45298</v>
      </c>
      <c r="FK152" s="19">
        <f>CK152+1</f>
        <v>45298</v>
      </c>
      <c r="FL152" s="19">
        <f>CL152+1</f>
        <v>45297</v>
      </c>
      <c r="FM152" s="19">
        <f>CM152+1</f>
        <v>45298</v>
      </c>
      <c r="FN152" s="19">
        <f>CJ152+1</f>
        <v>45298</v>
      </c>
      <c r="FO152" s="19">
        <f>CK152+1</f>
        <v>45298</v>
      </c>
      <c r="FP152" s="19">
        <f>CL152+1</f>
        <v>45297</v>
      </c>
      <c r="FQ152" s="19">
        <f>CJ152+1</f>
        <v>45298</v>
      </c>
      <c r="FR152" s="19">
        <f>CK152+1</f>
        <v>45298</v>
      </c>
      <c r="FS152" s="19">
        <f>CL152+1</f>
        <v>45297</v>
      </c>
      <c r="FT152" s="19">
        <f>CM152+1</f>
        <v>45298</v>
      </c>
      <c r="FU152" s="19">
        <f>CI152+1</f>
        <v>45297</v>
      </c>
      <c r="FV152" s="19">
        <f>CJ152+1</f>
        <v>45298</v>
      </c>
      <c r="FW152" s="19">
        <f>CK152+1</f>
        <v>45298</v>
      </c>
      <c r="FX152" s="19">
        <f>CL152+1</f>
        <v>45297</v>
      </c>
      <c r="FY152" s="19">
        <f>CJ152+1</f>
        <v>45298</v>
      </c>
      <c r="FZ152" s="19">
        <f>CK152+1</f>
        <v>45298</v>
      </c>
      <c r="GA152" s="19">
        <f>CL152+1</f>
        <v>45297</v>
      </c>
      <c r="GB152" s="19">
        <f>CM152+1</f>
        <v>45298</v>
      </c>
      <c r="GC152" s="19">
        <f>CJ152+1</f>
        <v>45298</v>
      </c>
      <c r="GD152" s="19">
        <f>CK152+1</f>
        <v>45298</v>
      </c>
      <c r="GE152" s="19">
        <f>CL152+1</f>
        <v>45297</v>
      </c>
      <c r="GF152" s="19">
        <f>CL152+1</f>
        <v>45297</v>
      </c>
      <c r="GG152" s="19">
        <f t="shared" ref="GG152:GK152" si="1411">CI152+1</f>
        <v>45297</v>
      </c>
      <c r="GH152" s="19">
        <f t="shared" si="1411"/>
        <v>45298</v>
      </c>
      <c r="GI152" s="19">
        <f t="shared" si="1411"/>
        <v>45298</v>
      </c>
      <c r="GJ152" s="19">
        <f t="shared" si="1411"/>
        <v>45297</v>
      </c>
      <c r="GK152" s="19">
        <f t="shared" si="1411"/>
        <v>45298</v>
      </c>
      <c r="GL152" s="19">
        <f>CI152+1</f>
        <v>45297</v>
      </c>
      <c r="GM152" s="19">
        <f>CJ152+1</f>
        <v>45298</v>
      </c>
      <c r="GN152" s="19">
        <f>CK152+1</f>
        <v>45298</v>
      </c>
      <c r="GO152" s="19">
        <f>CL152+1</f>
        <v>45297</v>
      </c>
      <c r="GP152" s="19">
        <f>CJ152+1</f>
        <v>45298</v>
      </c>
      <c r="GQ152" s="19">
        <f>CK152+1</f>
        <v>45298</v>
      </c>
      <c r="GR152" s="19">
        <f>CL152+1</f>
        <v>45297</v>
      </c>
      <c r="GS152" s="19">
        <f>CM152+1</f>
        <v>45298</v>
      </c>
      <c r="GT152" s="19">
        <f>CN152+1</f>
        <v>45299</v>
      </c>
    </row>
    <row r="153" spans="17:202" hidden="1" x14ac:dyDescent="0.3">
      <c r="Q153" s="45" t="s">
        <v>46</v>
      </c>
      <c r="R153" s="46">
        <v>25</v>
      </c>
      <c r="S153" s="46">
        <v>37</v>
      </c>
      <c r="T153" s="46">
        <v>44</v>
      </c>
      <c r="U153" s="46">
        <v>0</v>
      </c>
      <c r="V153" s="46">
        <v>33</v>
      </c>
      <c r="W153" s="46">
        <v>54</v>
      </c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</row>
    <row r="154" spans="17:202" hidden="1" x14ac:dyDescent="0.3">
      <c r="Q154" s="45" t="s">
        <v>47</v>
      </c>
      <c r="R154" s="46">
        <v>9</v>
      </c>
      <c r="S154" s="46">
        <v>13</v>
      </c>
      <c r="T154" s="46">
        <v>12</v>
      </c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</row>
    <row r="155" spans="17:202" hidden="1" x14ac:dyDescent="0.3">
      <c r="Q155" s="45" t="s">
        <v>54</v>
      </c>
      <c r="R155" s="46">
        <v>0</v>
      </c>
      <c r="S155" s="46">
        <v>36</v>
      </c>
      <c r="T155" s="46">
        <v>15</v>
      </c>
      <c r="U155" s="46">
        <v>41</v>
      </c>
      <c r="V155" s="46"/>
      <c r="W155" s="46">
        <v>34</v>
      </c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</row>
    <row r="156" spans="17:202" hidden="1" x14ac:dyDescent="0.3">
      <c r="Q156" s="45" t="s">
        <v>48</v>
      </c>
      <c r="R156" s="46">
        <v>29</v>
      </c>
      <c r="S156" s="46">
        <v>40</v>
      </c>
      <c r="T156" s="46">
        <v>43</v>
      </c>
      <c r="U156" s="46">
        <v>0</v>
      </c>
      <c r="V156" s="46">
        <v>46</v>
      </c>
      <c r="W156" s="46">
        <v>55</v>
      </c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</row>
    <row r="157" spans="17:202" hidden="1" x14ac:dyDescent="0.3">
      <c r="Q157" s="45" t="s">
        <v>49</v>
      </c>
      <c r="R157" s="46">
        <v>34</v>
      </c>
      <c r="S157" s="46">
        <v>32</v>
      </c>
      <c r="T157" s="46"/>
      <c r="U157" s="46">
        <v>25</v>
      </c>
      <c r="V157" s="46"/>
      <c r="W157" s="46">
        <v>37</v>
      </c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</row>
    <row r="158" spans="17:202" hidden="1" x14ac:dyDescent="0.3">
      <c r="Q158" s="45" t="s">
        <v>50</v>
      </c>
      <c r="R158" s="46">
        <v>11</v>
      </c>
      <c r="S158" s="46">
        <v>22</v>
      </c>
      <c r="T158" s="46">
        <v>27</v>
      </c>
      <c r="U158" s="46">
        <v>28</v>
      </c>
      <c r="V158" s="46"/>
      <c r="W158" s="46">
        <v>28</v>
      </c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</row>
    <row r="159" spans="17:202" hidden="1" x14ac:dyDescent="0.3">
      <c r="Q159" s="45" t="s">
        <v>55</v>
      </c>
      <c r="R159" s="46">
        <v>0</v>
      </c>
      <c r="S159" s="46">
        <v>0</v>
      </c>
      <c r="T159" s="46">
        <v>12</v>
      </c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</row>
    <row r="160" spans="17:202" hidden="1" x14ac:dyDescent="0.3">
      <c r="Q160" s="45" t="s">
        <v>51</v>
      </c>
      <c r="R160" s="46">
        <v>45</v>
      </c>
      <c r="S160" s="46">
        <v>28</v>
      </c>
      <c r="T160" s="46">
        <v>41</v>
      </c>
      <c r="U160" s="46">
        <v>0</v>
      </c>
      <c r="V160" s="46">
        <v>57</v>
      </c>
      <c r="W160" s="46">
        <v>55</v>
      </c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</row>
    <row r="161" spans="5:202" hidden="1" x14ac:dyDescent="0.3">
      <c r="Q161" s="45" t="s">
        <v>52</v>
      </c>
      <c r="R161" s="46">
        <v>2</v>
      </c>
      <c r="S161" s="46">
        <v>5</v>
      </c>
      <c r="T161" s="46"/>
      <c r="U161" s="46">
        <v>19</v>
      </c>
      <c r="V161" s="46"/>
      <c r="W161" s="46">
        <v>22</v>
      </c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</row>
    <row r="162" spans="5:202" hidden="1" x14ac:dyDescent="0.3">
      <c r="Q162" s="45" t="s">
        <v>53</v>
      </c>
      <c r="R162" s="46">
        <v>0</v>
      </c>
      <c r="S162" s="46">
        <v>33</v>
      </c>
      <c r="T162" s="46"/>
      <c r="U162" s="46"/>
      <c r="V162" s="46"/>
      <c r="W162" s="46">
        <v>56</v>
      </c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</row>
    <row r="163" spans="5:202" hidden="1" x14ac:dyDescent="0.3">
      <c r="R163" s="47">
        <f>SUM(R153:R162)</f>
        <v>155</v>
      </c>
      <c r="S163" s="47">
        <f t="shared" ref="S163:GT163" si="1412">SUM(S153:S162)</f>
        <v>246</v>
      </c>
      <c r="T163" s="47">
        <f t="shared" si="1412"/>
        <v>194</v>
      </c>
      <c r="U163" s="47">
        <f t="shared" si="1412"/>
        <v>113</v>
      </c>
      <c r="V163" s="47">
        <f t="shared" si="1412"/>
        <v>136</v>
      </c>
      <c r="W163" s="47">
        <f t="shared" si="1412"/>
        <v>341</v>
      </c>
      <c r="X163" s="47">
        <f t="shared" ref="X163:CN163" si="1413">SUM(X153:X162)</f>
        <v>0</v>
      </c>
      <c r="Y163" s="47">
        <f t="shared" ref="Y163:CJ163" si="1414">SUM(Y153:Y162)</f>
        <v>0</v>
      </c>
      <c r="Z163" s="47">
        <f t="shared" si="1414"/>
        <v>0</v>
      </c>
      <c r="AA163" s="47">
        <f t="shared" si="1414"/>
        <v>0</v>
      </c>
      <c r="AB163" s="47">
        <f t="shared" si="1414"/>
        <v>0</v>
      </c>
      <c r="AC163" s="47">
        <f t="shared" si="1414"/>
        <v>0</v>
      </c>
      <c r="AD163" s="47">
        <f t="shared" si="1414"/>
        <v>0</v>
      </c>
      <c r="AE163" s="47">
        <f t="shared" si="1414"/>
        <v>0</v>
      </c>
      <c r="AF163" s="47">
        <f t="shared" si="1414"/>
        <v>0</v>
      </c>
      <c r="AG163" s="47">
        <f t="shared" si="1414"/>
        <v>0</v>
      </c>
      <c r="AH163" s="47">
        <f t="shared" si="1414"/>
        <v>0</v>
      </c>
      <c r="AI163" s="47">
        <f t="shared" si="1414"/>
        <v>0</v>
      </c>
      <c r="AJ163" s="47">
        <f t="shared" ref="AJ163" si="1415">SUM(AJ153:AJ162)</f>
        <v>0</v>
      </c>
      <c r="AK163" s="47">
        <f t="shared" si="1414"/>
        <v>0</v>
      </c>
      <c r="AL163" s="47">
        <f t="shared" ref="AL163" si="1416">SUM(AL153:AL162)</f>
        <v>0</v>
      </c>
      <c r="AM163" s="47">
        <f t="shared" si="1414"/>
        <v>0</v>
      </c>
      <c r="AN163" s="47">
        <f t="shared" si="1414"/>
        <v>0</v>
      </c>
      <c r="AO163" s="47">
        <f t="shared" si="1414"/>
        <v>0</v>
      </c>
      <c r="AP163" s="47">
        <f t="shared" ref="AP163" si="1417">SUM(AP153:AP162)</f>
        <v>0</v>
      </c>
      <c r="AQ163" s="47">
        <f t="shared" si="1414"/>
        <v>0</v>
      </c>
      <c r="AR163" s="47">
        <f t="shared" ref="AR163" si="1418">SUM(AR153:AR162)</f>
        <v>0</v>
      </c>
      <c r="AS163" s="47">
        <f t="shared" si="1414"/>
        <v>0</v>
      </c>
      <c r="AT163" s="47">
        <f t="shared" ref="AT163" si="1419">SUM(AT153:AT162)</f>
        <v>0</v>
      </c>
      <c r="AU163" s="47">
        <f t="shared" si="1414"/>
        <v>0</v>
      </c>
      <c r="AV163" s="47">
        <f t="shared" ref="AV163:AW163" si="1420">SUM(AV153:AV162)</f>
        <v>0</v>
      </c>
      <c r="AW163" s="47">
        <f t="shared" si="1420"/>
        <v>0</v>
      </c>
      <c r="AX163" s="47">
        <f t="shared" si="1414"/>
        <v>0</v>
      </c>
      <c r="AY163" s="47">
        <f t="shared" ref="AY163:AZ163" si="1421">SUM(AY153:AY162)</f>
        <v>0</v>
      </c>
      <c r="AZ163" s="47">
        <f t="shared" si="1421"/>
        <v>0</v>
      </c>
      <c r="BA163" s="47">
        <f t="shared" si="1414"/>
        <v>0</v>
      </c>
      <c r="BB163" s="47">
        <f t="shared" ref="BB163:BC163" si="1422">SUM(BB153:BB162)</f>
        <v>0</v>
      </c>
      <c r="BC163" s="47">
        <f t="shared" si="1422"/>
        <v>0</v>
      </c>
      <c r="BD163" s="47">
        <f t="shared" si="1414"/>
        <v>0</v>
      </c>
      <c r="BE163" s="47">
        <f t="shared" ref="BE163" si="1423">SUM(BE153:BE162)</f>
        <v>0</v>
      </c>
      <c r="BF163" s="47">
        <f t="shared" si="1414"/>
        <v>0</v>
      </c>
      <c r="BG163" s="47">
        <f t="shared" ref="BG163" si="1424">SUM(BG153:BG162)</f>
        <v>0</v>
      </c>
      <c r="BH163" s="47">
        <f t="shared" si="1414"/>
        <v>0</v>
      </c>
      <c r="BI163" s="47">
        <f t="shared" ref="BI163" si="1425">SUM(BI153:BI162)</f>
        <v>0</v>
      </c>
      <c r="BJ163" s="47">
        <f t="shared" si="1414"/>
        <v>0</v>
      </c>
      <c r="BK163" s="47">
        <f t="shared" ref="BK163" si="1426">SUM(BK153:BK162)</f>
        <v>0</v>
      </c>
      <c r="BL163" s="47">
        <f t="shared" si="1414"/>
        <v>0</v>
      </c>
      <c r="BM163" s="47">
        <f t="shared" ref="BM163:BN163" si="1427">SUM(BM153:BM162)</f>
        <v>0</v>
      </c>
      <c r="BN163" s="47">
        <f t="shared" si="1427"/>
        <v>0</v>
      </c>
      <c r="BO163" s="47">
        <f t="shared" si="1414"/>
        <v>0</v>
      </c>
      <c r="BP163" s="47">
        <f t="shared" ref="BP163" si="1428">SUM(BP153:BP162)</f>
        <v>0</v>
      </c>
      <c r="BQ163" s="47">
        <f t="shared" si="1414"/>
        <v>0</v>
      </c>
      <c r="BR163" s="47">
        <f t="shared" ref="BR163" si="1429">SUM(BR153:BR162)</f>
        <v>0</v>
      </c>
      <c r="BS163" s="47">
        <f t="shared" si="1414"/>
        <v>0</v>
      </c>
      <c r="BT163" s="47">
        <f t="shared" si="1414"/>
        <v>0</v>
      </c>
      <c r="BU163" s="47">
        <f t="shared" ref="BU163:BV163" si="1430">SUM(BU153:BU162)</f>
        <v>0</v>
      </c>
      <c r="BV163" s="47">
        <f t="shared" si="1430"/>
        <v>0</v>
      </c>
      <c r="BW163" s="47">
        <f t="shared" si="1414"/>
        <v>0</v>
      </c>
      <c r="BX163" s="47">
        <f t="shared" si="1414"/>
        <v>0</v>
      </c>
      <c r="BY163" s="47">
        <f t="shared" ref="BY163:BZ163" si="1431">SUM(BY153:BY162)</f>
        <v>0</v>
      </c>
      <c r="BZ163" s="47">
        <f t="shared" si="1431"/>
        <v>0</v>
      </c>
      <c r="CA163" s="47">
        <f t="shared" si="1414"/>
        <v>0</v>
      </c>
      <c r="CB163" s="47">
        <f t="shared" si="1414"/>
        <v>0</v>
      </c>
      <c r="CC163" s="47">
        <f t="shared" ref="CC163" si="1432">SUM(CC153:CC162)</f>
        <v>0</v>
      </c>
      <c r="CD163" s="47">
        <f t="shared" si="1414"/>
        <v>0</v>
      </c>
      <c r="CE163" s="47">
        <f t="shared" ref="CE163:CF163" si="1433">SUM(CE153:CE162)</f>
        <v>0</v>
      </c>
      <c r="CF163" s="47">
        <f t="shared" si="1433"/>
        <v>0</v>
      </c>
      <c r="CG163" s="47">
        <f t="shared" si="1414"/>
        <v>0</v>
      </c>
      <c r="CH163" s="47">
        <f t="shared" ref="CH163:CI163" si="1434">SUM(CH153:CH162)</f>
        <v>0</v>
      </c>
      <c r="CI163" s="47">
        <f t="shared" si="1434"/>
        <v>0</v>
      </c>
      <c r="CJ163" s="47">
        <f t="shared" si="1414"/>
        <v>0</v>
      </c>
      <c r="CK163" s="47">
        <f t="shared" ref="CK163:CM163" si="1435">SUM(CK153:CK162)</f>
        <v>0</v>
      </c>
      <c r="CL163" s="47">
        <f t="shared" ref="CL163" si="1436">SUM(CL153:CL162)</f>
        <v>0</v>
      </c>
      <c r="CM163" s="47">
        <f t="shared" si="1435"/>
        <v>0</v>
      </c>
      <c r="CN163" s="47">
        <f t="shared" si="1413"/>
        <v>0</v>
      </c>
      <c r="CO163" s="47">
        <f t="shared" ref="CO163:EZ163" si="1437">SUM(CO153:CO162)</f>
        <v>0</v>
      </c>
      <c r="CP163" s="47">
        <f t="shared" ref="CP163:DZ163" si="1438">SUM(CP153:CP162)</f>
        <v>0</v>
      </c>
      <c r="CQ163" s="47">
        <f t="shared" si="1438"/>
        <v>0</v>
      </c>
      <c r="CR163" s="47">
        <f t="shared" ref="CR163" si="1439">SUM(CR153:CR162)</f>
        <v>0</v>
      </c>
      <c r="CS163" s="47">
        <f t="shared" si="1438"/>
        <v>0</v>
      </c>
      <c r="CT163" s="47">
        <f t="shared" ref="CT163" si="1440">SUM(CT153:CT162)</f>
        <v>0</v>
      </c>
      <c r="CU163" s="47">
        <f t="shared" si="1438"/>
        <v>0</v>
      </c>
      <c r="CV163" s="47">
        <f t="shared" ref="CV163" si="1441">SUM(CV153:CV162)</f>
        <v>0</v>
      </c>
      <c r="CW163" s="47">
        <f t="shared" si="1438"/>
        <v>0</v>
      </c>
      <c r="CX163" s="47">
        <f t="shared" ref="CX163" si="1442">SUM(CX153:CX162)</f>
        <v>0</v>
      </c>
      <c r="CY163" s="47">
        <f t="shared" si="1438"/>
        <v>0</v>
      </c>
      <c r="CZ163" s="47">
        <f t="shared" ref="CZ163:DA163" si="1443">SUM(CZ153:CZ162)</f>
        <v>0</v>
      </c>
      <c r="DA163" s="47">
        <f t="shared" si="1443"/>
        <v>0</v>
      </c>
      <c r="DB163" s="47">
        <f t="shared" si="1438"/>
        <v>0</v>
      </c>
      <c r="DC163" s="47">
        <f t="shared" ref="DC163" si="1444">SUM(DC153:DC162)</f>
        <v>0</v>
      </c>
      <c r="DD163" s="47">
        <f t="shared" si="1438"/>
        <v>0</v>
      </c>
      <c r="DE163" s="47">
        <f t="shared" si="1438"/>
        <v>0</v>
      </c>
      <c r="DF163" s="47">
        <f t="shared" si="1438"/>
        <v>0</v>
      </c>
      <c r="DG163" s="47">
        <f t="shared" si="1438"/>
        <v>0</v>
      </c>
      <c r="DH163" s="47">
        <f t="shared" ref="DH163:DI163" si="1445">SUM(DH153:DH162)</f>
        <v>0</v>
      </c>
      <c r="DI163" s="47">
        <f t="shared" si="1445"/>
        <v>0</v>
      </c>
      <c r="DJ163" s="47">
        <f t="shared" si="1438"/>
        <v>0</v>
      </c>
      <c r="DK163" s="47">
        <f t="shared" si="1438"/>
        <v>0</v>
      </c>
      <c r="DL163" s="47">
        <f t="shared" ref="DL163:DQ163" si="1446">SUM(DL153:DL162)</f>
        <v>0</v>
      </c>
      <c r="DM163" s="47">
        <f t="shared" si="1446"/>
        <v>0</v>
      </c>
      <c r="DN163" s="47">
        <f t="shared" ref="DN163:DP163" si="1447">SUM(DN153:DN162)</f>
        <v>0</v>
      </c>
      <c r="DO163" s="47">
        <f t="shared" ref="DO163" si="1448">SUM(DO153:DO162)</f>
        <v>0</v>
      </c>
      <c r="DP163" s="47">
        <f t="shared" si="1447"/>
        <v>0</v>
      </c>
      <c r="DQ163" s="47">
        <f t="shared" si="1446"/>
        <v>0</v>
      </c>
      <c r="DR163" s="47">
        <f t="shared" si="1438"/>
        <v>0</v>
      </c>
      <c r="DS163" s="47">
        <f t="shared" ref="DS163" si="1449">SUM(DS153:DS162)</f>
        <v>0</v>
      </c>
      <c r="DT163" s="47">
        <f t="shared" si="1438"/>
        <v>0</v>
      </c>
      <c r="DU163" s="47">
        <f t="shared" ref="DU163:DV163" si="1450">SUM(DU153:DU162)</f>
        <v>0</v>
      </c>
      <c r="DV163" s="47">
        <f t="shared" si="1450"/>
        <v>0</v>
      </c>
      <c r="DW163" s="47">
        <f t="shared" si="1438"/>
        <v>0</v>
      </c>
      <c r="DX163" s="47">
        <f t="shared" ref="DX163:DY163" si="1451">SUM(DX153:DX162)</f>
        <v>0</v>
      </c>
      <c r="DY163" s="47">
        <f t="shared" si="1451"/>
        <v>0</v>
      </c>
      <c r="DZ163" s="47">
        <f t="shared" si="1438"/>
        <v>0</v>
      </c>
      <c r="EA163" s="47">
        <f t="shared" si="1437"/>
        <v>0</v>
      </c>
      <c r="EB163" s="47">
        <f t="shared" si="1437"/>
        <v>0</v>
      </c>
      <c r="EC163" s="47">
        <f t="shared" ref="EC163:ED163" si="1452">SUM(EC153:EC162)</f>
        <v>0</v>
      </c>
      <c r="ED163" s="47">
        <f t="shared" si="1452"/>
        <v>0</v>
      </c>
      <c r="EE163" s="47">
        <f t="shared" si="1437"/>
        <v>0</v>
      </c>
      <c r="EF163" s="47">
        <f t="shared" ref="EF163" si="1453">SUM(EF153:EF162)</f>
        <v>0</v>
      </c>
      <c r="EG163" s="47">
        <f t="shared" si="1437"/>
        <v>0</v>
      </c>
      <c r="EH163" s="47">
        <f t="shared" ref="EH163:EI163" si="1454">SUM(EH153:EH162)</f>
        <v>0</v>
      </c>
      <c r="EI163" s="47">
        <f t="shared" si="1454"/>
        <v>0</v>
      </c>
      <c r="EJ163" s="47">
        <f t="shared" si="1437"/>
        <v>0</v>
      </c>
      <c r="EK163" s="47">
        <f t="shared" ref="EK163:EL163" si="1455">SUM(EK153:EK162)</f>
        <v>0</v>
      </c>
      <c r="EL163" s="47">
        <f t="shared" si="1455"/>
        <v>0</v>
      </c>
      <c r="EM163" s="47">
        <f t="shared" si="1437"/>
        <v>0</v>
      </c>
      <c r="EN163" s="47">
        <f t="shared" si="1437"/>
        <v>0</v>
      </c>
      <c r="EO163" s="47">
        <f t="shared" si="1437"/>
        <v>0</v>
      </c>
      <c r="EP163" s="47">
        <f t="shared" ref="EP163" si="1456">SUM(EP153:EP162)</f>
        <v>0</v>
      </c>
      <c r="EQ163" s="47">
        <f t="shared" ref="EQ163:ER163" si="1457">SUM(EQ153:EQ162)</f>
        <v>0</v>
      </c>
      <c r="ER163" s="47">
        <f t="shared" si="1457"/>
        <v>0</v>
      </c>
      <c r="ES163" s="47">
        <f t="shared" si="1437"/>
        <v>0</v>
      </c>
      <c r="ET163" s="47">
        <f t="shared" ref="ET163:EW163" si="1458">SUM(ET153:ET162)</f>
        <v>0</v>
      </c>
      <c r="EU163" s="47">
        <f t="shared" ref="EU163:EV163" si="1459">SUM(EU153:EU162)</f>
        <v>0</v>
      </c>
      <c r="EV163" s="47">
        <f t="shared" si="1459"/>
        <v>0</v>
      </c>
      <c r="EW163" s="47">
        <f t="shared" si="1458"/>
        <v>0</v>
      </c>
      <c r="EX163" s="47">
        <f t="shared" si="1437"/>
        <v>0</v>
      </c>
      <c r="EY163" s="47">
        <f t="shared" si="1437"/>
        <v>0</v>
      </c>
      <c r="EZ163" s="47">
        <f t="shared" si="1437"/>
        <v>0</v>
      </c>
      <c r="FA163" s="47">
        <f t="shared" ref="FA163:GS163" si="1460">SUM(FA153:FA162)</f>
        <v>0</v>
      </c>
      <c r="FB163" s="47">
        <f t="shared" ref="FB163:FD163" si="1461">SUM(FB153:FB162)</f>
        <v>0</v>
      </c>
      <c r="FC163" s="47">
        <f t="shared" si="1461"/>
        <v>0</v>
      </c>
      <c r="FD163" s="47">
        <f t="shared" si="1461"/>
        <v>0</v>
      </c>
      <c r="FE163" s="47">
        <f t="shared" si="1460"/>
        <v>0</v>
      </c>
      <c r="FF163" s="47">
        <f t="shared" si="1460"/>
        <v>0</v>
      </c>
      <c r="FG163" s="47">
        <f t="shared" si="1460"/>
        <v>0</v>
      </c>
      <c r="FH163" s="47">
        <f t="shared" si="1460"/>
        <v>0</v>
      </c>
      <c r="FI163" s="47">
        <f t="shared" si="1460"/>
        <v>0</v>
      </c>
      <c r="FJ163" s="47">
        <f t="shared" ref="FJ163:FK163" si="1462">SUM(FJ153:FJ162)</f>
        <v>0</v>
      </c>
      <c r="FK163" s="47">
        <f t="shared" si="1462"/>
        <v>0</v>
      </c>
      <c r="FL163" s="47">
        <f t="shared" ref="FL163" si="1463">SUM(FL153:FL162)</f>
        <v>0</v>
      </c>
      <c r="FM163" s="47">
        <f t="shared" si="1460"/>
        <v>0</v>
      </c>
      <c r="FN163" s="47">
        <f t="shared" si="1460"/>
        <v>0</v>
      </c>
      <c r="FO163" s="47">
        <f t="shared" ref="FO163:FS163" si="1464">SUM(FO153:FO162)</f>
        <v>0</v>
      </c>
      <c r="FP163" s="47">
        <f t="shared" si="1464"/>
        <v>0</v>
      </c>
      <c r="FQ163" s="47">
        <f t="shared" ref="FQ163:FR163" si="1465">SUM(FQ153:FQ162)</f>
        <v>0</v>
      </c>
      <c r="FR163" s="47">
        <f t="shared" si="1465"/>
        <v>0</v>
      </c>
      <c r="FS163" s="47">
        <f t="shared" si="1464"/>
        <v>0</v>
      </c>
      <c r="FT163" s="47">
        <f t="shared" si="1460"/>
        <v>0</v>
      </c>
      <c r="FU163" s="47">
        <f t="shared" ref="FU163" si="1466">SUM(FU153:FU162)</f>
        <v>0</v>
      </c>
      <c r="FV163" s="47">
        <f t="shared" si="1460"/>
        <v>0</v>
      </c>
      <c r="FW163" s="47">
        <f t="shared" ref="FW163:GA163" si="1467">SUM(FW153:FW162)</f>
        <v>0</v>
      </c>
      <c r="FX163" s="47">
        <f t="shared" si="1467"/>
        <v>0</v>
      </c>
      <c r="FY163" s="47">
        <f t="shared" ref="FY163:FZ163" si="1468">SUM(FY153:FY162)</f>
        <v>0</v>
      </c>
      <c r="FZ163" s="47">
        <f t="shared" si="1468"/>
        <v>0</v>
      </c>
      <c r="GA163" s="47">
        <f t="shared" si="1467"/>
        <v>0</v>
      </c>
      <c r="GB163" s="47">
        <f t="shared" si="1460"/>
        <v>0</v>
      </c>
      <c r="GC163" s="47">
        <f t="shared" ref="GC163:GJ163" si="1469">SUM(GC153:GC162)</f>
        <v>0</v>
      </c>
      <c r="GD163" s="47">
        <f t="shared" si="1469"/>
        <v>0</v>
      </c>
      <c r="GE163" s="47">
        <f t="shared" si="1469"/>
        <v>0</v>
      </c>
      <c r="GF163" s="47">
        <f t="shared" si="1469"/>
        <v>0</v>
      </c>
      <c r="GG163" s="47">
        <f t="shared" si="1469"/>
        <v>0</v>
      </c>
      <c r="GH163" s="47">
        <f t="shared" ref="GH163:GI163" si="1470">SUM(GH153:GH162)</f>
        <v>0</v>
      </c>
      <c r="GI163" s="47">
        <f t="shared" si="1470"/>
        <v>0</v>
      </c>
      <c r="GJ163" s="47">
        <f t="shared" si="1469"/>
        <v>0</v>
      </c>
      <c r="GK163" s="47">
        <f t="shared" si="1460"/>
        <v>0</v>
      </c>
      <c r="GL163" s="47">
        <f t="shared" ref="GL163" si="1471">SUM(GL153:GL162)</f>
        <v>0</v>
      </c>
      <c r="GM163" s="47">
        <f t="shared" si="1460"/>
        <v>0</v>
      </c>
      <c r="GN163" s="47">
        <f t="shared" ref="GN163:GR163" si="1472">SUM(GN153:GN162)</f>
        <v>0</v>
      </c>
      <c r="GO163" s="47">
        <f t="shared" si="1472"/>
        <v>0</v>
      </c>
      <c r="GP163" s="47">
        <f t="shared" ref="GP163:GQ163" si="1473">SUM(GP153:GP162)</f>
        <v>0</v>
      </c>
      <c r="GQ163" s="47">
        <f t="shared" si="1473"/>
        <v>0</v>
      </c>
      <c r="GR163" s="47">
        <f t="shared" si="1472"/>
        <v>0</v>
      </c>
      <c r="GS163" s="47">
        <f t="shared" si="1460"/>
        <v>0</v>
      </c>
      <c r="GT163" s="47">
        <f t="shared" si="1412"/>
        <v>0</v>
      </c>
    </row>
    <row r="169" spans="5:202" x14ac:dyDescent="0.3">
      <c r="E169" s="65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 spans="5:202" x14ac:dyDescent="0.3"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spans="5:202" x14ac:dyDescent="0.3"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spans="5:202" x14ac:dyDescent="0.3"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E172" s="67"/>
    </row>
    <row r="173" spans="5:202" x14ac:dyDescent="0.3"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5" spans="5:202" x14ac:dyDescent="0.3"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</row>
    <row r="176" spans="5:202" x14ac:dyDescent="0.3"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</row>
  </sheetData>
  <mergeCells count="20">
    <mergeCell ref="GU118:GW118"/>
    <mergeCell ref="GU119:GW119"/>
    <mergeCell ref="GU120:GW120"/>
    <mergeCell ref="GU121:GW121"/>
    <mergeCell ref="B6:B22"/>
    <mergeCell ref="GU116:GW116"/>
    <mergeCell ref="GU65:GW65"/>
    <mergeCell ref="GU66:GW66"/>
    <mergeCell ref="GU69:GW69"/>
    <mergeCell ref="GU70:GW70"/>
    <mergeCell ref="B100:B128"/>
    <mergeCell ref="F51:GT51"/>
    <mergeCell ref="F102:GT102"/>
    <mergeCell ref="B49:B73"/>
    <mergeCell ref="GU122:GW122"/>
    <mergeCell ref="GU123:GW123"/>
    <mergeCell ref="GU124:GW124"/>
    <mergeCell ref="GU125:GW125"/>
    <mergeCell ref="GU126:GW126"/>
    <mergeCell ref="GU117:GW117"/>
  </mergeCells>
  <conditionalFormatting sqref="F117:GT117">
    <cfRule type="cellIs" dxfId="29" priority="17" operator="greaterThanOrEqual">
      <formula>MAX($F$117:$GT$117)</formula>
    </cfRule>
  </conditionalFormatting>
  <conditionalFormatting sqref="F118:GT118">
    <cfRule type="cellIs" dxfId="28" priority="11" operator="greaterThanOrEqual">
      <formula>MAX($F$118:$GT$118)</formula>
    </cfRule>
  </conditionalFormatting>
  <conditionalFormatting sqref="F119:GT119">
    <cfRule type="cellIs" dxfId="27" priority="10" operator="greaterThanOrEqual">
      <formula>MAX($F$119:$GT$119)</formula>
    </cfRule>
  </conditionalFormatting>
  <conditionalFormatting sqref="F120:GT120">
    <cfRule type="cellIs" dxfId="26" priority="9" operator="greaterThanOrEqual">
      <formula>MAX($F$120:$GT$120)</formula>
    </cfRule>
  </conditionalFormatting>
  <conditionalFormatting sqref="F121:GT121">
    <cfRule type="cellIs" dxfId="25" priority="8" operator="greaterThanOrEqual">
      <formula>MAX($F$121:$GT$121)</formula>
    </cfRule>
  </conditionalFormatting>
  <conditionalFormatting sqref="F122:GT122">
    <cfRule type="cellIs" dxfId="24" priority="7" operator="greaterThanOrEqual">
      <formula>MAX($F$122:$GT$122)</formula>
    </cfRule>
  </conditionalFormatting>
  <conditionalFormatting sqref="F123:GT123">
    <cfRule type="cellIs" dxfId="23" priority="6" operator="greaterThanOrEqual">
      <formula>MAX($F$123:$GT$123)</formula>
    </cfRule>
  </conditionalFormatting>
  <conditionalFormatting sqref="F124:GT124">
    <cfRule type="cellIs" dxfId="22" priority="5" operator="greaterThanOrEqual">
      <formula>MAX($F$124:$GT$124)</formula>
    </cfRule>
  </conditionalFormatting>
  <conditionalFormatting sqref="F125:GT125">
    <cfRule type="cellIs" dxfId="21" priority="4" operator="greaterThanOrEqual">
      <formula>MAX($F$125:$GT$125)</formula>
    </cfRule>
  </conditionalFormatting>
  <conditionalFormatting sqref="F126:GT126">
    <cfRule type="cellIs" dxfId="20" priority="3" operator="greaterThanOrEqual">
      <formula>MAX($F$126:$GT$126)</formula>
    </cfRule>
  </conditionalFormatting>
  <conditionalFormatting sqref="R153:GT162">
    <cfRule type="colorScale" priority="2">
      <colorScale>
        <cfvo type="min"/>
        <cfvo type="percentile" val="50"/>
        <cfvo type="num" val="39"/>
        <color theme="5" tint="0.59999389629810485"/>
        <color theme="0"/>
        <color theme="6" tint="0.59999389629810485"/>
      </colorScale>
    </cfRule>
  </conditionalFormatting>
  <conditionalFormatting sqref="GY117:GY126">
    <cfRule type="colorScale" priority="1">
      <colorScale>
        <cfvo type="min"/>
        <cfvo type="percentile" val="50"/>
        <cfvo type="max"/>
        <color theme="5" tint="0.59999389629810485"/>
        <color theme="0" tint="-4.9989318521683403E-2"/>
        <color theme="4" tint="0.79998168889431442"/>
      </colorScale>
    </cfRule>
  </conditionalFormatting>
  <pageMargins left="0.7" right="0.7" top="0.75" bottom="0.75" header="0.3" footer="0.3"/>
  <pageSetup orientation="portrait" horizontalDpi="300" verticalDpi="300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high="1" xr2:uid="{D67B8C69-BD98-499D-83AA-03B35435AB3E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Comportamiento!EE117:GT117</xm:f>
              <xm:sqref>GU117</xm:sqref>
            </x14:sparkline>
            <x14:sparkline>
              <xm:f>Comportamiento!EE118:GT118</xm:f>
              <xm:sqref>GU118</xm:sqref>
            </x14:sparkline>
            <x14:sparkline>
              <xm:f>Comportamiento!EE119:GT119</xm:f>
              <xm:sqref>GU119</xm:sqref>
            </x14:sparkline>
            <x14:sparkline>
              <xm:f>Comportamiento!EE120:GT120</xm:f>
              <xm:sqref>GU120</xm:sqref>
            </x14:sparkline>
            <x14:sparkline>
              <xm:f>Comportamiento!EE121:GT121</xm:f>
              <xm:sqref>GU121</xm:sqref>
            </x14:sparkline>
            <x14:sparkline>
              <xm:f>Comportamiento!EE122:GT122</xm:f>
              <xm:sqref>GU122</xm:sqref>
            </x14:sparkline>
            <x14:sparkline>
              <xm:f>Comportamiento!EE123:GT123</xm:f>
              <xm:sqref>GU123</xm:sqref>
            </x14:sparkline>
            <x14:sparkline>
              <xm:f>Comportamiento!EE124:GT124</xm:f>
              <xm:sqref>GU124</xm:sqref>
            </x14:sparkline>
            <x14:sparkline>
              <xm:f>Comportamiento!EE125:GT125</xm:f>
              <xm:sqref>GU125</xm:sqref>
            </x14:sparkline>
            <x14:sparkline>
              <xm:f>Comportamiento!EE126:GT126</xm:f>
              <xm:sqref>GU126</xm:sqref>
            </x14:sparkline>
          </x14:sparklines>
        </x14:sparklineGroup>
        <x14:sparklineGroup type="column" displayEmptyCellsAs="span" high="1" xr2:uid="{C95F70D5-93A1-4BB3-8B47-255E7B89A046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Comportamiento!EE66:GT66</xm:f>
              <xm:sqref>GU66</xm:sqref>
            </x14:sparkline>
          </x14:sparklines>
        </x14:sparklineGroup>
        <x14:sparklineGroup type="column" displayEmptyCellsAs="span" high="1" xr2:uid="{57E45BB4-DCEF-4B8C-837E-5E29244C4B39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Comportamiento!EE70:GT70</xm:f>
              <xm:sqref>GU70</xm:sqref>
            </x14:sparkline>
          </x14:sparklines>
        </x14:sparklineGroup>
        <x14:sparklineGroup type="column" displayEmptyCellsAs="span" high="1" xr2:uid="{274DFE28-BB1D-475A-B165-53DF45E767E0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Comportamiento!EE69:GT69</xm:f>
              <xm:sqref>GU69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1941-52B4-49EE-A4B4-95CC2A9F124E}">
  <dimension ref="A1:DN176"/>
  <sheetViews>
    <sheetView showGridLines="0" zoomScaleNormal="100" workbookViewId="0">
      <pane xSplit="5" topLeftCell="BN1" activePane="topRight" state="frozen"/>
      <selection pane="topRight" activeCell="BO19" sqref="BO19"/>
    </sheetView>
  </sheetViews>
  <sheetFormatPr defaultRowHeight="14.4" outlineLevelRow="1" x14ac:dyDescent="0.3"/>
  <cols>
    <col min="1" max="1" width="3.21875" style="21" customWidth="1"/>
    <col min="2" max="2" width="5.77734375" style="21" customWidth="1"/>
    <col min="3" max="4" width="1.88671875" style="21" customWidth="1"/>
    <col min="5" max="5" width="14.77734375" style="21" customWidth="1"/>
    <col min="6" max="108" width="12" style="21" customWidth="1"/>
    <col min="109" max="109" width="9.44140625" style="21" bestFit="1" customWidth="1"/>
    <col min="110" max="111" width="8.88671875" style="21" customWidth="1"/>
    <col min="112" max="16384" width="8.88671875" style="21"/>
  </cols>
  <sheetData>
    <row r="1" spans="1:118" ht="15.6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5"/>
      <c r="DH1" s="25"/>
      <c r="DN1" s="27"/>
    </row>
    <row r="2" spans="1:118" ht="36" customHeight="1" x14ac:dyDescent="0.3">
      <c r="A2" s="24"/>
      <c r="B2" s="24"/>
      <c r="C2" s="24"/>
      <c r="D2" s="24"/>
      <c r="E2" s="24"/>
      <c r="F2" s="24"/>
      <c r="G2" s="24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5"/>
      <c r="DF2" s="25"/>
      <c r="DG2" s="25"/>
      <c r="DH2" s="25"/>
      <c r="DN2" s="27"/>
    </row>
    <row r="3" spans="1:118" ht="19.2" customHeight="1" x14ac:dyDescent="0.3">
      <c r="A3" s="24"/>
      <c r="B3" s="24"/>
      <c r="C3" s="24"/>
      <c r="D3" s="24"/>
      <c r="E3" s="24"/>
      <c r="F3" s="24"/>
      <c r="G3" s="24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5"/>
      <c r="DF3" s="25"/>
      <c r="DG3" s="25"/>
      <c r="DH3" s="25"/>
      <c r="DN3" s="27"/>
    </row>
    <row r="4" spans="1:118" ht="7.8" customHeight="1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5"/>
      <c r="DH4" s="25"/>
      <c r="DN4" s="27"/>
    </row>
    <row r="5" spans="1:118" ht="15.6" x14ac:dyDescent="0.3">
      <c r="DG5" s="28"/>
      <c r="DH5" s="28"/>
      <c r="DN5" s="27"/>
    </row>
    <row r="6" spans="1:118" ht="14.4" customHeight="1" x14ac:dyDescent="0.3">
      <c r="B6" s="75" t="s">
        <v>16</v>
      </c>
    </row>
    <row r="7" spans="1:118" x14ac:dyDescent="0.3">
      <c r="B7" s="75"/>
    </row>
    <row r="8" spans="1:118" x14ac:dyDescent="0.3">
      <c r="B8" s="75"/>
    </row>
    <row r="9" spans="1:118" x14ac:dyDescent="0.3">
      <c r="B9" s="75"/>
      <c r="E9" s="1"/>
      <c r="F9" s="11">
        <f t="shared" ref="F9:BQ9" si="0">F10</f>
        <v>45247</v>
      </c>
      <c r="G9" s="11">
        <f t="shared" si="0"/>
        <v>45248</v>
      </c>
      <c r="H9" s="11">
        <f t="shared" si="0"/>
        <v>45249</v>
      </c>
      <c r="I9" s="11">
        <f t="shared" si="0"/>
        <v>45250</v>
      </c>
      <c r="J9" s="11">
        <f t="shared" si="0"/>
        <v>45251</v>
      </c>
      <c r="K9" s="11">
        <f t="shared" si="0"/>
        <v>45252</v>
      </c>
      <c r="L9" s="11">
        <f t="shared" si="0"/>
        <v>45253</v>
      </c>
      <c r="M9" s="11">
        <f t="shared" si="0"/>
        <v>45254</v>
      </c>
      <c r="N9" s="11">
        <f t="shared" si="0"/>
        <v>45255</v>
      </c>
      <c r="O9" s="11">
        <f t="shared" si="0"/>
        <v>45256</v>
      </c>
      <c r="P9" s="11">
        <f t="shared" si="0"/>
        <v>45257</v>
      </c>
      <c r="Q9" s="11">
        <f t="shared" si="0"/>
        <v>45258</v>
      </c>
      <c r="R9" s="11">
        <f t="shared" si="0"/>
        <v>45259</v>
      </c>
      <c r="S9" s="11">
        <f t="shared" si="0"/>
        <v>45260</v>
      </c>
      <c r="T9" s="11">
        <f t="shared" si="0"/>
        <v>45261</v>
      </c>
      <c r="U9" s="11">
        <f t="shared" si="0"/>
        <v>45262</v>
      </c>
      <c r="V9" s="11">
        <f t="shared" si="0"/>
        <v>45263</v>
      </c>
      <c r="W9" s="11">
        <f t="shared" si="0"/>
        <v>45264</v>
      </c>
      <c r="X9" s="11">
        <f t="shared" si="0"/>
        <v>45265</v>
      </c>
      <c r="Y9" s="11">
        <f t="shared" si="0"/>
        <v>45266</v>
      </c>
      <c r="Z9" s="11">
        <f t="shared" si="0"/>
        <v>45267</v>
      </c>
      <c r="AA9" s="11">
        <f t="shared" si="0"/>
        <v>45268</v>
      </c>
      <c r="AB9" s="11">
        <f t="shared" si="0"/>
        <v>45269</v>
      </c>
      <c r="AC9" s="11">
        <f t="shared" si="0"/>
        <v>45270</v>
      </c>
      <c r="AD9" s="11">
        <f t="shared" si="0"/>
        <v>45271</v>
      </c>
      <c r="AE9" s="11">
        <f t="shared" si="0"/>
        <v>45272</v>
      </c>
      <c r="AF9" s="11">
        <f t="shared" si="0"/>
        <v>45273</v>
      </c>
      <c r="AG9" s="11">
        <f t="shared" si="0"/>
        <v>45274</v>
      </c>
      <c r="AH9" s="11">
        <f t="shared" si="0"/>
        <v>45275</v>
      </c>
      <c r="AI9" s="11">
        <f t="shared" si="0"/>
        <v>45276</v>
      </c>
      <c r="AJ9" s="11">
        <f t="shared" si="0"/>
        <v>45277</v>
      </c>
      <c r="AK9" s="11">
        <f t="shared" si="0"/>
        <v>45278</v>
      </c>
      <c r="AL9" s="11">
        <f t="shared" si="0"/>
        <v>45279</v>
      </c>
      <c r="AM9" s="11">
        <f t="shared" si="0"/>
        <v>45280</v>
      </c>
      <c r="AN9" s="11">
        <f t="shared" si="0"/>
        <v>45281</v>
      </c>
      <c r="AO9" s="11">
        <f t="shared" si="0"/>
        <v>45282</v>
      </c>
      <c r="AP9" s="11">
        <f t="shared" si="0"/>
        <v>45283</v>
      </c>
      <c r="AQ9" s="11">
        <f t="shared" si="0"/>
        <v>45284</v>
      </c>
      <c r="AR9" s="11">
        <f t="shared" si="0"/>
        <v>45285</v>
      </c>
      <c r="AS9" s="11">
        <f t="shared" si="0"/>
        <v>45286</v>
      </c>
      <c r="AT9" s="11">
        <f t="shared" si="0"/>
        <v>45287</v>
      </c>
      <c r="AU9" s="11">
        <f t="shared" si="0"/>
        <v>45288</v>
      </c>
      <c r="AV9" s="11">
        <f t="shared" si="0"/>
        <v>45289</v>
      </c>
      <c r="AW9" s="11">
        <f t="shared" si="0"/>
        <v>45290</v>
      </c>
      <c r="AX9" s="11">
        <f t="shared" si="0"/>
        <v>45291</v>
      </c>
      <c r="AY9" s="11">
        <f t="shared" si="0"/>
        <v>45292</v>
      </c>
      <c r="AZ9" s="11">
        <f t="shared" si="0"/>
        <v>45293</v>
      </c>
      <c r="BA9" s="11">
        <f t="shared" si="0"/>
        <v>45294</v>
      </c>
      <c r="BB9" s="11">
        <f t="shared" si="0"/>
        <v>45295</v>
      </c>
      <c r="BC9" s="11">
        <f t="shared" si="0"/>
        <v>45296</v>
      </c>
      <c r="BD9" s="11">
        <f t="shared" si="0"/>
        <v>45297</v>
      </c>
      <c r="BE9" s="11">
        <f t="shared" si="0"/>
        <v>45298</v>
      </c>
      <c r="BF9" s="11">
        <f t="shared" si="0"/>
        <v>45299</v>
      </c>
      <c r="BG9" s="11">
        <f t="shared" si="0"/>
        <v>45300</v>
      </c>
      <c r="BH9" s="11">
        <f t="shared" si="0"/>
        <v>45301</v>
      </c>
      <c r="BI9" s="11">
        <f t="shared" si="0"/>
        <v>45302</v>
      </c>
      <c r="BJ9" s="11">
        <f t="shared" si="0"/>
        <v>45303</v>
      </c>
      <c r="BK9" s="11">
        <f t="shared" si="0"/>
        <v>45304</v>
      </c>
      <c r="BL9" s="11">
        <f t="shared" si="0"/>
        <v>45305</v>
      </c>
      <c r="BM9" s="11">
        <f t="shared" si="0"/>
        <v>45306</v>
      </c>
      <c r="BN9" s="11">
        <f t="shared" si="0"/>
        <v>45307</v>
      </c>
      <c r="BO9" s="11">
        <f t="shared" si="0"/>
        <v>45308</v>
      </c>
      <c r="BP9" s="11">
        <f t="shared" si="0"/>
        <v>45309</v>
      </c>
      <c r="BQ9" s="11">
        <f t="shared" si="0"/>
        <v>45310</v>
      </c>
      <c r="BR9" s="11">
        <f t="shared" ref="BR9:DD9" si="1">BR10</f>
        <v>45311</v>
      </c>
      <c r="BS9" s="11">
        <f t="shared" si="1"/>
        <v>45312</v>
      </c>
      <c r="BT9" s="11">
        <f t="shared" si="1"/>
        <v>45313</v>
      </c>
      <c r="BU9" s="11">
        <f t="shared" si="1"/>
        <v>45314</v>
      </c>
      <c r="BV9" s="11">
        <f t="shared" si="1"/>
        <v>45315</v>
      </c>
      <c r="BW9" s="11">
        <f t="shared" si="1"/>
        <v>45316</v>
      </c>
      <c r="BX9" s="11">
        <f t="shared" si="1"/>
        <v>45317</v>
      </c>
      <c r="BY9" s="11">
        <f t="shared" si="1"/>
        <v>45318</v>
      </c>
      <c r="BZ9" s="11">
        <f t="shared" si="1"/>
        <v>45319</v>
      </c>
      <c r="CA9" s="11">
        <f t="shared" si="1"/>
        <v>45320</v>
      </c>
      <c r="CB9" s="11">
        <f t="shared" si="1"/>
        <v>45321</v>
      </c>
      <c r="CC9" s="11">
        <f t="shared" si="1"/>
        <v>45322</v>
      </c>
      <c r="CD9" s="11">
        <f t="shared" si="1"/>
        <v>45323</v>
      </c>
      <c r="CE9" s="11">
        <f t="shared" si="1"/>
        <v>45324</v>
      </c>
      <c r="CF9" s="11">
        <f t="shared" si="1"/>
        <v>45325</v>
      </c>
      <c r="CG9" s="11">
        <f t="shared" si="1"/>
        <v>45326</v>
      </c>
      <c r="CH9" s="11">
        <f t="shared" si="1"/>
        <v>45327</v>
      </c>
      <c r="CI9" s="11">
        <f t="shared" si="1"/>
        <v>45328</v>
      </c>
      <c r="CJ9" s="11">
        <f t="shared" si="1"/>
        <v>45329</v>
      </c>
      <c r="CK9" s="11">
        <f t="shared" si="1"/>
        <v>45330</v>
      </c>
      <c r="CL9" s="11">
        <f t="shared" si="1"/>
        <v>45331</v>
      </c>
      <c r="CM9" s="11">
        <f t="shared" si="1"/>
        <v>45332</v>
      </c>
      <c r="CN9" s="11">
        <f t="shared" si="1"/>
        <v>45333</v>
      </c>
      <c r="CO9" s="11">
        <f t="shared" si="1"/>
        <v>45334</v>
      </c>
      <c r="CP9" s="11">
        <f t="shared" si="1"/>
        <v>45335</v>
      </c>
      <c r="CQ9" s="11">
        <f t="shared" si="1"/>
        <v>45336</v>
      </c>
      <c r="CR9" s="11">
        <f t="shared" si="1"/>
        <v>45337</v>
      </c>
      <c r="CS9" s="11">
        <f t="shared" si="1"/>
        <v>45338</v>
      </c>
      <c r="CT9" s="11">
        <f t="shared" si="1"/>
        <v>45339</v>
      </c>
      <c r="CU9" s="11">
        <f t="shared" si="1"/>
        <v>45340</v>
      </c>
      <c r="CV9" s="11">
        <f t="shared" si="1"/>
        <v>45341</v>
      </c>
      <c r="CW9" s="11">
        <f t="shared" si="1"/>
        <v>45342</v>
      </c>
      <c r="CX9" s="11">
        <f t="shared" si="1"/>
        <v>45343</v>
      </c>
      <c r="CY9" s="11">
        <f t="shared" si="1"/>
        <v>45344</v>
      </c>
      <c r="CZ9" s="11">
        <f t="shared" si="1"/>
        <v>45345</v>
      </c>
      <c r="DA9" s="11">
        <f t="shared" si="1"/>
        <v>45346</v>
      </c>
      <c r="DB9" s="11">
        <f t="shared" si="1"/>
        <v>45347</v>
      </c>
      <c r="DC9" s="11">
        <f t="shared" si="1"/>
        <v>45348</v>
      </c>
      <c r="DD9" s="11">
        <f t="shared" si="1"/>
        <v>45349</v>
      </c>
    </row>
    <row r="10" spans="1:118" x14ac:dyDescent="0.3">
      <c r="B10" s="75"/>
      <c r="E10" s="1"/>
      <c r="F10" s="20">
        <v>45247</v>
      </c>
      <c r="G10" s="20">
        <f t="shared" ref="G10:BR10" si="2">F10+1</f>
        <v>45248</v>
      </c>
      <c r="H10" s="20">
        <f t="shared" si="2"/>
        <v>45249</v>
      </c>
      <c r="I10" s="20">
        <f t="shared" si="2"/>
        <v>45250</v>
      </c>
      <c r="J10" s="20">
        <f t="shared" si="2"/>
        <v>45251</v>
      </c>
      <c r="K10" s="20">
        <f t="shared" si="2"/>
        <v>45252</v>
      </c>
      <c r="L10" s="20">
        <f t="shared" si="2"/>
        <v>45253</v>
      </c>
      <c r="M10" s="20">
        <f t="shared" si="2"/>
        <v>45254</v>
      </c>
      <c r="N10" s="20">
        <f t="shared" si="2"/>
        <v>45255</v>
      </c>
      <c r="O10" s="20">
        <f t="shared" si="2"/>
        <v>45256</v>
      </c>
      <c r="P10" s="20">
        <f t="shared" si="2"/>
        <v>45257</v>
      </c>
      <c r="Q10" s="20">
        <f t="shared" si="2"/>
        <v>45258</v>
      </c>
      <c r="R10" s="20">
        <f t="shared" si="2"/>
        <v>45259</v>
      </c>
      <c r="S10" s="20">
        <f t="shared" si="2"/>
        <v>45260</v>
      </c>
      <c r="T10" s="20">
        <f t="shared" si="2"/>
        <v>45261</v>
      </c>
      <c r="U10" s="20">
        <f t="shared" si="2"/>
        <v>45262</v>
      </c>
      <c r="V10" s="20">
        <f t="shared" si="2"/>
        <v>45263</v>
      </c>
      <c r="W10" s="20">
        <f t="shared" si="2"/>
        <v>45264</v>
      </c>
      <c r="X10" s="20">
        <f t="shared" si="2"/>
        <v>45265</v>
      </c>
      <c r="Y10" s="20">
        <f t="shared" si="2"/>
        <v>45266</v>
      </c>
      <c r="Z10" s="20">
        <f t="shared" si="2"/>
        <v>45267</v>
      </c>
      <c r="AA10" s="20">
        <f t="shared" si="2"/>
        <v>45268</v>
      </c>
      <c r="AB10" s="20">
        <f t="shared" si="2"/>
        <v>45269</v>
      </c>
      <c r="AC10" s="20">
        <f t="shared" si="2"/>
        <v>45270</v>
      </c>
      <c r="AD10" s="20">
        <f t="shared" si="2"/>
        <v>45271</v>
      </c>
      <c r="AE10" s="20">
        <f t="shared" si="2"/>
        <v>45272</v>
      </c>
      <c r="AF10" s="20">
        <f t="shared" si="2"/>
        <v>45273</v>
      </c>
      <c r="AG10" s="20">
        <f t="shared" si="2"/>
        <v>45274</v>
      </c>
      <c r="AH10" s="20">
        <f t="shared" si="2"/>
        <v>45275</v>
      </c>
      <c r="AI10" s="20">
        <f t="shared" si="2"/>
        <v>45276</v>
      </c>
      <c r="AJ10" s="20">
        <f t="shared" si="2"/>
        <v>45277</v>
      </c>
      <c r="AK10" s="20">
        <f t="shared" si="2"/>
        <v>45278</v>
      </c>
      <c r="AL10" s="20">
        <f t="shared" si="2"/>
        <v>45279</v>
      </c>
      <c r="AM10" s="20">
        <f t="shared" si="2"/>
        <v>45280</v>
      </c>
      <c r="AN10" s="20">
        <f t="shared" si="2"/>
        <v>45281</v>
      </c>
      <c r="AO10" s="20">
        <f t="shared" si="2"/>
        <v>45282</v>
      </c>
      <c r="AP10" s="20">
        <f t="shared" si="2"/>
        <v>45283</v>
      </c>
      <c r="AQ10" s="20">
        <f t="shared" si="2"/>
        <v>45284</v>
      </c>
      <c r="AR10" s="20">
        <f t="shared" si="2"/>
        <v>45285</v>
      </c>
      <c r="AS10" s="20">
        <f t="shared" si="2"/>
        <v>45286</v>
      </c>
      <c r="AT10" s="20">
        <f t="shared" si="2"/>
        <v>45287</v>
      </c>
      <c r="AU10" s="20">
        <f t="shared" si="2"/>
        <v>45288</v>
      </c>
      <c r="AV10" s="20">
        <f t="shared" si="2"/>
        <v>45289</v>
      </c>
      <c r="AW10" s="20">
        <f t="shared" si="2"/>
        <v>45290</v>
      </c>
      <c r="AX10" s="20">
        <f t="shared" si="2"/>
        <v>45291</v>
      </c>
      <c r="AY10" s="20">
        <f t="shared" si="2"/>
        <v>45292</v>
      </c>
      <c r="AZ10" s="20">
        <f t="shared" si="2"/>
        <v>45293</v>
      </c>
      <c r="BA10" s="20">
        <f t="shared" si="2"/>
        <v>45294</v>
      </c>
      <c r="BB10" s="20">
        <f t="shared" si="2"/>
        <v>45295</v>
      </c>
      <c r="BC10" s="20">
        <f t="shared" si="2"/>
        <v>45296</v>
      </c>
      <c r="BD10" s="20">
        <f t="shared" si="2"/>
        <v>45297</v>
      </c>
      <c r="BE10" s="20">
        <f t="shared" si="2"/>
        <v>45298</v>
      </c>
      <c r="BF10" s="20">
        <f t="shared" si="2"/>
        <v>45299</v>
      </c>
      <c r="BG10" s="20">
        <f t="shared" si="2"/>
        <v>45300</v>
      </c>
      <c r="BH10" s="20">
        <f t="shared" si="2"/>
        <v>45301</v>
      </c>
      <c r="BI10" s="20">
        <f t="shared" si="2"/>
        <v>45302</v>
      </c>
      <c r="BJ10" s="20">
        <f t="shared" si="2"/>
        <v>45303</v>
      </c>
      <c r="BK10" s="20">
        <f t="shared" si="2"/>
        <v>45304</v>
      </c>
      <c r="BL10" s="20">
        <f t="shared" si="2"/>
        <v>45305</v>
      </c>
      <c r="BM10" s="20">
        <f t="shared" si="2"/>
        <v>45306</v>
      </c>
      <c r="BN10" s="20">
        <f t="shared" si="2"/>
        <v>45307</v>
      </c>
      <c r="BO10" s="20">
        <f t="shared" si="2"/>
        <v>45308</v>
      </c>
      <c r="BP10" s="20">
        <f t="shared" si="2"/>
        <v>45309</v>
      </c>
      <c r="BQ10" s="20">
        <f t="shared" si="2"/>
        <v>45310</v>
      </c>
      <c r="BR10" s="20">
        <f t="shared" si="2"/>
        <v>45311</v>
      </c>
      <c r="BS10" s="20">
        <f t="shared" ref="BS10:DD10" si="3">BR10+1</f>
        <v>45312</v>
      </c>
      <c r="BT10" s="20">
        <f t="shared" si="3"/>
        <v>45313</v>
      </c>
      <c r="BU10" s="20">
        <f t="shared" si="3"/>
        <v>45314</v>
      </c>
      <c r="BV10" s="20">
        <f t="shared" si="3"/>
        <v>45315</v>
      </c>
      <c r="BW10" s="20">
        <f t="shared" si="3"/>
        <v>45316</v>
      </c>
      <c r="BX10" s="20">
        <f t="shared" si="3"/>
        <v>45317</v>
      </c>
      <c r="BY10" s="20">
        <f t="shared" si="3"/>
        <v>45318</v>
      </c>
      <c r="BZ10" s="20">
        <f t="shared" si="3"/>
        <v>45319</v>
      </c>
      <c r="CA10" s="20">
        <f t="shared" si="3"/>
        <v>45320</v>
      </c>
      <c r="CB10" s="20">
        <f t="shared" si="3"/>
        <v>45321</v>
      </c>
      <c r="CC10" s="20">
        <f t="shared" si="3"/>
        <v>45322</v>
      </c>
      <c r="CD10" s="20">
        <f t="shared" si="3"/>
        <v>45323</v>
      </c>
      <c r="CE10" s="20">
        <f t="shared" si="3"/>
        <v>45324</v>
      </c>
      <c r="CF10" s="20">
        <f t="shared" si="3"/>
        <v>45325</v>
      </c>
      <c r="CG10" s="20">
        <f t="shared" si="3"/>
        <v>45326</v>
      </c>
      <c r="CH10" s="20">
        <f t="shared" si="3"/>
        <v>45327</v>
      </c>
      <c r="CI10" s="20">
        <f t="shared" si="3"/>
        <v>45328</v>
      </c>
      <c r="CJ10" s="20">
        <f t="shared" si="3"/>
        <v>45329</v>
      </c>
      <c r="CK10" s="20">
        <f t="shared" si="3"/>
        <v>45330</v>
      </c>
      <c r="CL10" s="20">
        <f t="shared" si="3"/>
        <v>45331</v>
      </c>
      <c r="CM10" s="20">
        <f t="shared" si="3"/>
        <v>45332</v>
      </c>
      <c r="CN10" s="20">
        <f t="shared" si="3"/>
        <v>45333</v>
      </c>
      <c r="CO10" s="20">
        <f t="shared" si="3"/>
        <v>45334</v>
      </c>
      <c r="CP10" s="20">
        <f t="shared" si="3"/>
        <v>45335</v>
      </c>
      <c r="CQ10" s="20">
        <f t="shared" si="3"/>
        <v>45336</v>
      </c>
      <c r="CR10" s="20">
        <f t="shared" si="3"/>
        <v>45337</v>
      </c>
      <c r="CS10" s="20">
        <f t="shared" si="3"/>
        <v>45338</v>
      </c>
      <c r="CT10" s="20">
        <f t="shared" si="3"/>
        <v>45339</v>
      </c>
      <c r="CU10" s="20">
        <f t="shared" si="3"/>
        <v>45340</v>
      </c>
      <c r="CV10" s="20">
        <f t="shared" si="3"/>
        <v>45341</v>
      </c>
      <c r="CW10" s="20">
        <f t="shared" si="3"/>
        <v>45342</v>
      </c>
      <c r="CX10" s="20">
        <f t="shared" si="3"/>
        <v>45343</v>
      </c>
      <c r="CY10" s="20">
        <f t="shared" si="3"/>
        <v>45344</v>
      </c>
      <c r="CZ10" s="20">
        <f t="shared" si="3"/>
        <v>45345</v>
      </c>
      <c r="DA10" s="20">
        <f t="shared" si="3"/>
        <v>45346</v>
      </c>
      <c r="DB10" s="20">
        <f t="shared" si="3"/>
        <v>45347</v>
      </c>
      <c r="DC10" s="20">
        <f t="shared" si="3"/>
        <v>45348</v>
      </c>
      <c r="DD10" s="20">
        <f t="shared" si="3"/>
        <v>45349</v>
      </c>
    </row>
    <row r="11" spans="1:118" x14ac:dyDescent="0.3">
      <c r="B11" s="75"/>
      <c r="E11" s="13" t="s">
        <v>1</v>
      </c>
      <c r="F11" s="3">
        <v>1502</v>
      </c>
      <c r="G11" s="3">
        <v>1204</v>
      </c>
      <c r="H11" s="3">
        <v>1206</v>
      </c>
      <c r="I11" s="3">
        <v>1981</v>
      </c>
      <c r="J11" s="3">
        <v>2637</v>
      </c>
      <c r="K11" s="3">
        <v>2588</v>
      </c>
      <c r="L11" s="3">
        <v>2473</v>
      </c>
      <c r="M11" s="3">
        <v>2807</v>
      </c>
      <c r="N11" s="3">
        <v>2011</v>
      </c>
      <c r="O11" s="3">
        <v>1341</v>
      </c>
      <c r="P11" s="3">
        <v>4687</v>
      </c>
      <c r="Q11" s="3">
        <v>4393</v>
      </c>
      <c r="R11" s="3">
        <v>4367</v>
      </c>
      <c r="S11" s="3">
        <v>3683</v>
      </c>
      <c r="T11" s="3">
        <v>3052</v>
      </c>
      <c r="U11" s="3">
        <v>2182</v>
      </c>
      <c r="V11" s="3">
        <v>1052</v>
      </c>
      <c r="W11" s="3">
        <v>2947</v>
      </c>
      <c r="X11" s="3">
        <v>3012</v>
      </c>
      <c r="Y11" s="3">
        <v>2264</v>
      </c>
      <c r="Z11" s="3">
        <v>1919</v>
      </c>
      <c r="AA11" s="3">
        <v>1917</v>
      </c>
      <c r="AB11" s="3">
        <v>1264</v>
      </c>
      <c r="AC11" s="3">
        <v>1082</v>
      </c>
      <c r="AD11" s="3">
        <v>2672</v>
      </c>
      <c r="AE11" s="3">
        <v>2452</v>
      </c>
      <c r="AF11" s="3">
        <v>2522</v>
      </c>
      <c r="AG11" s="3">
        <v>2304</v>
      </c>
      <c r="AH11" s="3">
        <v>2232</v>
      </c>
      <c r="AI11" s="3">
        <v>1460</v>
      </c>
      <c r="AJ11" s="3">
        <v>1223</v>
      </c>
      <c r="AK11" s="3">
        <v>3463</v>
      </c>
      <c r="AL11" s="3">
        <v>2831</v>
      </c>
      <c r="AM11" s="3">
        <v>2531</v>
      </c>
      <c r="AN11" s="3">
        <v>2362</v>
      </c>
      <c r="AO11" s="3">
        <v>2204</v>
      </c>
      <c r="AP11" s="3">
        <v>1384</v>
      </c>
      <c r="AQ11" s="3">
        <v>738</v>
      </c>
      <c r="AR11" s="3">
        <v>640</v>
      </c>
      <c r="AS11" s="3">
        <v>2553</v>
      </c>
      <c r="AT11" s="3">
        <v>1888</v>
      </c>
      <c r="AU11" s="3">
        <v>2029</v>
      </c>
      <c r="AV11" s="3">
        <v>1611</v>
      </c>
      <c r="AW11" s="3">
        <v>1072</v>
      </c>
      <c r="AX11" s="3">
        <v>548</v>
      </c>
      <c r="AY11" s="3">
        <v>474</v>
      </c>
      <c r="AZ11" s="3">
        <v>2331</v>
      </c>
      <c r="BA11" s="3">
        <v>2206</v>
      </c>
      <c r="BB11" s="3">
        <v>1940</v>
      </c>
      <c r="BC11" s="3">
        <v>1893</v>
      </c>
      <c r="BD11" s="3">
        <v>1138</v>
      </c>
      <c r="BE11" s="3">
        <v>785</v>
      </c>
      <c r="BF11" s="3">
        <v>2134</v>
      </c>
      <c r="BG11" s="3">
        <v>2286</v>
      </c>
      <c r="BH11" s="3">
        <v>2473</v>
      </c>
      <c r="BI11" s="3">
        <v>2452</v>
      </c>
      <c r="BJ11" s="3">
        <v>2147</v>
      </c>
      <c r="BK11" s="3">
        <v>1090</v>
      </c>
      <c r="BL11" s="3">
        <v>709</v>
      </c>
      <c r="BM11" s="3">
        <v>3193</v>
      </c>
      <c r="BN11" s="3">
        <v>3019</v>
      </c>
      <c r="BO11" s="3">
        <v>2646</v>
      </c>
      <c r="BP11" s="3">
        <v>2167</v>
      </c>
      <c r="BQ11" s="3">
        <v>1892</v>
      </c>
      <c r="BR11" s="3">
        <v>918</v>
      </c>
      <c r="BS11" s="3">
        <v>568</v>
      </c>
      <c r="BT11" s="3">
        <v>2441</v>
      </c>
      <c r="BU11" s="3">
        <v>2220</v>
      </c>
      <c r="BV11" s="3">
        <v>1330</v>
      </c>
      <c r="BW11" s="3">
        <v>1320</v>
      </c>
      <c r="BX11" s="3">
        <v>920</v>
      </c>
      <c r="BY11" s="3">
        <v>518</v>
      </c>
      <c r="BZ11" s="3">
        <v>359</v>
      </c>
      <c r="CA11" s="3">
        <v>1244</v>
      </c>
      <c r="CB11" s="3">
        <v>1193</v>
      </c>
      <c r="CC11" s="3">
        <v>1206</v>
      </c>
      <c r="CD11" s="3">
        <v>1038</v>
      </c>
      <c r="CE11" s="3">
        <v>868</v>
      </c>
      <c r="CF11" s="3">
        <v>576</v>
      </c>
      <c r="CG11" s="3">
        <v>399</v>
      </c>
      <c r="CH11" s="3">
        <v>613</v>
      </c>
      <c r="CI11" s="3">
        <v>1090</v>
      </c>
      <c r="CJ11" s="3">
        <v>981</v>
      </c>
      <c r="CK11" s="3">
        <v>968</v>
      </c>
      <c r="CL11" s="3">
        <v>788</v>
      </c>
      <c r="CM11" s="3">
        <v>529</v>
      </c>
      <c r="CN11" s="3">
        <v>336</v>
      </c>
      <c r="CO11" s="3">
        <v>998</v>
      </c>
      <c r="CP11" s="3">
        <v>1020</v>
      </c>
      <c r="CQ11" s="3">
        <v>748</v>
      </c>
      <c r="CR11" s="3">
        <v>947</v>
      </c>
      <c r="CS11" s="3">
        <v>817</v>
      </c>
      <c r="CT11" s="3">
        <v>486</v>
      </c>
      <c r="CU11" s="3">
        <v>361</v>
      </c>
      <c r="CV11" s="3">
        <v>1019</v>
      </c>
      <c r="CW11" s="3">
        <v>1125</v>
      </c>
      <c r="CX11" s="3">
        <v>1007</v>
      </c>
      <c r="CY11" s="3"/>
      <c r="CZ11" s="3"/>
      <c r="DA11" s="3"/>
      <c r="DB11" s="3"/>
      <c r="DC11" s="3"/>
      <c r="DD11" s="3"/>
      <c r="DE11" s="29">
        <f>SUM(F11:DD11)</f>
        <v>166216</v>
      </c>
    </row>
    <row r="12" spans="1:118" x14ac:dyDescent="0.3">
      <c r="B12" s="75"/>
      <c r="E12" s="2" t="s">
        <v>2</v>
      </c>
      <c r="F12" s="4">
        <v>1748</v>
      </c>
      <c r="G12" s="12">
        <v>846</v>
      </c>
      <c r="H12" s="12">
        <v>702</v>
      </c>
      <c r="I12" s="4">
        <v>1091</v>
      </c>
      <c r="J12" s="4">
        <v>1748</v>
      </c>
      <c r="K12" s="4">
        <v>1748</v>
      </c>
      <c r="L12" s="4">
        <v>1748</v>
      </c>
      <c r="M12" s="4">
        <v>1748</v>
      </c>
      <c r="N12" s="12">
        <v>960</v>
      </c>
      <c r="O12" s="12">
        <v>774</v>
      </c>
      <c r="P12" s="4">
        <v>1748</v>
      </c>
      <c r="Q12" s="4">
        <v>1614.3333333333301</v>
      </c>
      <c r="R12" s="4">
        <v>1764</v>
      </c>
      <c r="S12" s="4">
        <v>1764</v>
      </c>
      <c r="T12" s="4">
        <v>1764</v>
      </c>
      <c r="U12" s="4">
        <v>945</v>
      </c>
      <c r="V12" s="4">
        <v>976</v>
      </c>
      <c r="W12" s="4">
        <v>1764</v>
      </c>
      <c r="X12" s="4">
        <v>1764</v>
      </c>
      <c r="Y12" s="4">
        <v>1764</v>
      </c>
      <c r="Z12" s="4">
        <v>2297</v>
      </c>
      <c r="AA12" s="4">
        <v>2297</v>
      </c>
      <c r="AB12" s="4">
        <v>1122</v>
      </c>
      <c r="AC12" s="4">
        <v>1117</v>
      </c>
      <c r="AD12" s="4">
        <v>2141</v>
      </c>
      <c r="AE12" s="4">
        <f t="shared" ref="AE12:AH12" si="4">AD12</f>
        <v>2141</v>
      </c>
      <c r="AF12" s="4">
        <f t="shared" si="4"/>
        <v>2141</v>
      </c>
      <c r="AG12" s="4">
        <f t="shared" si="4"/>
        <v>2141</v>
      </c>
      <c r="AH12" s="4">
        <f t="shared" si="4"/>
        <v>2141</v>
      </c>
      <c r="AI12" s="4">
        <v>1141</v>
      </c>
      <c r="AJ12" s="4">
        <v>877</v>
      </c>
      <c r="AK12" s="4">
        <v>2398</v>
      </c>
      <c r="AL12" s="4">
        <f t="shared" ref="AL12" si="5">AK12</f>
        <v>2398</v>
      </c>
      <c r="AM12" s="4">
        <v>2256</v>
      </c>
      <c r="AN12" s="4">
        <f t="shared" ref="AN12:AO12" si="6">AM12</f>
        <v>2256</v>
      </c>
      <c r="AO12" s="4">
        <f t="shared" si="6"/>
        <v>2256</v>
      </c>
      <c r="AP12" s="4">
        <v>1174.125</v>
      </c>
      <c r="AQ12" s="4">
        <v>1046</v>
      </c>
      <c r="AR12" s="4">
        <v>1475.25</v>
      </c>
      <c r="AS12" s="4">
        <f>AO12</f>
        <v>2256</v>
      </c>
      <c r="AT12" s="4">
        <f t="shared" ref="AT12" si="7">AS12</f>
        <v>2256</v>
      </c>
      <c r="AU12" s="4">
        <f t="shared" ref="AU12:AV12" si="8">AN12</f>
        <v>2256</v>
      </c>
      <c r="AV12" s="4">
        <f t="shared" si="8"/>
        <v>2256</v>
      </c>
      <c r="AW12" s="4">
        <v>1166</v>
      </c>
      <c r="AX12" s="4">
        <v>1135</v>
      </c>
      <c r="AY12" s="4">
        <v>1573</v>
      </c>
      <c r="AZ12" s="4">
        <v>1920</v>
      </c>
      <c r="BA12" s="4">
        <f t="shared" ref="BA12:BC12" si="9">AZ12</f>
        <v>1920</v>
      </c>
      <c r="BB12" s="4">
        <f t="shared" si="9"/>
        <v>1920</v>
      </c>
      <c r="BC12" s="4">
        <f t="shared" si="9"/>
        <v>1920</v>
      </c>
      <c r="BD12" s="4">
        <v>975</v>
      </c>
      <c r="BE12" s="4">
        <v>871</v>
      </c>
      <c r="BF12" s="4">
        <f>BC12</f>
        <v>1920</v>
      </c>
      <c r="BG12" s="4">
        <v>1881</v>
      </c>
      <c r="BH12" s="4">
        <f t="shared" ref="BH12:BJ12" si="10">BG12</f>
        <v>1881</v>
      </c>
      <c r="BI12" s="4">
        <f t="shared" si="10"/>
        <v>1881</v>
      </c>
      <c r="BJ12" s="4">
        <f t="shared" si="10"/>
        <v>1881</v>
      </c>
      <c r="BK12" s="4">
        <v>956</v>
      </c>
      <c r="BL12" s="4">
        <v>803</v>
      </c>
      <c r="BM12" s="4">
        <f>BJ12</f>
        <v>1881</v>
      </c>
      <c r="BN12" s="4">
        <f>1881-54</f>
        <v>1827</v>
      </c>
      <c r="BO12" s="4">
        <v>1971</v>
      </c>
      <c r="BP12" s="4">
        <f t="shared" ref="BP12:BQ12" si="11">BO12</f>
        <v>1971</v>
      </c>
      <c r="BQ12" s="4">
        <f t="shared" si="11"/>
        <v>1971</v>
      </c>
      <c r="BR12" s="4">
        <v>1013</v>
      </c>
      <c r="BS12" s="4">
        <v>918</v>
      </c>
      <c r="BT12" s="4">
        <f>BQ12</f>
        <v>1971</v>
      </c>
      <c r="BU12" s="4">
        <f t="shared" ref="BU12:BX12" si="12">BT12</f>
        <v>1971</v>
      </c>
      <c r="BV12" s="4">
        <f t="shared" si="12"/>
        <v>1971</v>
      </c>
      <c r="BW12" s="4">
        <f t="shared" si="12"/>
        <v>1971</v>
      </c>
      <c r="BX12" s="4">
        <f t="shared" si="12"/>
        <v>1971</v>
      </c>
      <c r="BY12" s="4">
        <v>956</v>
      </c>
      <c r="BZ12" s="4">
        <v>932</v>
      </c>
      <c r="CA12" s="4">
        <f>BX12</f>
        <v>1971</v>
      </c>
      <c r="CB12" s="4">
        <f t="shared" ref="CB12:CE12" si="13">CA12</f>
        <v>1971</v>
      </c>
      <c r="CC12" s="4">
        <f t="shared" si="13"/>
        <v>1971</v>
      </c>
      <c r="CD12" s="4">
        <f t="shared" si="13"/>
        <v>1971</v>
      </c>
      <c r="CE12" s="4">
        <f t="shared" si="13"/>
        <v>1971</v>
      </c>
      <c r="CF12" s="4">
        <v>969</v>
      </c>
      <c r="CG12" s="4">
        <v>762</v>
      </c>
      <c r="CH12" s="4">
        <v>759</v>
      </c>
      <c r="CI12" s="4">
        <v>1860</v>
      </c>
      <c r="CJ12" s="4">
        <f t="shared" ref="CJ12:CL12" si="14">CI12</f>
        <v>1860</v>
      </c>
      <c r="CK12" s="4">
        <f t="shared" si="14"/>
        <v>1860</v>
      </c>
      <c r="CL12" s="4">
        <f t="shared" si="14"/>
        <v>1860</v>
      </c>
      <c r="CM12" s="4">
        <v>969</v>
      </c>
      <c r="CN12" s="4">
        <v>767</v>
      </c>
      <c r="CO12" s="4">
        <f>CL12</f>
        <v>1860</v>
      </c>
      <c r="CP12" s="4">
        <f t="shared" ref="CP12" si="15">CO12</f>
        <v>1860</v>
      </c>
      <c r="CQ12" s="4">
        <v>1633</v>
      </c>
      <c r="CR12" s="4">
        <f t="shared" ref="CR12:CS12" si="16">CQ12</f>
        <v>1633</v>
      </c>
      <c r="CS12" s="4">
        <f t="shared" si="16"/>
        <v>1633</v>
      </c>
      <c r="CT12" s="4">
        <v>822</v>
      </c>
      <c r="CU12" s="4">
        <v>688</v>
      </c>
      <c r="CV12" s="4">
        <f>CS12</f>
        <v>1633</v>
      </c>
      <c r="CW12" s="4">
        <f t="shared" ref="CW12:DD12" si="17">CV12</f>
        <v>1633</v>
      </c>
      <c r="CX12" s="4">
        <f t="shared" si="17"/>
        <v>1633</v>
      </c>
      <c r="CY12" s="4">
        <f t="shared" si="17"/>
        <v>1633</v>
      </c>
      <c r="CZ12" s="4">
        <f t="shared" si="17"/>
        <v>1633</v>
      </c>
      <c r="DA12" s="4">
        <f t="shared" si="17"/>
        <v>1633</v>
      </c>
      <c r="DB12" s="4">
        <f t="shared" si="17"/>
        <v>1633</v>
      </c>
      <c r="DC12" s="4">
        <f t="shared" si="17"/>
        <v>1633</v>
      </c>
      <c r="DD12" s="4">
        <f t="shared" si="17"/>
        <v>1633</v>
      </c>
      <c r="DE12" s="30">
        <f>SUM(F12:DD12)</f>
        <v>167064.70833333331</v>
      </c>
    </row>
    <row r="13" spans="1:118" x14ac:dyDescent="0.3">
      <c r="B13" s="75"/>
      <c r="E13" s="2" t="s">
        <v>3</v>
      </c>
      <c r="F13" s="31">
        <f t="shared" ref="F13:BQ13" si="18">IFERROR((F12-F11)/F11,"")</f>
        <v>0.16378162450066577</v>
      </c>
      <c r="G13" s="31">
        <f t="shared" si="18"/>
        <v>-0.29734219269102991</v>
      </c>
      <c r="H13" s="31">
        <f t="shared" si="18"/>
        <v>-0.41791044776119401</v>
      </c>
      <c r="I13" s="31">
        <f t="shared" si="18"/>
        <v>-0.44926804644119134</v>
      </c>
      <c r="J13" s="31">
        <f t="shared" si="18"/>
        <v>-0.33712552142586272</v>
      </c>
      <c r="K13" s="31">
        <f t="shared" si="18"/>
        <v>-0.32457496136012365</v>
      </c>
      <c r="L13" s="31">
        <f t="shared" si="18"/>
        <v>-0.2931661949049737</v>
      </c>
      <c r="M13" s="31">
        <f t="shared" si="18"/>
        <v>-0.37727110794442464</v>
      </c>
      <c r="N13" s="31">
        <f t="shared" si="18"/>
        <v>-0.52262555942317257</v>
      </c>
      <c r="O13" s="31">
        <f t="shared" si="18"/>
        <v>-0.42281879194630873</v>
      </c>
      <c r="P13" s="31">
        <f t="shared" si="18"/>
        <v>-0.62705355237892046</v>
      </c>
      <c r="Q13" s="31">
        <f t="shared" si="18"/>
        <v>-0.63252143561727059</v>
      </c>
      <c r="R13" s="31">
        <f t="shared" si="18"/>
        <v>-0.59606136936111742</v>
      </c>
      <c r="S13" s="31">
        <f t="shared" si="18"/>
        <v>-0.52104262829215309</v>
      </c>
      <c r="T13" s="31">
        <f t="shared" si="18"/>
        <v>-0.42201834862385323</v>
      </c>
      <c r="U13" s="31">
        <f t="shared" si="18"/>
        <v>-0.56691109074243817</v>
      </c>
      <c r="V13" s="31">
        <f t="shared" si="18"/>
        <v>-7.2243346007604556E-2</v>
      </c>
      <c r="W13" s="31">
        <f t="shared" si="18"/>
        <v>-0.40142517814726841</v>
      </c>
      <c r="X13" s="31">
        <f t="shared" si="18"/>
        <v>-0.41434262948207173</v>
      </c>
      <c r="Y13" s="31">
        <f t="shared" si="18"/>
        <v>-0.22084805653710246</v>
      </c>
      <c r="Z13" s="31">
        <f t="shared" si="18"/>
        <v>0.1969775924960917</v>
      </c>
      <c r="AA13" s="31">
        <f t="shared" si="18"/>
        <v>0.19822639540949399</v>
      </c>
      <c r="AB13" s="31">
        <f t="shared" si="18"/>
        <v>-0.11234177215189874</v>
      </c>
      <c r="AC13" s="31">
        <f t="shared" si="18"/>
        <v>3.2347504621072089E-2</v>
      </c>
      <c r="AD13" s="31">
        <f t="shared" si="18"/>
        <v>-0.19872754491017963</v>
      </c>
      <c r="AE13" s="31">
        <f t="shared" si="18"/>
        <v>-0.1268352365415987</v>
      </c>
      <c r="AF13" s="31">
        <f t="shared" si="18"/>
        <v>-0.15107057890563044</v>
      </c>
      <c r="AG13" s="31">
        <f t="shared" si="18"/>
        <v>-7.0746527777777776E-2</v>
      </c>
      <c r="AH13" s="31">
        <f t="shared" si="18"/>
        <v>-4.0770609318996419E-2</v>
      </c>
      <c r="AI13" s="31">
        <f t="shared" si="18"/>
        <v>-0.2184931506849315</v>
      </c>
      <c r="AJ13" s="31">
        <f t="shared" si="18"/>
        <v>-0.28291087489779232</v>
      </c>
      <c r="AK13" s="31">
        <f t="shared" si="18"/>
        <v>-0.30753681778804504</v>
      </c>
      <c r="AL13" s="31">
        <f t="shared" si="18"/>
        <v>-0.15294948781349346</v>
      </c>
      <c r="AM13" s="31">
        <f t="shared" si="18"/>
        <v>-0.10865270644014223</v>
      </c>
      <c r="AN13" s="31">
        <f t="shared" si="18"/>
        <v>-4.4877222692633362E-2</v>
      </c>
      <c r="AO13" s="31">
        <f t="shared" si="18"/>
        <v>2.3593466424682397E-2</v>
      </c>
      <c r="AP13" s="31">
        <f t="shared" si="18"/>
        <v>-0.15164378612716764</v>
      </c>
      <c r="AQ13" s="31">
        <f t="shared" si="18"/>
        <v>0.41734417344173441</v>
      </c>
      <c r="AR13" s="31">
        <f t="shared" si="18"/>
        <v>1.3050781250000001</v>
      </c>
      <c r="AS13" s="31">
        <f t="shared" si="18"/>
        <v>-0.11633372502937721</v>
      </c>
      <c r="AT13" s="31">
        <f t="shared" si="18"/>
        <v>0.19491525423728814</v>
      </c>
      <c r="AU13" s="31">
        <f t="shared" si="18"/>
        <v>0.11187777230162642</v>
      </c>
      <c r="AV13" s="31">
        <f t="shared" si="18"/>
        <v>0.40037243947858475</v>
      </c>
      <c r="AW13" s="31">
        <f t="shared" si="18"/>
        <v>8.7686567164179108E-2</v>
      </c>
      <c r="AX13" s="31">
        <f t="shared" si="18"/>
        <v>1.0711678832116789</v>
      </c>
      <c r="AY13" s="31">
        <f t="shared" si="18"/>
        <v>2.3185654008438821</v>
      </c>
      <c r="AZ13" s="31">
        <f t="shared" si="18"/>
        <v>-0.17631917631917632</v>
      </c>
      <c r="BA13" s="31">
        <f t="shared" si="18"/>
        <v>-0.12964641885766093</v>
      </c>
      <c r="BB13" s="31">
        <f t="shared" si="18"/>
        <v>-1.0309278350515464E-2</v>
      </c>
      <c r="BC13" s="31">
        <f t="shared" si="18"/>
        <v>1.4263074484944533E-2</v>
      </c>
      <c r="BD13" s="31">
        <f t="shared" si="18"/>
        <v>-0.14323374340949033</v>
      </c>
      <c r="BE13" s="31">
        <f t="shared" si="18"/>
        <v>0.10955414012738854</v>
      </c>
      <c r="BF13" s="31">
        <f t="shared" si="18"/>
        <v>-0.10028116213683223</v>
      </c>
      <c r="BG13" s="31">
        <f t="shared" si="18"/>
        <v>-0.17716535433070865</v>
      </c>
      <c r="BH13" s="31">
        <f t="shared" si="18"/>
        <v>-0.23938536190861301</v>
      </c>
      <c r="BI13" s="31">
        <f t="shared" si="18"/>
        <v>-0.23287112561174553</v>
      </c>
      <c r="BJ13" s="31">
        <f t="shared" si="18"/>
        <v>-0.12389380530973451</v>
      </c>
      <c r="BK13" s="31">
        <f t="shared" si="18"/>
        <v>-0.12293577981651377</v>
      </c>
      <c r="BL13" s="31">
        <f t="shared" si="18"/>
        <v>0.13258110014104371</v>
      </c>
      <c r="BM13" s="31">
        <f t="shared" si="18"/>
        <v>-0.41089884121515818</v>
      </c>
      <c r="BN13" s="31">
        <f t="shared" si="18"/>
        <v>-0.3948327260682345</v>
      </c>
      <c r="BO13" s="31">
        <f t="shared" si="18"/>
        <v>-0.25510204081632654</v>
      </c>
      <c r="BP13" s="31">
        <f t="shared" si="18"/>
        <v>-9.0447623442547295E-2</v>
      </c>
      <c r="BQ13" s="31">
        <f t="shared" si="18"/>
        <v>4.1754756871035942E-2</v>
      </c>
      <c r="BR13" s="31">
        <f t="shared" ref="BR13:DD13" si="19">IFERROR((BR12-BR11)/BR11,"")</f>
        <v>0.10348583877995643</v>
      </c>
      <c r="BS13" s="31">
        <f t="shared" si="19"/>
        <v>0.61619718309859151</v>
      </c>
      <c r="BT13" s="31">
        <f>IFERROR((BT12-BT11)/BT11,"")</f>
        <v>-0.19254403932814421</v>
      </c>
      <c r="BU13" s="31">
        <f t="shared" ref="BU13:BV13" si="20">IFERROR((BU12-BU11)/BU11,"")</f>
        <v>-0.11216216216216217</v>
      </c>
      <c r="BV13" s="31">
        <f t="shared" si="20"/>
        <v>0.48195488721804514</v>
      </c>
      <c r="BW13" s="31">
        <f t="shared" si="19"/>
        <v>0.49318181818181817</v>
      </c>
      <c r="BX13" s="31">
        <f t="shared" si="19"/>
        <v>1.142391304347826</v>
      </c>
      <c r="BY13" s="31">
        <f t="shared" si="19"/>
        <v>0.84555984555984554</v>
      </c>
      <c r="BZ13" s="31">
        <f t="shared" si="19"/>
        <v>1.5961002785515321</v>
      </c>
      <c r="CA13" s="31">
        <f t="shared" si="19"/>
        <v>0.58440514469453375</v>
      </c>
      <c r="CB13" s="31">
        <f t="shared" si="19"/>
        <v>0.65213746856663868</v>
      </c>
      <c r="CC13" s="31">
        <f t="shared" si="19"/>
        <v>0.63432835820895528</v>
      </c>
      <c r="CD13" s="31">
        <f t="shared" si="19"/>
        <v>0.89884393063583812</v>
      </c>
      <c r="CE13" s="31">
        <f t="shared" si="19"/>
        <v>1.2707373271889402</v>
      </c>
      <c r="CF13" s="31">
        <f t="shared" si="19"/>
        <v>0.68229166666666663</v>
      </c>
      <c r="CG13" s="31">
        <f t="shared" si="19"/>
        <v>0.90977443609022557</v>
      </c>
      <c r="CH13" s="31">
        <f t="shared" si="19"/>
        <v>0.23817292006525284</v>
      </c>
      <c r="CI13" s="31">
        <f t="shared" si="19"/>
        <v>0.70642201834862384</v>
      </c>
      <c r="CJ13" s="31">
        <f t="shared" si="19"/>
        <v>0.89602446483180431</v>
      </c>
      <c r="CK13" s="31">
        <f t="shared" si="19"/>
        <v>0.92148760330578516</v>
      </c>
      <c r="CL13" s="31">
        <f t="shared" si="19"/>
        <v>1.3604060913705585</v>
      </c>
      <c r="CM13" s="31">
        <f t="shared" si="19"/>
        <v>0.83175803402646498</v>
      </c>
      <c r="CN13" s="31">
        <f t="shared" si="19"/>
        <v>1.2827380952380953</v>
      </c>
      <c r="CO13" s="31">
        <f t="shared" si="19"/>
        <v>0.86372745490981961</v>
      </c>
      <c r="CP13" s="31">
        <f t="shared" si="19"/>
        <v>0.82352941176470584</v>
      </c>
      <c r="CQ13" s="31">
        <f>IFERROR((CQ12-CQ11)/CQ11,"")</f>
        <v>1.1831550802139037</v>
      </c>
      <c r="CR13" s="31">
        <f t="shared" ref="CR13" si="21">IFERROR((CR12-CR11)/CR11,"")</f>
        <v>0.72439281942977829</v>
      </c>
      <c r="CS13" s="31">
        <f t="shared" si="19"/>
        <v>0.99877600979192172</v>
      </c>
      <c r="CT13" s="31">
        <f t="shared" si="19"/>
        <v>0.69135802469135799</v>
      </c>
      <c r="CU13" s="31">
        <f t="shared" si="19"/>
        <v>0.90581717451523547</v>
      </c>
      <c r="CV13" s="31">
        <f t="shared" si="19"/>
        <v>0.6025515210991168</v>
      </c>
      <c r="CW13" s="31">
        <f t="shared" si="19"/>
        <v>0.45155555555555554</v>
      </c>
      <c r="CX13" s="31">
        <f t="shared" si="19"/>
        <v>0.62164846077457792</v>
      </c>
      <c r="CY13" s="31" t="str">
        <f t="shared" si="19"/>
        <v/>
      </c>
      <c r="CZ13" s="31" t="str">
        <f t="shared" si="19"/>
        <v/>
      </c>
      <c r="DA13" s="31" t="str">
        <f t="shared" si="19"/>
        <v/>
      </c>
      <c r="DB13" s="31" t="str">
        <f t="shared" si="19"/>
        <v/>
      </c>
      <c r="DC13" s="31" t="str">
        <f t="shared" si="19"/>
        <v/>
      </c>
      <c r="DD13" s="31" t="str">
        <f t="shared" si="19"/>
        <v/>
      </c>
    </row>
    <row r="14" spans="1:118" x14ac:dyDescent="0.3">
      <c r="B14" s="75"/>
      <c r="E14" s="2" t="s">
        <v>4</v>
      </c>
      <c r="F14" s="5">
        <f t="shared" ref="F14:BQ14" si="22">F12-F11</f>
        <v>246</v>
      </c>
      <c r="G14" s="5">
        <f t="shared" si="22"/>
        <v>-358</v>
      </c>
      <c r="H14" s="5">
        <f t="shared" si="22"/>
        <v>-504</v>
      </c>
      <c r="I14" s="5">
        <f t="shared" si="22"/>
        <v>-890</v>
      </c>
      <c r="J14" s="5">
        <f t="shared" si="22"/>
        <v>-889</v>
      </c>
      <c r="K14" s="5">
        <f t="shared" si="22"/>
        <v>-840</v>
      </c>
      <c r="L14" s="5">
        <f t="shared" si="22"/>
        <v>-725</v>
      </c>
      <c r="M14" s="5">
        <f t="shared" si="22"/>
        <v>-1059</v>
      </c>
      <c r="N14" s="5">
        <f t="shared" si="22"/>
        <v>-1051</v>
      </c>
      <c r="O14" s="5">
        <f t="shared" si="22"/>
        <v>-567</v>
      </c>
      <c r="P14" s="5">
        <f t="shared" si="22"/>
        <v>-2939</v>
      </c>
      <c r="Q14" s="5">
        <f t="shared" si="22"/>
        <v>-2778.6666666666697</v>
      </c>
      <c r="R14" s="5">
        <f t="shared" si="22"/>
        <v>-2603</v>
      </c>
      <c r="S14" s="5">
        <f t="shared" si="22"/>
        <v>-1919</v>
      </c>
      <c r="T14" s="5">
        <f t="shared" si="22"/>
        <v>-1288</v>
      </c>
      <c r="U14" s="5">
        <f t="shared" si="22"/>
        <v>-1237</v>
      </c>
      <c r="V14" s="5">
        <f t="shared" si="22"/>
        <v>-76</v>
      </c>
      <c r="W14" s="5">
        <f t="shared" si="22"/>
        <v>-1183</v>
      </c>
      <c r="X14" s="5">
        <f t="shared" si="22"/>
        <v>-1248</v>
      </c>
      <c r="Y14" s="5">
        <f t="shared" si="22"/>
        <v>-500</v>
      </c>
      <c r="Z14" s="5">
        <f t="shared" si="22"/>
        <v>378</v>
      </c>
      <c r="AA14" s="5">
        <f t="shared" si="22"/>
        <v>380</v>
      </c>
      <c r="AB14" s="5">
        <f t="shared" si="22"/>
        <v>-142</v>
      </c>
      <c r="AC14" s="5">
        <f t="shared" si="22"/>
        <v>35</v>
      </c>
      <c r="AD14" s="5">
        <f t="shared" si="22"/>
        <v>-531</v>
      </c>
      <c r="AE14" s="5">
        <f t="shared" si="22"/>
        <v>-311</v>
      </c>
      <c r="AF14" s="5">
        <f t="shared" si="22"/>
        <v>-381</v>
      </c>
      <c r="AG14" s="5">
        <f t="shared" si="22"/>
        <v>-163</v>
      </c>
      <c r="AH14" s="5">
        <f t="shared" si="22"/>
        <v>-91</v>
      </c>
      <c r="AI14" s="5">
        <f t="shared" si="22"/>
        <v>-319</v>
      </c>
      <c r="AJ14" s="5">
        <f t="shared" si="22"/>
        <v>-346</v>
      </c>
      <c r="AK14" s="5">
        <f t="shared" si="22"/>
        <v>-1065</v>
      </c>
      <c r="AL14" s="5">
        <f t="shared" si="22"/>
        <v>-433</v>
      </c>
      <c r="AM14" s="5">
        <f t="shared" si="22"/>
        <v>-275</v>
      </c>
      <c r="AN14" s="5">
        <f t="shared" si="22"/>
        <v>-106</v>
      </c>
      <c r="AO14" s="5">
        <f t="shared" si="22"/>
        <v>52</v>
      </c>
      <c r="AP14" s="5">
        <f t="shared" si="22"/>
        <v>-209.875</v>
      </c>
      <c r="AQ14" s="5">
        <f t="shared" si="22"/>
        <v>308</v>
      </c>
      <c r="AR14" s="5">
        <f t="shared" si="22"/>
        <v>835.25</v>
      </c>
      <c r="AS14" s="5">
        <f t="shared" si="22"/>
        <v>-297</v>
      </c>
      <c r="AT14" s="5">
        <f t="shared" si="22"/>
        <v>368</v>
      </c>
      <c r="AU14" s="5">
        <f t="shared" si="22"/>
        <v>227</v>
      </c>
      <c r="AV14" s="5">
        <f t="shared" si="22"/>
        <v>645</v>
      </c>
      <c r="AW14" s="5">
        <f t="shared" si="22"/>
        <v>94</v>
      </c>
      <c r="AX14" s="5">
        <f t="shared" si="22"/>
        <v>587</v>
      </c>
      <c r="AY14" s="5">
        <f t="shared" si="22"/>
        <v>1099</v>
      </c>
      <c r="AZ14" s="5">
        <f t="shared" si="22"/>
        <v>-411</v>
      </c>
      <c r="BA14" s="5">
        <f t="shared" si="22"/>
        <v>-286</v>
      </c>
      <c r="BB14" s="5">
        <f t="shared" si="22"/>
        <v>-20</v>
      </c>
      <c r="BC14" s="5">
        <f t="shared" si="22"/>
        <v>27</v>
      </c>
      <c r="BD14" s="5">
        <f t="shared" si="22"/>
        <v>-163</v>
      </c>
      <c r="BE14" s="5">
        <f t="shared" si="22"/>
        <v>86</v>
      </c>
      <c r="BF14" s="5">
        <f t="shared" si="22"/>
        <v>-214</v>
      </c>
      <c r="BG14" s="5">
        <f t="shared" si="22"/>
        <v>-405</v>
      </c>
      <c r="BH14" s="5">
        <f t="shared" si="22"/>
        <v>-592</v>
      </c>
      <c r="BI14" s="5">
        <f t="shared" si="22"/>
        <v>-571</v>
      </c>
      <c r="BJ14" s="5">
        <f t="shared" si="22"/>
        <v>-266</v>
      </c>
      <c r="BK14" s="5">
        <f t="shared" si="22"/>
        <v>-134</v>
      </c>
      <c r="BL14" s="5">
        <f t="shared" si="22"/>
        <v>94</v>
      </c>
      <c r="BM14" s="5">
        <f t="shared" si="22"/>
        <v>-1312</v>
      </c>
      <c r="BN14" s="5">
        <f t="shared" si="22"/>
        <v>-1192</v>
      </c>
      <c r="BO14" s="5">
        <f t="shared" si="22"/>
        <v>-675</v>
      </c>
      <c r="BP14" s="5">
        <f t="shared" si="22"/>
        <v>-196</v>
      </c>
      <c r="BQ14" s="5">
        <f t="shared" si="22"/>
        <v>79</v>
      </c>
      <c r="BR14" s="5">
        <f t="shared" ref="BR14:DD14" si="23">BR12-BR11</f>
        <v>95</v>
      </c>
      <c r="BS14" s="5">
        <f t="shared" si="23"/>
        <v>350</v>
      </c>
      <c r="BT14" s="5">
        <f t="shared" si="23"/>
        <v>-470</v>
      </c>
      <c r="BU14" s="5">
        <f t="shared" si="23"/>
        <v>-249</v>
      </c>
      <c r="BV14" s="5">
        <f t="shared" si="23"/>
        <v>641</v>
      </c>
      <c r="BW14" s="5">
        <f t="shared" si="23"/>
        <v>651</v>
      </c>
      <c r="BX14" s="5">
        <f t="shared" si="23"/>
        <v>1051</v>
      </c>
      <c r="BY14" s="5">
        <f t="shared" si="23"/>
        <v>438</v>
      </c>
      <c r="BZ14" s="5">
        <f t="shared" si="23"/>
        <v>573</v>
      </c>
      <c r="CA14" s="5">
        <f t="shared" si="23"/>
        <v>727</v>
      </c>
      <c r="CB14" s="5">
        <f t="shared" si="23"/>
        <v>778</v>
      </c>
      <c r="CC14" s="5">
        <f t="shared" si="23"/>
        <v>765</v>
      </c>
      <c r="CD14" s="5">
        <f t="shared" si="23"/>
        <v>933</v>
      </c>
      <c r="CE14" s="5">
        <f t="shared" si="23"/>
        <v>1103</v>
      </c>
      <c r="CF14" s="5">
        <f t="shared" si="23"/>
        <v>393</v>
      </c>
      <c r="CG14" s="5">
        <f t="shared" si="23"/>
        <v>363</v>
      </c>
      <c r="CH14" s="5">
        <f t="shared" si="23"/>
        <v>146</v>
      </c>
      <c r="CI14" s="5">
        <f t="shared" si="23"/>
        <v>770</v>
      </c>
      <c r="CJ14" s="5">
        <f t="shared" si="23"/>
        <v>879</v>
      </c>
      <c r="CK14" s="5">
        <f t="shared" si="23"/>
        <v>892</v>
      </c>
      <c r="CL14" s="5">
        <f t="shared" si="23"/>
        <v>1072</v>
      </c>
      <c r="CM14" s="5">
        <f t="shared" si="23"/>
        <v>440</v>
      </c>
      <c r="CN14" s="5">
        <f t="shared" si="23"/>
        <v>431</v>
      </c>
      <c r="CO14" s="5">
        <f t="shared" si="23"/>
        <v>862</v>
      </c>
      <c r="CP14" s="5">
        <f t="shared" si="23"/>
        <v>840</v>
      </c>
      <c r="CQ14" s="5">
        <f t="shared" si="23"/>
        <v>885</v>
      </c>
      <c r="CR14" s="5">
        <f t="shared" si="23"/>
        <v>686</v>
      </c>
      <c r="CS14" s="5">
        <f t="shared" si="23"/>
        <v>816</v>
      </c>
      <c r="CT14" s="5">
        <f t="shared" si="23"/>
        <v>336</v>
      </c>
      <c r="CU14" s="5">
        <f t="shared" si="23"/>
        <v>327</v>
      </c>
      <c r="CV14" s="5">
        <f t="shared" si="23"/>
        <v>614</v>
      </c>
      <c r="CW14" s="5">
        <f t="shared" si="23"/>
        <v>508</v>
      </c>
      <c r="CX14" s="5">
        <f t="shared" si="23"/>
        <v>626</v>
      </c>
      <c r="CY14" s="5">
        <f t="shared" si="23"/>
        <v>1633</v>
      </c>
      <c r="CZ14" s="5">
        <f t="shared" si="23"/>
        <v>1633</v>
      </c>
      <c r="DA14" s="5">
        <f t="shared" si="23"/>
        <v>1633</v>
      </c>
      <c r="DB14" s="5">
        <f t="shared" si="23"/>
        <v>1633</v>
      </c>
      <c r="DC14" s="5">
        <f t="shared" si="23"/>
        <v>1633</v>
      </c>
      <c r="DD14" s="5">
        <f t="shared" si="23"/>
        <v>1633</v>
      </c>
    </row>
    <row r="15" spans="1:118" x14ac:dyDescent="0.3">
      <c r="B15" s="75"/>
      <c r="E15" s="50" t="s">
        <v>66</v>
      </c>
      <c r="F15" s="3"/>
      <c r="G15" s="3"/>
      <c r="H15" s="3"/>
      <c r="I15" s="3"/>
      <c r="J15" s="3"/>
      <c r="K15" s="56">
        <f>421+478+84+26</f>
        <v>1009</v>
      </c>
      <c r="L15" s="56">
        <f>499+698+145+54</f>
        <v>1396</v>
      </c>
      <c r="M15" s="56">
        <f>587+915+175+13</f>
        <v>1690</v>
      </c>
      <c r="N15" s="56">
        <f>912+1064+200+8</f>
        <v>2184</v>
      </c>
      <c r="O15" s="56">
        <f>1093+1136+231+8</f>
        <v>2468</v>
      </c>
      <c r="P15" s="56">
        <f>1290+1297+245+27</f>
        <v>2859</v>
      </c>
      <c r="Q15" s="56">
        <f>2051+1596+318+46</f>
        <v>4011</v>
      </c>
      <c r="R15" s="56">
        <f>1663+751+274+44</f>
        <v>2732</v>
      </c>
      <c r="S15" s="56">
        <f t="shared" ref="S15" si="24">2185+990+354+71</f>
        <v>3600</v>
      </c>
      <c r="T15" s="56">
        <f>2308+797+389+116</f>
        <v>3610</v>
      </c>
      <c r="U15" s="56">
        <f>2800+1006+468+48</f>
        <v>4322</v>
      </c>
      <c r="V15" s="56">
        <f>3346+1220+470+19</f>
        <v>5055</v>
      </c>
      <c r="W15" s="56">
        <f>3248+962+423+19</f>
        <v>4652</v>
      </c>
      <c r="X15" s="56">
        <f>3037+854+469+44</f>
        <v>4404</v>
      </c>
      <c r="Y15" s="56">
        <f>2867+637+377+6</f>
        <v>3887</v>
      </c>
      <c r="Z15" s="56">
        <f>2920+781+424+24</f>
        <v>4149</v>
      </c>
      <c r="AA15" s="56">
        <f>2662+879+436+7</f>
        <v>3984</v>
      </c>
      <c r="AB15" s="56">
        <f>2311+783+471+13</f>
        <v>3578</v>
      </c>
      <c r="AC15" s="56">
        <f>2507+840+408+17</f>
        <v>3772</v>
      </c>
      <c r="AD15" s="56">
        <f>2030+709+324+18</f>
        <v>3081</v>
      </c>
      <c r="AE15" s="56">
        <f>2175+823+383+25</f>
        <v>3406</v>
      </c>
      <c r="AF15" s="56">
        <f>2163+882+448+19</f>
        <v>3512</v>
      </c>
      <c r="AG15" s="56">
        <f>2282+855+429+8</f>
        <v>3574</v>
      </c>
      <c r="AH15" s="56">
        <f>2059+566+405+10</f>
        <v>3040</v>
      </c>
      <c r="AI15" s="56">
        <f>2251+585+344+10</f>
        <v>3190</v>
      </c>
      <c r="AJ15" s="56">
        <f>2413+564+313+8</f>
        <v>3298</v>
      </c>
      <c r="AK15" s="3">
        <f>2516+678+282+28+656</f>
        <v>4160</v>
      </c>
      <c r="AL15" s="3">
        <f>3163+905+334+19+689</f>
        <v>5110</v>
      </c>
      <c r="AM15" s="3">
        <f>3056+778+348+17+820</f>
        <v>5019</v>
      </c>
      <c r="AN15" s="3">
        <f>2970+621+355+16+532</f>
        <v>4494</v>
      </c>
      <c r="AO15" s="3">
        <f>3031+802+263+30+583</f>
        <v>4709</v>
      </c>
      <c r="AP15" s="3">
        <f>2877+773+240+7+762</f>
        <v>4659</v>
      </c>
      <c r="AQ15" s="3">
        <f>2882+794+209+19+667</f>
        <v>4571</v>
      </c>
      <c r="AR15" s="3">
        <f>2721+559+156+10+633</f>
        <v>4079</v>
      </c>
      <c r="AS15" s="3">
        <f>2030+286+104+32+706</f>
        <v>3158</v>
      </c>
      <c r="AT15" s="3">
        <f>2153+342+142+60+732</f>
        <v>3429</v>
      </c>
      <c r="AU15" s="3">
        <f>1655+172+62+40+493</f>
        <v>2422</v>
      </c>
      <c r="AV15" s="3">
        <f>1116+80+26+40+395</f>
        <v>1657</v>
      </c>
      <c r="AW15" s="3">
        <f>876+82+28+38+381</f>
        <v>1405</v>
      </c>
      <c r="AX15" s="3">
        <f>852+54+23+46+326</f>
        <v>1301</v>
      </c>
      <c r="AY15" s="3">
        <f>350+32+14+65+201</f>
        <v>662</v>
      </c>
      <c r="AZ15" s="3">
        <f>12+32+17+60+189</f>
        <v>310</v>
      </c>
      <c r="BA15" s="3">
        <f>328+75+21+36+242</f>
        <v>702</v>
      </c>
      <c r="BB15" s="3">
        <f>489+101+53+28+260</f>
        <v>931</v>
      </c>
      <c r="BC15" s="3">
        <f>585+29+20+15+286</f>
        <v>935</v>
      </c>
      <c r="BD15" s="3">
        <f>787+68+37+14+306</f>
        <v>1212</v>
      </c>
      <c r="BE15" s="3">
        <f>967+40+21+2+287</f>
        <v>1317</v>
      </c>
      <c r="BF15" s="3">
        <f>653+58+23+18+339</f>
        <v>1091</v>
      </c>
      <c r="BG15" s="3">
        <f>775+51+24+22+411</f>
        <v>1283</v>
      </c>
      <c r="BH15" s="3">
        <f>1097+62+28+18+332</f>
        <v>1537</v>
      </c>
      <c r="BI15" s="3">
        <f>1358+95+41+3+286</f>
        <v>1783</v>
      </c>
      <c r="BJ15" s="3">
        <f>1522+108+42+9+262</f>
        <v>1943</v>
      </c>
      <c r="BK15" s="3">
        <f>1324+47+26+5+233</f>
        <v>1635</v>
      </c>
      <c r="BL15" s="3">
        <f>1501+25+3+1+198</f>
        <v>1728</v>
      </c>
      <c r="BM15" s="3">
        <f>1534+48+16+9+241</f>
        <v>1848</v>
      </c>
      <c r="BN15" s="3">
        <f>1759+47+26+10+247</f>
        <v>2089</v>
      </c>
      <c r="BO15" s="3">
        <f>1696+51+15+7+286</f>
        <v>2055</v>
      </c>
      <c r="BP15" s="3">
        <f>1519+62+21+7+297</f>
        <v>1906</v>
      </c>
      <c r="BQ15" s="3">
        <f>1058+47+23+0+342</f>
        <v>1470</v>
      </c>
      <c r="BR15" s="3">
        <f>753+57+17+10+283</f>
        <v>1120</v>
      </c>
      <c r="BS15" s="3">
        <f>572+58+10+6+201</f>
        <v>847</v>
      </c>
      <c r="BT15" s="3">
        <f>483+19+10+13+144</f>
        <v>669</v>
      </c>
      <c r="BU15" s="3">
        <f>233+76+35+6+103</f>
        <v>453</v>
      </c>
      <c r="BV15" s="3">
        <f>27+3+3+6+69</f>
        <v>108</v>
      </c>
      <c r="BW15" s="3">
        <f>112+15+8+6+52</f>
        <v>193</v>
      </c>
      <c r="BX15" s="3">
        <f>131+32+13+2+68</f>
        <v>246</v>
      </c>
      <c r="BY15" s="3">
        <f>124+45+10+5+74</f>
        <v>258</v>
      </c>
      <c r="BZ15" s="3">
        <f>213+51+31+15+96</f>
        <v>406</v>
      </c>
      <c r="CA15" s="3">
        <f>76+33+14+13+90</f>
        <v>226</v>
      </c>
      <c r="CB15" s="3">
        <f>85+18+18+9+75</f>
        <v>205</v>
      </c>
      <c r="CC15" s="3">
        <f>107+28+16+4+68</f>
        <v>223</v>
      </c>
      <c r="CD15" s="3">
        <f>86+19+21+12+65</f>
        <v>203</v>
      </c>
      <c r="CE15" s="3">
        <f t="shared" ref="CE15" si="25">48+7+11+3+7</f>
        <v>76</v>
      </c>
      <c r="CF15" s="3">
        <f>56+30+10+3+8</f>
        <v>107</v>
      </c>
      <c r="CG15" s="3">
        <f>18+5+2+18+5</f>
        <v>48</v>
      </c>
      <c r="CH15" s="3">
        <f>16+3+2+60+4</f>
        <v>85</v>
      </c>
      <c r="CI15" s="3">
        <f>19+6+2+66+14</f>
        <v>107</v>
      </c>
      <c r="CJ15" s="3">
        <f>126+37+25+22+17</f>
        <v>227</v>
      </c>
      <c r="CK15" s="3">
        <f>10+4+4+9+14</f>
        <v>41</v>
      </c>
      <c r="CL15" s="3">
        <f>69+28+13+7+8</f>
        <v>125</v>
      </c>
      <c r="CM15" s="3">
        <f>9+4+3+2+8</f>
        <v>26</v>
      </c>
      <c r="CN15" s="3">
        <f>30+16+5+3+10</f>
        <v>64</v>
      </c>
      <c r="CO15" s="3">
        <f>7+1+0+5+4</f>
        <v>17</v>
      </c>
      <c r="CP15" s="3">
        <f>55+13+8+7+8</f>
        <v>91</v>
      </c>
      <c r="CQ15" s="3">
        <f>75+24+8+7+11</f>
        <v>125</v>
      </c>
      <c r="CR15" s="3">
        <f>19+7+4+6+10</f>
        <v>46</v>
      </c>
      <c r="CS15" s="3">
        <f>58+21+6+3+10</f>
        <v>98</v>
      </c>
      <c r="CT15" s="3">
        <f>58+13+8+5+8</f>
        <v>92</v>
      </c>
      <c r="CU15" s="3">
        <f>28+7+4+5+6</f>
        <v>50</v>
      </c>
      <c r="CV15" s="3">
        <f>17+8+3+21+10</f>
        <v>59</v>
      </c>
      <c r="CW15" s="3">
        <f>61+24+11+8+11</f>
        <v>115</v>
      </c>
      <c r="CX15" s="3">
        <f>156+77+33+10+18</f>
        <v>294</v>
      </c>
      <c r="CY15" s="3">
        <f>167+63+26+4+23</f>
        <v>283</v>
      </c>
      <c r="CZ15" s="3"/>
      <c r="DA15" s="3"/>
      <c r="DB15" s="3"/>
      <c r="DC15" s="3"/>
      <c r="DD15" s="3"/>
    </row>
    <row r="16" spans="1:118" x14ac:dyDescent="0.3">
      <c r="B16" s="75"/>
      <c r="E16" s="50" t="s">
        <v>67</v>
      </c>
      <c r="F16" s="49"/>
      <c r="G16" s="49" t="str">
        <f t="shared" ref="G16:AU16" si="26">IFERROR((G15-F15)/F15,"")</f>
        <v/>
      </c>
      <c r="H16" s="49" t="str">
        <f t="shared" si="26"/>
        <v/>
      </c>
      <c r="I16" s="49" t="str">
        <f t="shared" si="26"/>
        <v/>
      </c>
      <c r="J16" s="49" t="str">
        <f t="shared" si="26"/>
        <v/>
      </c>
      <c r="K16" s="49" t="str">
        <f t="shared" si="26"/>
        <v/>
      </c>
      <c r="L16" s="49">
        <f t="shared" si="26"/>
        <v>0.38354806739345887</v>
      </c>
      <c r="M16" s="49">
        <f t="shared" si="26"/>
        <v>0.21060171919770773</v>
      </c>
      <c r="N16" s="49">
        <f t="shared" si="26"/>
        <v>0.29230769230769232</v>
      </c>
      <c r="O16" s="49">
        <f t="shared" si="26"/>
        <v>0.13003663003663005</v>
      </c>
      <c r="P16" s="49">
        <f t="shared" si="26"/>
        <v>0.15842787682333873</v>
      </c>
      <c r="Q16" s="49">
        <f t="shared" si="26"/>
        <v>0.40293809024134314</v>
      </c>
      <c r="R16" s="49">
        <f t="shared" si="26"/>
        <v>-0.31887309897781102</v>
      </c>
      <c r="S16" s="49">
        <f t="shared" si="26"/>
        <v>0.31771595900439237</v>
      </c>
      <c r="T16" s="49">
        <f t="shared" si="26"/>
        <v>2.7777777777777779E-3</v>
      </c>
      <c r="U16" s="49">
        <f t="shared" si="26"/>
        <v>0.19722991689750694</v>
      </c>
      <c r="V16" s="49">
        <f t="shared" si="26"/>
        <v>0.16959740860712633</v>
      </c>
      <c r="W16" s="49">
        <f t="shared" si="26"/>
        <v>-7.9723046488625118E-2</v>
      </c>
      <c r="X16" s="49">
        <f t="shared" si="26"/>
        <v>-5.3310404127257092E-2</v>
      </c>
      <c r="Y16" s="49">
        <f t="shared" si="26"/>
        <v>-0.11739327883742053</v>
      </c>
      <c r="Z16" s="49">
        <f t="shared" si="26"/>
        <v>6.7404167738615905E-2</v>
      </c>
      <c r="AA16" s="49">
        <f t="shared" si="26"/>
        <v>-3.976861894432393E-2</v>
      </c>
      <c r="AB16" s="49">
        <f t="shared" si="26"/>
        <v>-0.10190763052208836</v>
      </c>
      <c r="AC16" s="49">
        <f t="shared" si="26"/>
        <v>5.4220234768026829E-2</v>
      </c>
      <c r="AD16" s="49">
        <f t="shared" si="26"/>
        <v>-0.18319194061505834</v>
      </c>
      <c r="AE16" s="49">
        <f t="shared" si="26"/>
        <v>0.10548523206751055</v>
      </c>
      <c r="AF16" s="49">
        <f t="shared" si="26"/>
        <v>3.1121550205519672E-2</v>
      </c>
      <c r="AG16" s="49">
        <f t="shared" si="26"/>
        <v>1.765375854214123E-2</v>
      </c>
      <c r="AH16" s="49">
        <f t="shared" si="26"/>
        <v>-0.14941242305540012</v>
      </c>
      <c r="AI16" s="49">
        <f t="shared" si="26"/>
        <v>4.9342105263157895E-2</v>
      </c>
      <c r="AJ16" s="49">
        <f t="shared" si="26"/>
        <v>3.385579937304075E-2</v>
      </c>
      <c r="AK16" s="49">
        <f t="shared" si="26"/>
        <v>0.26137052759248031</v>
      </c>
      <c r="AL16" s="49">
        <f t="shared" si="26"/>
        <v>0.22836538461538461</v>
      </c>
      <c r="AM16" s="49">
        <f t="shared" si="26"/>
        <v>-1.7808219178082191E-2</v>
      </c>
      <c r="AN16" s="49">
        <f t="shared" si="26"/>
        <v>-0.10460251046025104</v>
      </c>
      <c r="AO16" s="49">
        <f t="shared" si="26"/>
        <v>4.7841566533155321E-2</v>
      </c>
      <c r="AP16" s="49">
        <f t="shared" si="26"/>
        <v>-1.0617965597791464E-2</v>
      </c>
      <c r="AQ16" s="49">
        <f t="shared" si="26"/>
        <v>-1.8888173427774199E-2</v>
      </c>
      <c r="AR16" s="49">
        <f t="shared" si="26"/>
        <v>-0.10763509078976154</v>
      </c>
      <c r="AS16" s="49">
        <f t="shared" si="26"/>
        <v>-0.2257906349595489</v>
      </c>
      <c r="AT16" s="49">
        <f t="shared" si="26"/>
        <v>8.5813806206459786E-2</v>
      </c>
      <c r="AU16" s="49">
        <f t="shared" si="26"/>
        <v>-0.29367162438028582</v>
      </c>
      <c r="AV16" s="49">
        <f>IFERROR((AV15-AR15)/AR15,"")</f>
        <v>-0.59377298357440544</v>
      </c>
      <c r="AW16" s="49">
        <f>IFERROR((AW15-AS15)/AS15,"")</f>
        <v>-0.55509816339455353</v>
      </c>
      <c r="AX16" s="49">
        <f>IFERROR((AX15-AT15)/AT15,"")</f>
        <v>-0.62058909303003795</v>
      </c>
      <c r="AY16" s="49">
        <f>IFERROR((AY15-AR15)/AR15,"")</f>
        <v>-0.83770531993135577</v>
      </c>
      <c r="AZ16" s="49">
        <f>IFERROR((AZ15-AS15)/AS15,"")</f>
        <v>-0.90183660544648514</v>
      </c>
      <c r="BA16" s="49">
        <f>IFERROR((BA15-AT15)/AT15,"")</f>
        <v>-0.79527559055118113</v>
      </c>
      <c r="BB16" s="49">
        <f>IFERROR((BB15-AR15)/AR15,"")</f>
        <v>-0.77175778377053195</v>
      </c>
      <c r="BC16" s="49">
        <f>IFERROR((BC15-AS15)/AS15,"")</f>
        <v>-0.70392653578214059</v>
      </c>
      <c r="BD16" s="49">
        <f>IFERROR((BD15-AT15)/AT15,"")</f>
        <v>-0.64654418197725283</v>
      </c>
      <c r="BE16" s="49">
        <f>IFERROR((BE15-AS15)/AS15,"")</f>
        <v>-0.58296390120329322</v>
      </c>
      <c r="BF16" s="49">
        <f>IFERROR((BF15-AT15)/AT15,"")</f>
        <v>-0.68183143773694954</v>
      </c>
      <c r="BG16" s="49">
        <f>IFERROR((BG15-AS15)/AS15,"")</f>
        <v>-0.59373020899303353</v>
      </c>
      <c r="BH16" s="49">
        <f>IFERROR((BH15-AT15)/AT15,"")</f>
        <v>-0.5517643627879848</v>
      </c>
      <c r="BI16" s="49">
        <f>IFERROR((BI15-AS15)/AS15,"")</f>
        <v>-0.43540215326155796</v>
      </c>
      <c r="BJ16" s="49">
        <f>IFERROR((BJ15-AT15)/AT15,"")</f>
        <v>-0.43336249635462232</v>
      </c>
      <c r="BK16" s="49">
        <f t="shared" ref="BK16:BO16" si="27">IFERROR((BK15-AP15)/AP15,"")</f>
        <v>-0.64906632324533164</v>
      </c>
      <c r="BL16" s="49">
        <f t="shared" si="27"/>
        <v>-0.62196455917742288</v>
      </c>
      <c r="BM16" s="49">
        <f t="shared" si="27"/>
        <v>-0.54694778131895072</v>
      </c>
      <c r="BN16" s="49">
        <f t="shared" si="27"/>
        <v>-0.33850538315389489</v>
      </c>
      <c r="BO16" s="49">
        <f t="shared" si="27"/>
        <v>-0.40069991251093612</v>
      </c>
      <c r="BP16" s="49">
        <f>IFERROR((BP15-AS15)/AS15,"")</f>
        <v>-0.39645345155161493</v>
      </c>
      <c r="BQ16" s="49">
        <f>IFERROR((BQ15-AT15)/AT15,"")</f>
        <v>-0.57130358705161854</v>
      </c>
      <c r="BR16" s="49">
        <f>IFERROR((BR15-AS15)/AS15,"")</f>
        <v>-0.6453451551614946</v>
      </c>
      <c r="BS16" s="49">
        <f>IFERROR((BS15-AT15)/AT15,"")</f>
        <v>-0.75298920968212302</v>
      </c>
      <c r="BT16" s="49">
        <f>IFERROR((BT15-AT15)/AT15,"")</f>
        <v>-0.80489938757655288</v>
      </c>
      <c r="BU16" s="49">
        <f>IFERROR((BU15-AR15)/AR15,"")</f>
        <v>-0.88894336847266486</v>
      </c>
      <c r="BV16" s="49">
        <f>IFERROR((BV15-AS15)/AS15,"")</f>
        <v>-0.96580113996200123</v>
      </c>
      <c r="BW16" s="49">
        <f>IFERROR((BW15-AT15)/AT15,"")</f>
        <v>-0.9437153689122193</v>
      </c>
      <c r="BX16" s="49">
        <f>IFERROR((BX15-AT15)/AT15,"")</f>
        <v>-0.92825896762904636</v>
      </c>
      <c r="BY16" s="49">
        <f>IFERROR((BY15-AR15)/AR15,"")</f>
        <v>-0.93674920323608724</v>
      </c>
      <c r="BZ16" s="49">
        <f>IFERROR((BZ15-AS15)/AS15,"")</f>
        <v>-0.87143761874604175</v>
      </c>
      <c r="CA16" s="49">
        <f>IFERROR((CA15-AT15)/AT15,"")</f>
        <v>-0.93409157188684744</v>
      </c>
      <c r="CB16" s="49">
        <f>IFERROR((CB15-AT15)/AT15,"")</f>
        <v>-0.94021580635753865</v>
      </c>
      <c r="CC16" s="49">
        <f>IFERROR((CC15-AS15)/AS15,"")</f>
        <v>-0.92938568714376191</v>
      </c>
      <c r="CD16" s="49">
        <f>IFERROR((CD15-AT15)/AT15,"")</f>
        <v>-0.9407990667833187</v>
      </c>
      <c r="CE16" s="49">
        <f>IFERROR((CE15-AR15)/AR15,"")</f>
        <v>-0.98136798234861489</v>
      </c>
      <c r="CF16" s="49">
        <f>IFERROR((CF15-AS15)/AS15,"")</f>
        <v>-0.96611779607346426</v>
      </c>
      <c r="CG16" s="49">
        <f>IFERROR((CG15-AT15)/AT15,"")</f>
        <v>-0.9860017497812773</v>
      </c>
      <c r="CH16" s="49">
        <f>IFERROR((CH15-AR15)/AR15,"")</f>
        <v>-0.9791615592056877</v>
      </c>
      <c r="CI16" s="49">
        <f>IFERROR((CI15-AS15)/AS15,"")</f>
        <v>-0.96611779607346426</v>
      </c>
      <c r="CJ16" s="49">
        <f>IFERROR((CJ15-AT15)/AT15,"")</f>
        <v>-0.93379994167395741</v>
      </c>
      <c r="CK16" s="49">
        <f>IFERROR((CK15-AT15)/AT15,"")</f>
        <v>-0.98804316127150771</v>
      </c>
      <c r="CL16" s="49">
        <f>IFERROR((CL15-AS15)/AS15,"")</f>
        <v>-0.96041798606713114</v>
      </c>
      <c r="CM16" s="49">
        <f>IFERROR((CM15-AT15)/AT15,"")</f>
        <v>-0.99241761446485854</v>
      </c>
      <c r="CN16" s="49">
        <f>IFERROR((CN15-AU15)/AU15,"")</f>
        <v>-0.97357555739058632</v>
      </c>
      <c r="CO16" s="49">
        <f>IFERROR((CO15-CM15)/CM15,"")</f>
        <v>-0.34615384615384615</v>
      </c>
      <c r="CP16" s="49">
        <f>IFERROR((CP15-CK15)/CK15,"")</f>
        <v>1.2195121951219512</v>
      </c>
      <c r="CQ16" s="49">
        <f>IFERROR((CQ15-CL15)/CL15,"")</f>
        <v>0</v>
      </c>
      <c r="CR16" s="49">
        <f>IFERROR((CR15-CK15)/CK15,"")</f>
        <v>0.12195121951219512</v>
      </c>
      <c r="CS16" s="49">
        <f>IFERROR((CS15-CL15)/CL15,"")</f>
        <v>-0.216</v>
      </c>
      <c r="CT16" s="49">
        <f>IFERROR((CT15-CK15)/CK15,"")</f>
        <v>1.2439024390243902</v>
      </c>
      <c r="CU16" s="49">
        <f>IFERROR((CU15-CL15)/CL15,"")</f>
        <v>-0.6</v>
      </c>
      <c r="CV16" s="49">
        <f>IFERROR((CV15-CK15)/CK15,"")</f>
        <v>0.43902439024390244</v>
      </c>
      <c r="CW16" s="49">
        <f>IFERROR((CW15-CL15)/CL15,"")</f>
        <v>-0.08</v>
      </c>
      <c r="CX16" s="49">
        <f>IFERROR((CX15-CK15)/CK15,"")</f>
        <v>6.1707317073170733</v>
      </c>
      <c r="CY16" s="49">
        <f>IFERROR((CY15-CL15)/CL15,"")</f>
        <v>1.264</v>
      </c>
      <c r="CZ16" s="49">
        <f>IFERROR((CZ15-CJ15)/CJ15,"")</f>
        <v>-1</v>
      </c>
      <c r="DA16" s="49">
        <f>IFERROR((DA15-CK15)/CK15,"")</f>
        <v>-1</v>
      </c>
      <c r="DB16" s="49">
        <f>IFERROR((DB15-CL15)/CL15,"")</f>
        <v>-1</v>
      </c>
      <c r="DC16" s="49">
        <f>IFERROR((DC15-CM15)/CM15,"")</f>
        <v>-1</v>
      </c>
      <c r="DD16" s="49">
        <f>IFERROR((DD15-CN15)/CN15,"")</f>
        <v>-1</v>
      </c>
    </row>
    <row r="17" spans="2:110" x14ac:dyDescent="0.3">
      <c r="B17" s="75"/>
      <c r="E17" s="52" t="s">
        <v>69</v>
      </c>
      <c r="F17" s="53">
        <v>1521</v>
      </c>
      <c r="G17" s="53">
        <v>1177</v>
      </c>
      <c r="H17" s="53">
        <v>1057</v>
      </c>
      <c r="I17" s="53">
        <v>1981</v>
      </c>
      <c r="J17" s="53">
        <v>2637</v>
      </c>
      <c r="K17" s="53">
        <v>2588</v>
      </c>
      <c r="L17" s="53">
        <v>2473</v>
      </c>
      <c r="M17" s="53">
        <v>2807</v>
      </c>
      <c r="N17" s="53">
        <v>2011</v>
      </c>
      <c r="O17" s="53">
        <v>1341</v>
      </c>
      <c r="P17" s="53">
        <v>4841</v>
      </c>
      <c r="Q17" s="53">
        <v>4393</v>
      </c>
      <c r="R17" s="53">
        <v>4390</v>
      </c>
      <c r="S17" s="53">
        <v>3683</v>
      </c>
      <c r="T17" s="53">
        <v>3052</v>
      </c>
      <c r="U17" s="53">
        <v>2182</v>
      </c>
      <c r="V17" s="53">
        <v>1052</v>
      </c>
      <c r="W17" s="53">
        <v>2838</v>
      </c>
      <c r="X17" s="53">
        <v>2808</v>
      </c>
      <c r="Y17" s="53">
        <v>2221</v>
      </c>
      <c r="Z17" s="53">
        <v>2110</v>
      </c>
      <c r="AA17" s="53">
        <v>2038</v>
      </c>
      <c r="AB17" s="53">
        <v>1430</v>
      </c>
      <c r="AC17" s="53">
        <v>1074</v>
      </c>
      <c r="AD17" s="53">
        <v>1860</v>
      </c>
      <c r="AE17" s="53">
        <v>1834</v>
      </c>
      <c r="AF17" s="53">
        <v>2320</v>
      </c>
      <c r="AG17" s="53">
        <v>2265</v>
      </c>
      <c r="AH17" s="53">
        <v>2200</v>
      </c>
      <c r="AI17" s="53">
        <v>1420</v>
      </c>
      <c r="AJ17" s="53">
        <v>1127</v>
      </c>
      <c r="AK17" s="53">
        <v>2753</v>
      </c>
      <c r="AL17" s="53">
        <v>3133</v>
      </c>
      <c r="AM17" s="53">
        <v>2837</v>
      </c>
      <c r="AN17" s="53">
        <v>2681</v>
      </c>
      <c r="AO17" s="53">
        <v>2413</v>
      </c>
      <c r="AP17" s="53">
        <v>1329</v>
      </c>
      <c r="AQ17" s="53">
        <v>842</v>
      </c>
      <c r="AR17" s="53">
        <v>657</v>
      </c>
      <c r="AS17" s="53">
        <v>2334</v>
      </c>
      <c r="AT17" s="53">
        <v>2010</v>
      </c>
      <c r="AU17" s="53">
        <v>1911</v>
      </c>
      <c r="AV17" s="53">
        <v>1777</v>
      </c>
      <c r="AW17" s="53">
        <v>1141</v>
      </c>
      <c r="AX17" s="53">
        <v>653</v>
      </c>
      <c r="AY17" s="53">
        <v>547</v>
      </c>
      <c r="AZ17" s="53">
        <v>2764</v>
      </c>
      <c r="BA17" s="53">
        <v>2400</v>
      </c>
      <c r="BB17" s="53">
        <v>2065</v>
      </c>
      <c r="BC17" s="53">
        <v>1866</v>
      </c>
      <c r="BD17" s="53">
        <v>1218</v>
      </c>
      <c r="BE17" s="53">
        <v>669</v>
      </c>
      <c r="BF17" s="53">
        <v>2452</v>
      </c>
      <c r="BG17" s="53">
        <v>2018</v>
      </c>
      <c r="BH17" s="53">
        <v>2384</v>
      </c>
      <c r="BI17" s="53">
        <v>2332</v>
      </c>
      <c r="BJ17" s="53">
        <v>2240</v>
      </c>
      <c r="BK17" s="53">
        <v>1338</v>
      </c>
      <c r="BL17" s="53">
        <v>854</v>
      </c>
      <c r="BM17" s="53">
        <v>2605</v>
      </c>
      <c r="BN17" s="53">
        <v>2439</v>
      </c>
      <c r="BO17" s="53">
        <v>2658</v>
      </c>
      <c r="BP17" s="53">
        <v>2312</v>
      </c>
      <c r="BQ17" s="53">
        <v>2272</v>
      </c>
      <c r="BR17" s="53">
        <v>1378</v>
      </c>
      <c r="BS17" s="53">
        <v>840</v>
      </c>
      <c r="BT17" s="53">
        <v>2960</v>
      </c>
      <c r="BU17" s="53">
        <v>2541</v>
      </c>
      <c r="BV17" s="53">
        <v>1913</v>
      </c>
      <c r="BW17" s="53">
        <v>1822</v>
      </c>
      <c r="BX17" s="53">
        <v>1613</v>
      </c>
      <c r="BY17" s="53">
        <v>840</v>
      </c>
      <c r="BZ17" s="53">
        <v>564</v>
      </c>
      <c r="CA17" s="53">
        <v>1600</v>
      </c>
      <c r="CB17" s="53">
        <v>1515</v>
      </c>
      <c r="CC17" s="53">
        <v>1359</v>
      </c>
      <c r="CD17" s="53">
        <v>1254</v>
      </c>
      <c r="CE17" s="53">
        <v>1153</v>
      </c>
      <c r="CF17" s="53">
        <v>670</v>
      </c>
      <c r="CG17" s="53">
        <v>445</v>
      </c>
      <c r="CH17" s="53">
        <v>558</v>
      </c>
      <c r="CI17" s="53">
        <v>1247</v>
      </c>
      <c r="CJ17" s="53">
        <v>1057</v>
      </c>
      <c r="CK17" s="53">
        <v>983</v>
      </c>
      <c r="CL17" s="53">
        <v>904</v>
      </c>
      <c r="CM17" s="53">
        <v>575</v>
      </c>
      <c r="CN17" s="53">
        <v>372</v>
      </c>
      <c r="CO17" s="53">
        <v>1090</v>
      </c>
      <c r="CP17" s="53">
        <v>979</v>
      </c>
      <c r="CQ17" s="53">
        <v>926</v>
      </c>
      <c r="CR17" s="53">
        <v>858</v>
      </c>
      <c r="CS17" s="53">
        <v>762</v>
      </c>
      <c r="CT17" s="53">
        <v>505</v>
      </c>
      <c r="CU17" s="53">
        <v>315</v>
      </c>
      <c r="CV17" s="53">
        <v>1003</v>
      </c>
      <c r="CW17" s="53">
        <v>921</v>
      </c>
      <c r="CX17" s="53">
        <v>964</v>
      </c>
      <c r="CY17" s="53">
        <v>907</v>
      </c>
      <c r="CZ17" s="53">
        <v>791</v>
      </c>
      <c r="DA17" s="53">
        <v>496</v>
      </c>
      <c r="DB17" s="53">
        <v>330</v>
      </c>
      <c r="DC17" s="53"/>
      <c r="DD17" s="53"/>
    </row>
    <row r="18" spans="2:110" x14ac:dyDescent="0.3">
      <c r="B18" s="75"/>
      <c r="E18" s="51" t="s">
        <v>68</v>
      </c>
      <c r="F18" s="3">
        <f t="shared" ref="F18:BQ18" si="28">F17+F15</f>
        <v>1521</v>
      </c>
      <c r="G18" s="3">
        <f t="shared" si="28"/>
        <v>1177</v>
      </c>
      <c r="H18" s="3">
        <f t="shared" si="28"/>
        <v>1057</v>
      </c>
      <c r="I18" s="3">
        <f t="shared" si="28"/>
        <v>1981</v>
      </c>
      <c r="J18" s="3">
        <f t="shared" si="28"/>
        <v>2637</v>
      </c>
      <c r="K18" s="3">
        <f t="shared" si="28"/>
        <v>3597</v>
      </c>
      <c r="L18" s="3">
        <f t="shared" si="28"/>
        <v>3869</v>
      </c>
      <c r="M18" s="3">
        <f t="shared" si="28"/>
        <v>4497</v>
      </c>
      <c r="N18" s="3">
        <f t="shared" si="28"/>
        <v>4195</v>
      </c>
      <c r="O18" s="3">
        <f t="shared" si="28"/>
        <v>3809</v>
      </c>
      <c r="P18" s="3">
        <f t="shared" si="28"/>
        <v>7700</v>
      </c>
      <c r="Q18" s="3">
        <f t="shared" si="28"/>
        <v>8404</v>
      </c>
      <c r="R18" s="3">
        <f t="shared" si="28"/>
        <v>7122</v>
      </c>
      <c r="S18" s="3">
        <f t="shared" si="28"/>
        <v>7283</v>
      </c>
      <c r="T18" s="3">
        <f t="shared" si="28"/>
        <v>6662</v>
      </c>
      <c r="U18" s="3">
        <f t="shared" si="28"/>
        <v>6504</v>
      </c>
      <c r="V18" s="3">
        <f t="shared" si="28"/>
        <v>6107</v>
      </c>
      <c r="W18" s="3">
        <f t="shared" si="28"/>
        <v>7490</v>
      </c>
      <c r="X18" s="3">
        <f t="shared" si="28"/>
        <v>7212</v>
      </c>
      <c r="Y18" s="3">
        <f t="shared" si="28"/>
        <v>6108</v>
      </c>
      <c r="Z18" s="3">
        <f t="shared" si="28"/>
        <v>6259</v>
      </c>
      <c r="AA18" s="3">
        <f t="shared" si="28"/>
        <v>6022</v>
      </c>
      <c r="AB18" s="3">
        <f t="shared" si="28"/>
        <v>5008</v>
      </c>
      <c r="AC18" s="3">
        <f t="shared" si="28"/>
        <v>4846</v>
      </c>
      <c r="AD18" s="3">
        <f t="shared" si="28"/>
        <v>4941</v>
      </c>
      <c r="AE18" s="3">
        <f t="shared" si="28"/>
        <v>5240</v>
      </c>
      <c r="AF18" s="3">
        <f t="shared" si="28"/>
        <v>5832</v>
      </c>
      <c r="AG18" s="3">
        <f t="shared" si="28"/>
        <v>5839</v>
      </c>
      <c r="AH18" s="3">
        <f t="shared" si="28"/>
        <v>5240</v>
      </c>
      <c r="AI18" s="3">
        <f t="shared" si="28"/>
        <v>4610</v>
      </c>
      <c r="AJ18" s="3">
        <f t="shared" si="28"/>
        <v>4425</v>
      </c>
      <c r="AK18" s="3">
        <f t="shared" si="28"/>
        <v>6913</v>
      </c>
      <c r="AL18" s="3">
        <f t="shared" si="28"/>
        <v>8243</v>
      </c>
      <c r="AM18" s="3">
        <f t="shared" si="28"/>
        <v>7856</v>
      </c>
      <c r="AN18" s="3">
        <f t="shared" si="28"/>
        <v>7175</v>
      </c>
      <c r="AO18" s="3">
        <f t="shared" si="28"/>
        <v>7122</v>
      </c>
      <c r="AP18" s="3">
        <f t="shared" si="28"/>
        <v>5988</v>
      </c>
      <c r="AQ18" s="3">
        <f t="shared" si="28"/>
        <v>5413</v>
      </c>
      <c r="AR18" s="3">
        <f t="shared" si="28"/>
        <v>4736</v>
      </c>
      <c r="AS18" s="3">
        <f t="shared" si="28"/>
        <v>5492</v>
      </c>
      <c r="AT18" s="3">
        <f t="shared" si="28"/>
        <v>5439</v>
      </c>
      <c r="AU18" s="3">
        <f t="shared" si="28"/>
        <v>4333</v>
      </c>
      <c r="AV18" s="3">
        <f t="shared" si="28"/>
        <v>3434</v>
      </c>
      <c r="AW18" s="3">
        <f t="shared" si="28"/>
        <v>2546</v>
      </c>
      <c r="AX18" s="3">
        <f t="shared" si="28"/>
        <v>1954</v>
      </c>
      <c r="AY18" s="3">
        <f t="shared" si="28"/>
        <v>1209</v>
      </c>
      <c r="AZ18" s="3">
        <f t="shared" si="28"/>
        <v>3074</v>
      </c>
      <c r="BA18" s="3">
        <f t="shared" si="28"/>
        <v>3102</v>
      </c>
      <c r="BB18" s="3">
        <f t="shared" si="28"/>
        <v>2996</v>
      </c>
      <c r="BC18" s="3">
        <f t="shared" si="28"/>
        <v>2801</v>
      </c>
      <c r="BD18" s="3">
        <f t="shared" si="28"/>
        <v>2430</v>
      </c>
      <c r="BE18" s="3">
        <f t="shared" si="28"/>
        <v>1986</v>
      </c>
      <c r="BF18" s="3">
        <f t="shared" si="28"/>
        <v>3543</v>
      </c>
      <c r="BG18" s="3">
        <f t="shared" si="28"/>
        <v>3301</v>
      </c>
      <c r="BH18" s="3">
        <f t="shared" si="28"/>
        <v>3921</v>
      </c>
      <c r="BI18" s="3">
        <f t="shared" si="28"/>
        <v>4115</v>
      </c>
      <c r="BJ18" s="3">
        <f t="shared" si="28"/>
        <v>4183</v>
      </c>
      <c r="BK18" s="3">
        <f t="shared" si="28"/>
        <v>2973</v>
      </c>
      <c r="BL18" s="3">
        <f t="shared" si="28"/>
        <v>2582</v>
      </c>
      <c r="BM18" s="3">
        <f t="shared" si="28"/>
        <v>4453</v>
      </c>
      <c r="BN18" s="3">
        <f t="shared" si="28"/>
        <v>4528</v>
      </c>
      <c r="BO18" s="3">
        <f t="shared" si="28"/>
        <v>4713</v>
      </c>
      <c r="BP18" s="3">
        <f t="shared" si="28"/>
        <v>4218</v>
      </c>
      <c r="BQ18" s="3">
        <f t="shared" si="28"/>
        <v>3742</v>
      </c>
      <c r="BR18" s="3">
        <f t="shared" ref="BR18:CD18" si="29">BR17+BR15</f>
        <v>2498</v>
      </c>
      <c r="BS18" s="3">
        <f t="shared" si="29"/>
        <v>1687</v>
      </c>
      <c r="BT18" s="3">
        <f t="shared" si="29"/>
        <v>3629</v>
      </c>
      <c r="BU18" s="3">
        <f t="shared" si="29"/>
        <v>2994</v>
      </c>
      <c r="BV18" s="3">
        <f t="shared" si="29"/>
        <v>2021</v>
      </c>
      <c r="BW18" s="3">
        <f t="shared" si="29"/>
        <v>2015</v>
      </c>
      <c r="BX18" s="3">
        <f t="shared" si="29"/>
        <v>1859</v>
      </c>
      <c r="BY18" s="3">
        <f t="shared" si="29"/>
        <v>1098</v>
      </c>
      <c r="BZ18" s="3">
        <f t="shared" si="29"/>
        <v>970</v>
      </c>
      <c r="CA18" s="3">
        <f t="shared" si="29"/>
        <v>1826</v>
      </c>
      <c r="CB18" s="3">
        <f t="shared" si="29"/>
        <v>1720</v>
      </c>
      <c r="CC18" s="3">
        <f t="shared" si="29"/>
        <v>1582</v>
      </c>
      <c r="CD18" s="3">
        <f t="shared" si="29"/>
        <v>1457</v>
      </c>
      <c r="CE18" s="3">
        <f t="shared" ref="CE18:DD18" si="30">CE11+CE15</f>
        <v>944</v>
      </c>
      <c r="CF18" s="3">
        <f t="shared" si="30"/>
        <v>683</v>
      </c>
      <c r="CG18" s="3">
        <f t="shared" si="30"/>
        <v>447</v>
      </c>
      <c r="CH18" s="3">
        <f t="shared" si="30"/>
        <v>698</v>
      </c>
      <c r="CI18" s="3">
        <f t="shared" si="30"/>
        <v>1197</v>
      </c>
      <c r="CJ18" s="3">
        <f t="shared" si="30"/>
        <v>1208</v>
      </c>
      <c r="CK18" s="3">
        <f t="shared" si="30"/>
        <v>1009</v>
      </c>
      <c r="CL18" s="3">
        <f t="shared" si="30"/>
        <v>913</v>
      </c>
      <c r="CM18" s="3">
        <f t="shared" si="30"/>
        <v>555</v>
      </c>
      <c r="CN18" s="3">
        <f t="shared" si="30"/>
        <v>400</v>
      </c>
      <c r="CO18" s="3">
        <f t="shared" si="30"/>
        <v>1015</v>
      </c>
      <c r="CP18" s="3">
        <f t="shared" si="30"/>
        <v>1111</v>
      </c>
      <c r="CQ18" s="3">
        <f t="shared" si="30"/>
        <v>873</v>
      </c>
      <c r="CR18" s="3">
        <f t="shared" si="30"/>
        <v>993</v>
      </c>
      <c r="CS18" s="3">
        <f t="shared" si="30"/>
        <v>915</v>
      </c>
      <c r="CT18" s="3">
        <f t="shared" si="30"/>
        <v>578</v>
      </c>
      <c r="CU18" s="3">
        <f t="shared" si="30"/>
        <v>411</v>
      </c>
      <c r="CV18" s="3">
        <f t="shared" si="30"/>
        <v>1078</v>
      </c>
      <c r="CW18" s="3">
        <f t="shared" si="30"/>
        <v>1240</v>
      </c>
      <c r="CX18" s="3">
        <f t="shared" si="30"/>
        <v>1301</v>
      </c>
      <c r="CY18" s="3">
        <f t="shared" si="30"/>
        <v>283</v>
      </c>
      <c r="CZ18" s="3">
        <f t="shared" si="30"/>
        <v>0</v>
      </c>
      <c r="DA18" s="3">
        <f t="shared" si="30"/>
        <v>0</v>
      </c>
      <c r="DB18" s="3">
        <f t="shared" si="30"/>
        <v>0</v>
      </c>
      <c r="DC18" s="3">
        <f t="shared" si="30"/>
        <v>0</v>
      </c>
      <c r="DD18" s="3">
        <f t="shared" si="30"/>
        <v>0</v>
      </c>
    </row>
    <row r="19" spans="2:110" s="32" customFormat="1" ht="15" thickBot="1" x14ac:dyDescent="0.35">
      <c r="B19" s="75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48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63">
        <v>2100</v>
      </c>
      <c r="BC19" s="62"/>
      <c r="BD19" s="62"/>
      <c r="BE19" s="62"/>
      <c r="BF19" s="63">
        <v>2025</v>
      </c>
      <c r="BG19" s="62"/>
      <c r="BH19" s="62"/>
      <c r="BI19" s="63">
        <v>1966</v>
      </c>
      <c r="BJ19" s="62"/>
      <c r="BK19" s="62"/>
      <c r="BL19" s="62"/>
      <c r="BM19" s="62"/>
      <c r="BN19" s="62"/>
      <c r="BO19" s="63">
        <v>1808</v>
      </c>
      <c r="BP19" s="62"/>
      <c r="BQ19" s="62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21"/>
    </row>
    <row r="20" spans="2:110" ht="15" thickBot="1" x14ac:dyDescent="0.35">
      <c r="B20" s="75"/>
      <c r="E20" s="23" t="s">
        <v>5</v>
      </c>
      <c r="F20" s="8">
        <v>593</v>
      </c>
      <c r="G20" s="8">
        <v>892</v>
      </c>
      <c r="H20" s="8">
        <v>1015</v>
      </c>
      <c r="I20" s="8">
        <v>1368</v>
      </c>
      <c r="J20" s="8">
        <v>1888</v>
      </c>
      <c r="K20" s="8">
        <v>1903</v>
      </c>
      <c r="L20" s="8">
        <v>2088</v>
      </c>
      <c r="M20" s="8">
        <v>2093</v>
      </c>
      <c r="N20" s="8">
        <v>1360</v>
      </c>
      <c r="O20" s="8">
        <v>842</v>
      </c>
      <c r="P20" s="8">
        <v>1944</v>
      </c>
      <c r="Q20" s="8">
        <v>1801</v>
      </c>
      <c r="R20" s="8">
        <v>1970</v>
      </c>
      <c r="S20" s="8">
        <v>1666</v>
      </c>
      <c r="T20" s="8">
        <v>1565</v>
      </c>
      <c r="U20" s="8">
        <v>724</v>
      </c>
      <c r="V20" s="8">
        <v>1130</v>
      </c>
      <c r="W20" s="8">
        <v>1860</v>
      </c>
      <c r="X20" s="8">
        <v>1969</v>
      </c>
      <c r="Y20" s="8">
        <v>1761</v>
      </c>
      <c r="Z20" s="8">
        <v>2028</v>
      </c>
      <c r="AA20" s="8">
        <v>2339</v>
      </c>
      <c r="AB20" s="8">
        <v>1123</v>
      </c>
      <c r="AC20" s="8">
        <v>1365</v>
      </c>
      <c r="AD20" s="8">
        <v>2332</v>
      </c>
      <c r="AE20" s="8">
        <v>2284</v>
      </c>
      <c r="AF20" s="8">
        <v>2499</v>
      </c>
      <c r="AG20" s="8">
        <v>2357</v>
      </c>
      <c r="AH20" s="8">
        <v>2201</v>
      </c>
      <c r="AI20" s="8">
        <v>1290</v>
      </c>
      <c r="AJ20" s="8">
        <v>838</v>
      </c>
      <c r="AK20" s="8">
        <v>2195</v>
      </c>
      <c r="AL20" s="8">
        <v>2041</v>
      </c>
      <c r="AM20" s="8">
        <v>2015</v>
      </c>
      <c r="AN20" s="8">
        <v>2145</v>
      </c>
      <c r="AO20" s="8">
        <v>2256</v>
      </c>
      <c r="AP20" s="8">
        <v>1201</v>
      </c>
      <c r="AQ20" s="8">
        <v>1192</v>
      </c>
      <c r="AR20" s="8">
        <v>1494</v>
      </c>
      <c r="AS20" s="8">
        <v>2242</v>
      </c>
      <c r="AT20" s="8">
        <v>2382</v>
      </c>
      <c r="AU20" s="8">
        <v>2475</v>
      </c>
      <c r="AV20" s="8">
        <v>2594</v>
      </c>
      <c r="AW20" s="8">
        <v>1295</v>
      </c>
      <c r="AX20" s="8">
        <v>1193</v>
      </c>
      <c r="AY20" s="8">
        <v>1029</v>
      </c>
      <c r="AZ20" s="8">
        <v>2153</v>
      </c>
      <c r="BA20" s="8">
        <v>2165</v>
      </c>
      <c r="BB20" s="8">
        <v>2101</v>
      </c>
      <c r="BC20" s="8">
        <v>2041</v>
      </c>
      <c r="BD20" s="8">
        <v>1082</v>
      </c>
      <c r="BE20" s="8">
        <v>883</v>
      </c>
      <c r="BF20" s="8">
        <v>2027</v>
      </c>
      <c r="BG20" s="8">
        <v>2032</v>
      </c>
      <c r="BH20" s="8">
        <v>1885</v>
      </c>
      <c r="BI20" s="8">
        <v>1969</v>
      </c>
      <c r="BJ20" s="8">
        <v>1795</v>
      </c>
      <c r="BK20" s="8">
        <v>1022</v>
      </c>
      <c r="BL20" s="8">
        <v>685</v>
      </c>
      <c r="BM20" s="8">
        <v>1788</v>
      </c>
      <c r="BN20" s="8">
        <v>1792</v>
      </c>
      <c r="BO20" s="8">
        <v>1774</v>
      </c>
      <c r="BP20" s="8">
        <v>1958</v>
      </c>
      <c r="BQ20" s="8">
        <v>1916</v>
      </c>
      <c r="BR20" s="8">
        <v>1136</v>
      </c>
      <c r="BS20" s="8">
        <v>784</v>
      </c>
      <c r="BT20" s="8">
        <v>1907</v>
      </c>
      <c r="BU20" s="8">
        <v>2097</v>
      </c>
      <c r="BV20" s="8">
        <v>1803</v>
      </c>
      <c r="BW20" s="8">
        <v>1461</v>
      </c>
      <c r="BX20" s="8">
        <v>1810</v>
      </c>
      <c r="BY20" s="8">
        <v>629</v>
      </c>
      <c r="BZ20" s="8">
        <v>728</v>
      </c>
      <c r="CA20" s="8">
        <v>1523</v>
      </c>
      <c r="CB20" s="8">
        <v>1665</v>
      </c>
      <c r="CC20" s="8">
        <v>1881</v>
      </c>
      <c r="CD20" s="8">
        <v>1608</v>
      </c>
      <c r="CE20" s="8">
        <v>1339</v>
      </c>
      <c r="CF20" s="8">
        <v>872</v>
      </c>
      <c r="CG20" s="8">
        <v>554</v>
      </c>
      <c r="CH20" s="8">
        <v>755</v>
      </c>
      <c r="CI20" s="8">
        <v>2035</v>
      </c>
      <c r="CJ20" s="8">
        <v>1583</v>
      </c>
      <c r="CK20" s="8">
        <v>1642</v>
      </c>
      <c r="CL20" s="8">
        <v>1422</v>
      </c>
      <c r="CM20" s="8">
        <v>840</v>
      </c>
      <c r="CN20" s="8">
        <v>690</v>
      </c>
      <c r="CO20" s="9">
        <v>1595</v>
      </c>
      <c r="CP20" s="9">
        <v>1607</v>
      </c>
      <c r="CQ20" s="9">
        <v>1589</v>
      </c>
      <c r="CR20" s="9">
        <v>1395</v>
      </c>
      <c r="CS20" s="9">
        <v>1359</v>
      </c>
      <c r="CT20" s="9">
        <v>778</v>
      </c>
      <c r="CU20" s="9">
        <v>812</v>
      </c>
      <c r="CV20" s="9">
        <v>1516</v>
      </c>
      <c r="CW20" s="9">
        <v>1681</v>
      </c>
      <c r="CX20" s="9">
        <v>1712</v>
      </c>
      <c r="CY20" s="9"/>
      <c r="CZ20" s="9"/>
      <c r="DA20" s="9"/>
      <c r="DB20" s="9"/>
      <c r="DC20" s="9"/>
      <c r="DD20" s="9"/>
      <c r="DE20" s="29">
        <f>SUM(F20:DD20)</f>
        <v>154713</v>
      </c>
      <c r="DF20" s="33">
        <f>DE20-DE11</f>
        <v>-11503</v>
      </c>
    </row>
    <row r="21" spans="2:110" ht="72" x14ac:dyDescent="0.3">
      <c r="B21" s="75"/>
      <c r="I21" s="22" t="s">
        <v>74</v>
      </c>
      <c r="J21" s="22" t="s">
        <v>75</v>
      </c>
      <c r="K21" s="22" t="s">
        <v>76</v>
      </c>
      <c r="L21" s="22" t="s">
        <v>76</v>
      </c>
      <c r="M21" s="22" t="s">
        <v>77</v>
      </c>
      <c r="N21" s="22" t="s">
        <v>78</v>
      </c>
      <c r="O21" s="22" t="s">
        <v>78</v>
      </c>
      <c r="P21" s="22" t="s">
        <v>74</v>
      </c>
      <c r="Q21" s="22" t="s">
        <v>79</v>
      </c>
      <c r="R21" s="22" t="s">
        <v>80</v>
      </c>
      <c r="S21" s="22" t="s">
        <v>41</v>
      </c>
      <c r="T21" s="22" t="s">
        <v>43</v>
      </c>
      <c r="U21" s="22" t="s">
        <v>44</v>
      </c>
      <c r="V21" s="22" t="s">
        <v>45</v>
      </c>
      <c r="W21" s="22" t="s">
        <v>56</v>
      </c>
      <c r="X21" s="22" t="s">
        <v>57</v>
      </c>
      <c r="Y21" s="22" t="s">
        <v>58</v>
      </c>
      <c r="Z21" s="22" t="s">
        <v>76</v>
      </c>
      <c r="AA21" s="22" t="s">
        <v>64</v>
      </c>
      <c r="AB21" s="22" t="s">
        <v>64</v>
      </c>
      <c r="AC21" s="22" t="s">
        <v>64</v>
      </c>
      <c r="AD21" s="22" t="s">
        <v>81</v>
      </c>
      <c r="AE21" s="22" t="s">
        <v>81</v>
      </c>
      <c r="AF21" s="22" t="s">
        <v>81</v>
      </c>
      <c r="AG21" s="22" t="s">
        <v>82</v>
      </c>
      <c r="AH21" s="22" t="s">
        <v>81</v>
      </c>
      <c r="AI21" s="22" t="s">
        <v>82</v>
      </c>
      <c r="AJ21" s="22" t="s">
        <v>83</v>
      </c>
      <c r="AK21" s="22" t="s">
        <v>84</v>
      </c>
      <c r="AL21" s="22" t="s">
        <v>71</v>
      </c>
      <c r="AM21" s="22" t="s">
        <v>71</v>
      </c>
      <c r="AN21" s="22" t="s">
        <v>72</v>
      </c>
      <c r="AO21" s="22" t="s">
        <v>85</v>
      </c>
      <c r="AP21" s="22" t="s">
        <v>86</v>
      </c>
      <c r="AQ21" s="22" t="s">
        <v>71</v>
      </c>
      <c r="AR21" s="22" t="s">
        <v>86</v>
      </c>
      <c r="AS21" s="22" t="s">
        <v>81</v>
      </c>
      <c r="AT21" s="22" t="s">
        <v>71</v>
      </c>
      <c r="AU21" s="22" t="s">
        <v>81</v>
      </c>
      <c r="AV21" s="22" t="s">
        <v>73</v>
      </c>
      <c r="AW21" s="22" t="s">
        <v>73</v>
      </c>
      <c r="AX21" s="22" t="s">
        <v>73</v>
      </c>
      <c r="AY21" s="22" t="s">
        <v>70</v>
      </c>
      <c r="AZ21" s="22" t="s">
        <v>71</v>
      </c>
      <c r="BA21" s="22" t="s">
        <v>71</v>
      </c>
      <c r="BB21" s="22" t="s">
        <v>87</v>
      </c>
      <c r="BC21" s="22" t="s">
        <v>89</v>
      </c>
      <c r="BD21" s="22" t="s">
        <v>89</v>
      </c>
      <c r="BE21" s="22" t="s">
        <v>88</v>
      </c>
      <c r="BF21" s="22" t="s">
        <v>89</v>
      </c>
      <c r="BG21" s="22" t="s">
        <v>89</v>
      </c>
      <c r="BH21" s="22" t="s">
        <v>89</v>
      </c>
      <c r="BI21" s="22" t="s">
        <v>90</v>
      </c>
      <c r="BJ21" s="22" t="s">
        <v>71</v>
      </c>
      <c r="BK21" s="22" t="s">
        <v>71</v>
      </c>
      <c r="BL21" s="22" t="s">
        <v>71</v>
      </c>
      <c r="BM21" s="22" t="s">
        <v>89</v>
      </c>
      <c r="BN21" s="22" t="s">
        <v>88</v>
      </c>
      <c r="BO21" s="22" t="s">
        <v>97</v>
      </c>
      <c r="BP21" s="22" t="s">
        <v>98</v>
      </c>
      <c r="BQ21" s="22" t="s">
        <v>99</v>
      </c>
      <c r="BR21" s="22" t="s">
        <v>99</v>
      </c>
      <c r="BS21" s="22" t="s">
        <v>100</v>
      </c>
      <c r="BT21" s="22" t="s">
        <v>71</v>
      </c>
      <c r="BU21" s="22" t="s">
        <v>71</v>
      </c>
      <c r="BV21" s="22" t="s">
        <v>98</v>
      </c>
      <c r="BW21" s="22" t="s">
        <v>71</v>
      </c>
      <c r="BX21" s="22" t="s">
        <v>71</v>
      </c>
      <c r="BY21" s="22" t="s">
        <v>71</v>
      </c>
      <c r="BZ21" s="22" t="s">
        <v>71</v>
      </c>
      <c r="CA21" s="22" t="s">
        <v>71</v>
      </c>
      <c r="CB21" s="22" t="s">
        <v>71</v>
      </c>
      <c r="CC21" s="22" t="s">
        <v>71</v>
      </c>
      <c r="CD21" s="22" t="s">
        <v>71</v>
      </c>
      <c r="CE21" s="22" t="s">
        <v>71</v>
      </c>
      <c r="CF21" s="22" t="s">
        <v>71</v>
      </c>
      <c r="CG21" s="22" t="s">
        <v>71</v>
      </c>
      <c r="CH21" s="22" t="s">
        <v>89</v>
      </c>
      <c r="CI21" s="22" t="s">
        <v>71</v>
      </c>
      <c r="CJ21" s="22" t="s">
        <v>71</v>
      </c>
      <c r="CK21" s="22" t="s">
        <v>71</v>
      </c>
      <c r="CL21" s="22" t="s">
        <v>71</v>
      </c>
      <c r="CM21" s="22" t="s">
        <v>71</v>
      </c>
      <c r="CN21" s="22" t="s">
        <v>101</v>
      </c>
      <c r="CO21" s="22" t="s">
        <v>102</v>
      </c>
      <c r="CP21" s="22" t="s">
        <v>103</v>
      </c>
      <c r="CQ21" s="22" t="s">
        <v>87</v>
      </c>
      <c r="CR21" s="22" t="s">
        <v>104</v>
      </c>
      <c r="CS21" s="22" t="s">
        <v>106</v>
      </c>
      <c r="CT21" s="22" t="s">
        <v>107</v>
      </c>
      <c r="CU21" s="22" t="s">
        <v>108</v>
      </c>
      <c r="CV21" s="22" t="s">
        <v>104</v>
      </c>
      <c r="CW21" s="22" t="s">
        <v>109</v>
      </c>
      <c r="CX21" s="22" t="s">
        <v>104</v>
      </c>
    </row>
    <row r="22" spans="2:110" x14ac:dyDescent="0.3">
      <c r="B22" s="75"/>
      <c r="F22" s="34"/>
      <c r="G22" s="34"/>
      <c r="H22" s="34"/>
    </row>
    <row r="23" spans="2:110" x14ac:dyDescent="0.3">
      <c r="B23" s="10"/>
      <c r="F23" s="34"/>
      <c r="G23" s="34"/>
      <c r="H23" s="34"/>
      <c r="AI23" s="21" t="s">
        <v>61</v>
      </c>
      <c r="AM23" s="21" t="s">
        <v>62</v>
      </c>
    </row>
    <row r="24" spans="2:110" x14ac:dyDescent="0.3">
      <c r="B24" s="10"/>
      <c r="F24" s="34"/>
      <c r="G24" s="34"/>
      <c r="H24" s="34"/>
      <c r="AI24" s="21" t="s">
        <v>35</v>
      </c>
      <c r="AM24" s="21" t="s">
        <v>59</v>
      </c>
    </row>
    <row r="25" spans="2:110" x14ac:dyDescent="0.3">
      <c r="B25" s="10"/>
      <c r="F25" s="34"/>
      <c r="G25" s="34"/>
      <c r="H25" s="34"/>
      <c r="AI25" s="21" t="s">
        <v>36</v>
      </c>
      <c r="AM25" s="21" t="s">
        <v>60</v>
      </c>
    </row>
    <row r="26" spans="2:110" x14ac:dyDescent="0.3">
      <c r="B26" s="10"/>
      <c r="F26" s="34"/>
      <c r="G26" s="34"/>
      <c r="H26" s="34"/>
      <c r="AI26" s="21" t="s">
        <v>63</v>
      </c>
      <c r="AM26" s="21" t="s">
        <v>65</v>
      </c>
    </row>
    <row r="27" spans="2:110" x14ac:dyDescent="0.3">
      <c r="B27" s="10"/>
      <c r="F27" s="34"/>
      <c r="G27" s="34"/>
      <c r="H27" s="34"/>
      <c r="AI27" s="35" t="s">
        <v>37</v>
      </c>
      <c r="AM27" s="35" t="s">
        <v>37</v>
      </c>
    </row>
    <row r="28" spans="2:110" x14ac:dyDescent="0.3">
      <c r="B28" s="10"/>
      <c r="F28" s="34"/>
      <c r="G28" s="34"/>
      <c r="H28" s="34"/>
      <c r="AI28" s="21" t="s">
        <v>38</v>
      </c>
      <c r="AM28" s="21" t="s">
        <v>38</v>
      </c>
    </row>
    <row r="29" spans="2:110" x14ac:dyDescent="0.3">
      <c r="B29" s="10"/>
      <c r="F29" s="34"/>
      <c r="G29" s="34"/>
      <c r="H29" s="34"/>
      <c r="AI29" s="21" t="s">
        <v>39</v>
      </c>
      <c r="AM29" s="21" t="s">
        <v>39</v>
      </c>
    </row>
    <row r="30" spans="2:110" x14ac:dyDescent="0.3">
      <c r="B30" s="10"/>
      <c r="F30" s="34"/>
      <c r="G30" s="34"/>
      <c r="H30" s="34"/>
    </row>
    <row r="31" spans="2:110" x14ac:dyDescent="0.3">
      <c r="B31" s="10"/>
      <c r="F31" s="34"/>
      <c r="G31" s="34"/>
      <c r="H31" s="34"/>
    </row>
    <row r="32" spans="2:110" x14ac:dyDescent="0.3">
      <c r="B32" s="10"/>
      <c r="F32" s="34"/>
      <c r="G32" s="34"/>
      <c r="H32" s="34"/>
    </row>
    <row r="33" spans="1:110" x14ac:dyDescent="0.3">
      <c r="B33" s="10"/>
      <c r="F33" s="34"/>
      <c r="G33" s="34"/>
      <c r="H33" s="34"/>
      <c r="AI33" s="21" t="s">
        <v>40</v>
      </c>
      <c r="AM33" s="21" t="s">
        <v>40</v>
      </c>
    </row>
    <row r="34" spans="1:110" x14ac:dyDescent="0.3">
      <c r="B34" s="10"/>
      <c r="F34" s="34"/>
      <c r="G34" s="34"/>
      <c r="H34" s="34"/>
      <c r="AI34" s="35"/>
    </row>
    <row r="35" spans="1:110" x14ac:dyDescent="0.3">
      <c r="B35" s="10"/>
      <c r="F35" s="34"/>
      <c r="G35" s="34"/>
      <c r="H35" s="34"/>
      <c r="AI35" s="21" t="s">
        <v>42</v>
      </c>
    </row>
    <row r="36" spans="1:110" x14ac:dyDescent="0.3">
      <c r="B36" s="10"/>
      <c r="F36" s="34"/>
      <c r="G36" s="34"/>
      <c r="H36" s="34"/>
    </row>
    <row r="37" spans="1:110" x14ac:dyDescent="0.3">
      <c r="B37" s="10"/>
      <c r="F37" s="34"/>
      <c r="G37" s="34"/>
      <c r="H37" s="34"/>
    </row>
    <row r="38" spans="1:110" x14ac:dyDescent="0.3">
      <c r="B38" s="10"/>
      <c r="F38" s="34"/>
      <c r="G38" s="34"/>
      <c r="H38" s="34"/>
    </row>
    <row r="39" spans="1:110" x14ac:dyDescent="0.3">
      <c r="B39" s="10"/>
      <c r="F39" s="34"/>
      <c r="G39" s="34"/>
      <c r="H39" s="34"/>
      <c r="CV39" s="21" t="s">
        <v>105</v>
      </c>
    </row>
    <row r="40" spans="1:110" x14ac:dyDescent="0.3">
      <c r="B40" s="10"/>
      <c r="F40" s="34"/>
      <c r="G40" s="34"/>
      <c r="H40" s="34"/>
    </row>
    <row r="41" spans="1:110" x14ac:dyDescent="0.3">
      <c r="B41" s="10"/>
      <c r="F41" s="34"/>
      <c r="G41" s="34"/>
      <c r="H41" s="34"/>
    </row>
    <row r="42" spans="1:110" x14ac:dyDescent="0.3">
      <c r="B42" s="10"/>
      <c r="F42" s="34"/>
      <c r="G42" s="34"/>
      <c r="H42" s="34"/>
    </row>
    <row r="43" spans="1:110" x14ac:dyDescent="0.3">
      <c r="B43" s="10"/>
      <c r="F43" s="34"/>
      <c r="G43" s="34"/>
      <c r="H43" s="34"/>
    </row>
    <row r="44" spans="1:110" x14ac:dyDescent="0.3">
      <c r="B44" s="10"/>
      <c r="F44" s="34"/>
      <c r="G44" s="34"/>
      <c r="H44" s="34"/>
    </row>
    <row r="46" spans="1:110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</row>
    <row r="47" spans="1:110" x14ac:dyDescent="0.3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</row>
    <row r="49" spans="2:110" x14ac:dyDescent="0.3">
      <c r="B49" s="75" t="s">
        <v>14</v>
      </c>
    </row>
    <row r="50" spans="2:110" x14ac:dyDescent="0.3">
      <c r="B50" s="75"/>
    </row>
    <row r="51" spans="2:110" x14ac:dyDescent="0.3">
      <c r="B51" s="75"/>
      <c r="F51" s="79" t="s">
        <v>0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  <c r="CR51" s="80"/>
      <c r="CS51" s="80"/>
      <c r="CT51" s="80"/>
      <c r="CU51" s="80"/>
      <c r="CV51" s="80"/>
      <c r="CW51" s="80"/>
      <c r="CX51" s="80"/>
      <c r="CY51" s="80"/>
      <c r="CZ51" s="80"/>
      <c r="DA51" s="80"/>
      <c r="DB51" s="80"/>
      <c r="DC51" s="80"/>
      <c r="DD51" s="81"/>
    </row>
    <row r="52" spans="2:110" x14ac:dyDescent="0.3">
      <c r="B52" s="75"/>
      <c r="E52" s="1"/>
      <c r="F52" s="54">
        <f t="shared" ref="F52:BQ52" si="31">F53</f>
        <v>45247</v>
      </c>
      <c r="G52" s="54">
        <f t="shared" si="31"/>
        <v>45248</v>
      </c>
      <c r="H52" s="54">
        <f t="shared" si="31"/>
        <v>45249</v>
      </c>
      <c r="I52" s="54">
        <f t="shared" si="31"/>
        <v>45250</v>
      </c>
      <c r="J52" s="54">
        <f t="shared" si="31"/>
        <v>45251</v>
      </c>
      <c r="K52" s="54">
        <f t="shared" si="31"/>
        <v>45252</v>
      </c>
      <c r="L52" s="54">
        <f t="shared" si="31"/>
        <v>45253</v>
      </c>
      <c r="M52" s="54">
        <f t="shared" si="31"/>
        <v>45254</v>
      </c>
      <c r="N52" s="54">
        <f t="shared" si="31"/>
        <v>45255</v>
      </c>
      <c r="O52" s="54">
        <f t="shared" si="31"/>
        <v>45256</v>
      </c>
      <c r="P52" s="54">
        <f t="shared" si="31"/>
        <v>45257</v>
      </c>
      <c r="Q52" s="54">
        <f t="shared" si="31"/>
        <v>45258</v>
      </c>
      <c r="R52" s="54">
        <f t="shared" si="31"/>
        <v>45259</v>
      </c>
      <c r="S52" s="54">
        <f t="shared" si="31"/>
        <v>45260</v>
      </c>
      <c r="T52" s="54">
        <f t="shared" si="31"/>
        <v>45261</v>
      </c>
      <c r="U52" s="54">
        <f t="shared" si="31"/>
        <v>45262</v>
      </c>
      <c r="V52" s="54">
        <f t="shared" si="31"/>
        <v>45263</v>
      </c>
      <c r="W52" s="54">
        <f t="shared" si="31"/>
        <v>45264</v>
      </c>
      <c r="X52" s="54">
        <f t="shared" si="31"/>
        <v>45265</v>
      </c>
      <c r="Y52" s="54">
        <f t="shared" si="31"/>
        <v>45266</v>
      </c>
      <c r="Z52" s="54">
        <f t="shared" si="31"/>
        <v>45267</v>
      </c>
      <c r="AA52" s="54">
        <f t="shared" si="31"/>
        <v>45268</v>
      </c>
      <c r="AB52" s="54">
        <f t="shared" si="31"/>
        <v>45269</v>
      </c>
      <c r="AC52" s="54">
        <f t="shared" si="31"/>
        <v>45270</v>
      </c>
      <c r="AD52" s="54">
        <f t="shared" si="31"/>
        <v>45271</v>
      </c>
      <c r="AE52" s="54">
        <f t="shared" si="31"/>
        <v>45272</v>
      </c>
      <c r="AF52" s="54">
        <f t="shared" si="31"/>
        <v>45273</v>
      </c>
      <c r="AG52" s="54">
        <f t="shared" si="31"/>
        <v>45274</v>
      </c>
      <c r="AH52" s="54">
        <f t="shared" si="31"/>
        <v>45275</v>
      </c>
      <c r="AI52" s="54">
        <f t="shared" si="31"/>
        <v>45276</v>
      </c>
      <c r="AJ52" s="54">
        <f t="shared" si="31"/>
        <v>45277</v>
      </c>
      <c r="AK52" s="54">
        <f t="shared" si="31"/>
        <v>45278</v>
      </c>
      <c r="AL52" s="54">
        <f t="shared" si="31"/>
        <v>45279</v>
      </c>
      <c r="AM52" s="54">
        <f t="shared" si="31"/>
        <v>45280</v>
      </c>
      <c r="AN52" s="54">
        <f t="shared" si="31"/>
        <v>45281</v>
      </c>
      <c r="AO52" s="54">
        <f t="shared" si="31"/>
        <v>45282</v>
      </c>
      <c r="AP52" s="54">
        <f t="shared" si="31"/>
        <v>45283</v>
      </c>
      <c r="AQ52" s="54">
        <f t="shared" si="31"/>
        <v>45284</v>
      </c>
      <c r="AR52" s="54">
        <f t="shared" si="31"/>
        <v>45285</v>
      </c>
      <c r="AS52" s="54">
        <f t="shared" si="31"/>
        <v>45286</v>
      </c>
      <c r="AT52" s="54">
        <f t="shared" si="31"/>
        <v>45287</v>
      </c>
      <c r="AU52" s="54">
        <f t="shared" si="31"/>
        <v>45288</v>
      </c>
      <c r="AV52" s="54">
        <f t="shared" si="31"/>
        <v>45289</v>
      </c>
      <c r="AW52" s="54">
        <f t="shared" si="31"/>
        <v>45290</v>
      </c>
      <c r="AX52" s="54">
        <f t="shared" si="31"/>
        <v>45291</v>
      </c>
      <c r="AY52" s="54">
        <f t="shared" si="31"/>
        <v>45292</v>
      </c>
      <c r="AZ52" s="54">
        <f t="shared" si="31"/>
        <v>45293</v>
      </c>
      <c r="BA52" s="54">
        <f t="shared" si="31"/>
        <v>45294</v>
      </c>
      <c r="BB52" s="54">
        <f t="shared" si="31"/>
        <v>45295</v>
      </c>
      <c r="BC52" s="54">
        <f t="shared" si="31"/>
        <v>45296</v>
      </c>
      <c r="BD52" s="54">
        <f t="shared" si="31"/>
        <v>45297</v>
      </c>
      <c r="BE52" s="54">
        <f t="shared" si="31"/>
        <v>45298</v>
      </c>
      <c r="BF52" s="54">
        <f t="shared" si="31"/>
        <v>45299</v>
      </c>
      <c r="BG52" s="54">
        <f t="shared" si="31"/>
        <v>45300</v>
      </c>
      <c r="BH52" s="54">
        <f t="shared" si="31"/>
        <v>45301</v>
      </c>
      <c r="BI52" s="54">
        <f t="shared" si="31"/>
        <v>45302</v>
      </c>
      <c r="BJ52" s="54">
        <f t="shared" si="31"/>
        <v>45303</v>
      </c>
      <c r="BK52" s="54">
        <f t="shared" si="31"/>
        <v>45304</v>
      </c>
      <c r="BL52" s="54">
        <f t="shared" si="31"/>
        <v>45305</v>
      </c>
      <c r="BM52" s="54">
        <f t="shared" si="31"/>
        <v>45306</v>
      </c>
      <c r="BN52" s="54">
        <f t="shared" si="31"/>
        <v>45307</v>
      </c>
      <c r="BO52" s="54">
        <f t="shared" si="31"/>
        <v>45308</v>
      </c>
      <c r="BP52" s="54">
        <f t="shared" si="31"/>
        <v>45309</v>
      </c>
      <c r="BQ52" s="54">
        <f t="shared" si="31"/>
        <v>45310</v>
      </c>
      <c r="BR52" s="54">
        <f t="shared" ref="BR52:DD52" si="32">BR53</f>
        <v>45311</v>
      </c>
      <c r="BS52" s="54">
        <f t="shared" si="32"/>
        <v>45312</v>
      </c>
      <c r="BT52" s="54">
        <f t="shared" si="32"/>
        <v>45313</v>
      </c>
      <c r="BU52" s="54">
        <f t="shared" si="32"/>
        <v>45314</v>
      </c>
      <c r="BV52" s="54">
        <f t="shared" si="32"/>
        <v>45315</v>
      </c>
      <c r="BW52" s="54">
        <f t="shared" si="32"/>
        <v>45316</v>
      </c>
      <c r="BX52" s="54">
        <f t="shared" si="32"/>
        <v>45317</v>
      </c>
      <c r="BY52" s="54">
        <f t="shared" si="32"/>
        <v>45318</v>
      </c>
      <c r="BZ52" s="54">
        <f t="shared" si="32"/>
        <v>45319</v>
      </c>
      <c r="CA52" s="54">
        <f t="shared" si="32"/>
        <v>45320</v>
      </c>
      <c r="CB52" s="54">
        <f t="shared" si="32"/>
        <v>45321</v>
      </c>
      <c r="CC52" s="54">
        <f t="shared" si="32"/>
        <v>45322</v>
      </c>
      <c r="CD52" s="54">
        <f t="shared" si="32"/>
        <v>45323</v>
      </c>
      <c r="CE52" s="54">
        <f t="shared" si="32"/>
        <v>45324</v>
      </c>
      <c r="CF52" s="54">
        <f t="shared" si="32"/>
        <v>45325</v>
      </c>
      <c r="CG52" s="54">
        <f t="shared" si="32"/>
        <v>45326</v>
      </c>
      <c r="CH52" s="54">
        <f t="shared" si="32"/>
        <v>45327</v>
      </c>
      <c r="CI52" s="54">
        <f t="shared" si="32"/>
        <v>45328</v>
      </c>
      <c r="CJ52" s="54">
        <f t="shared" si="32"/>
        <v>45329</v>
      </c>
      <c r="CK52" s="54">
        <f t="shared" si="32"/>
        <v>45330</v>
      </c>
      <c r="CL52" s="54">
        <f t="shared" si="32"/>
        <v>45331</v>
      </c>
      <c r="CM52" s="54">
        <f t="shared" si="32"/>
        <v>45332</v>
      </c>
      <c r="CN52" s="54">
        <f t="shared" si="32"/>
        <v>45333</v>
      </c>
      <c r="CO52" s="54">
        <f t="shared" si="32"/>
        <v>45334</v>
      </c>
      <c r="CP52" s="54">
        <f t="shared" si="32"/>
        <v>45335</v>
      </c>
      <c r="CQ52" s="54">
        <f t="shared" si="32"/>
        <v>45336</v>
      </c>
      <c r="CR52" s="54">
        <f t="shared" si="32"/>
        <v>45337</v>
      </c>
      <c r="CS52" s="54">
        <f t="shared" si="32"/>
        <v>45338</v>
      </c>
      <c r="CT52" s="54">
        <f t="shared" si="32"/>
        <v>45339</v>
      </c>
      <c r="CU52" s="54">
        <f t="shared" si="32"/>
        <v>45340</v>
      </c>
      <c r="CV52" s="54">
        <f t="shared" si="32"/>
        <v>45341</v>
      </c>
      <c r="CW52" s="54">
        <f t="shared" si="32"/>
        <v>45342</v>
      </c>
      <c r="CX52" s="54">
        <f t="shared" si="32"/>
        <v>45343</v>
      </c>
      <c r="CY52" s="54">
        <f t="shared" si="32"/>
        <v>45344</v>
      </c>
      <c r="CZ52" s="54">
        <f t="shared" si="32"/>
        <v>45345</v>
      </c>
      <c r="DA52" s="54">
        <f t="shared" si="32"/>
        <v>45346</v>
      </c>
      <c r="DB52" s="54">
        <f t="shared" si="32"/>
        <v>45347</v>
      </c>
      <c r="DC52" s="54">
        <f t="shared" si="32"/>
        <v>45348</v>
      </c>
      <c r="DD52" s="54">
        <f t="shared" si="32"/>
        <v>45349</v>
      </c>
    </row>
    <row r="53" spans="2:110" x14ac:dyDescent="0.3">
      <c r="B53" s="75"/>
      <c r="E53" s="1"/>
      <c r="F53" s="55">
        <v>45247</v>
      </c>
      <c r="G53" s="55">
        <f t="shared" ref="G53:BR53" si="33">F53+1</f>
        <v>45248</v>
      </c>
      <c r="H53" s="55">
        <f t="shared" si="33"/>
        <v>45249</v>
      </c>
      <c r="I53" s="55">
        <f t="shared" si="33"/>
        <v>45250</v>
      </c>
      <c r="J53" s="55">
        <f t="shared" si="33"/>
        <v>45251</v>
      </c>
      <c r="K53" s="55">
        <f t="shared" si="33"/>
        <v>45252</v>
      </c>
      <c r="L53" s="55">
        <f t="shared" si="33"/>
        <v>45253</v>
      </c>
      <c r="M53" s="55">
        <f t="shared" si="33"/>
        <v>45254</v>
      </c>
      <c r="N53" s="55">
        <f t="shared" si="33"/>
        <v>45255</v>
      </c>
      <c r="O53" s="55">
        <f t="shared" si="33"/>
        <v>45256</v>
      </c>
      <c r="P53" s="55">
        <f t="shared" si="33"/>
        <v>45257</v>
      </c>
      <c r="Q53" s="55">
        <f t="shared" si="33"/>
        <v>45258</v>
      </c>
      <c r="R53" s="55">
        <f t="shared" si="33"/>
        <v>45259</v>
      </c>
      <c r="S53" s="55">
        <f t="shared" si="33"/>
        <v>45260</v>
      </c>
      <c r="T53" s="55">
        <f t="shared" si="33"/>
        <v>45261</v>
      </c>
      <c r="U53" s="55">
        <f t="shared" si="33"/>
        <v>45262</v>
      </c>
      <c r="V53" s="55">
        <f t="shared" si="33"/>
        <v>45263</v>
      </c>
      <c r="W53" s="55">
        <f t="shared" si="33"/>
        <v>45264</v>
      </c>
      <c r="X53" s="55">
        <f t="shared" si="33"/>
        <v>45265</v>
      </c>
      <c r="Y53" s="55">
        <f t="shared" si="33"/>
        <v>45266</v>
      </c>
      <c r="Z53" s="55">
        <f t="shared" si="33"/>
        <v>45267</v>
      </c>
      <c r="AA53" s="55">
        <f t="shared" si="33"/>
        <v>45268</v>
      </c>
      <c r="AB53" s="55">
        <f t="shared" si="33"/>
        <v>45269</v>
      </c>
      <c r="AC53" s="55">
        <f t="shared" si="33"/>
        <v>45270</v>
      </c>
      <c r="AD53" s="55">
        <f t="shared" si="33"/>
        <v>45271</v>
      </c>
      <c r="AE53" s="55">
        <f t="shared" si="33"/>
        <v>45272</v>
      </c>
      <c r="AF53" s="55">
        <f t="shared" si="33"/>
        <v>45273</v>
      </c>
      <c r="AG53" s="55">
        <f t="shared" si="33"/>
        <v>45274</v>
      </c>
      <c r="AH53" s="55">
        <f t="shared" si="33"/>
        <v>45275</v>
      </c>
      <c r="AI53" s="55">
        <f t="shared" si="33"/>
        <v>45276</v>
      </c>
      <c r="AJ53" s="55">
        <f t="shared" si="33"/>
        <v>45277</v>
      </c>
      <c r="AK53" s="55">
        <f t="shared" si="33"/>
        <v>45278</v>
      </c>
      <c r="AL53" s="55">
        <f t="shared" si="33"/>
        <v>45279</v>
      </c>
      <c r="AM53" s="55">
        <f t="shared" si="33"/>
        <v>45280</v>
      </c>
      <c r="AN53" s="55">
        <f t="shared" si="33"/>
        <v>45281</v>
      </c>
      <c r="AO53" s="55">
        <f t="shared" si="33"/>
        <v>45282</v>
      </c>
      <c r="AP53" s="55">
        <f t="shared" si="33"/>
        <v>45283</v>
      </c>
      <c r="AQ53" s="55">
        <f t="shared" si="33"/>
        <v>45284</v>
      </c>
      <c r="AR53" s="55">
        <f t="shared" si="33"/>
        <v>45285</v>
      </c>
      <c r="AS53" s="55">
        <f t="shared" si="33"/>
        <v>45286</v>
      </c>
      <c r="AT53" s="55">
        <f t="shared" si="33"/>
        <v>45287</v>
      </c>
      <c r="AU53" s="55">
        <f t="shared" si="33"/>
        <v>45288</v>
      </c>
      <c r="AV53" s="55">
        <f t="shared" si="33"/>
        <v>45289</v>
      </c>
      <c r="AW53" s="55">
        <f t="shared" si="33"/>
        <v>45290</v>
      </c>
      <c r="AX53" s="55">
        <f t="shared" si="33"/>
        <v>45291</v>
      </c>
      <c r="AY53" s="55">
        <f t="shared" si="33"/>
        <v>45292</v>
      </c>
      <c r="AZ53" s="55">
        <f t="shared" si="33"/>
        <v>45293</v>
      </c>
      <c r="BA53" s="55">
        <f t="shared" si="33"/>
        <v>45294</v>
      </c>
      <c r="BB53" s="55">
        <f t="shared" si="33"/>
        <v>45295</v>
      </c>
      <c r="BC53" s="55">
        <f t="shared" si="33"/>
        <v>45296</v>
      </c>
      <c r="BD53" s="55">
        <f t="shared" si="33"/>
        <v>45297</v>
      </c>
      <c r="BE53" s="55">
        <f t="shared" si="33"/>
        <v>45298</v>
      </c>
      <c r="BF53" s="55">
        <f t="shared" si="33"/>
        <v>45299</v>
      </c>
      <c r="BG53" s="55">
        <f t="shared" si="33"/>
        <v>45300</v>
      </c>
      <c r="BH53" s="55">
        <f t="shared" si="33"/>
        <v>45301</v>
      </c>
      <c r="BI53" s="55">
        <f t="shared" si="33"/>
        <v>45302</v>
      </c>
      <c r="BJ53" s="55">
        <f t="shared" si="33"/>
        <v>45303</v>
      </c>
      <c r="BK53" s="55">
        <f t="shared" si="33"/>
        <v>45304</v>
      </c>
      <c r="BL53" s="55">
        <f t="shared" si="33"/>
        <v>45305</v>
      </c>
      <c r="BM53" s="55">
        <f t="shared" si="33"/>
        <v>45306</v>
      </c>
      <c r="BN53" s="55">
        <f t="shared" si="33"/>
        <v>45307</v>
      </c>
      <c r="BO53" s="55">
        <f t="shared" si="33"/>
        <v>45308</v>
      </c>
      <c r="BP53" s="55">
        <f t="shared" si="33"/>
        <v>45309</v>
      </c>
      <c r="BQ53" s="55">
        <f t="shared" si="33"/>
        <v>45310</v>
      </c>
      <c r="BR53" s="55">
        <f t="shared" si="33"/>
        <v>45311</v>
      </c>
      <c r="BS53" s="55">
        <f t="shared" ref="BS53:DD53" si="34">BR53+1</f>
        <v>45312</v>
      </c>
      <c r="BT53" s="55">
        <f t="shared" si="34"/>
        <v>45313</v>
      </c>
      <c r="BU53" s="55">
        <f t="shared" si="34"/>
        <v>45314</v>
      </c>
      <c r="BV53" s="55">
        <f t="shared" si="34"/>
        <v>45315</v>
      </c>
      <c r="BW53" s="55">
        <f t="shared" si="34"/>
        <v>45316</v>
      </c>
      <c r="BX53" s="55">
        <f t="shared" si="34"/>
        <v>45317</v>
      </c>
      <c r="BY53" s="55">
        <f t="shared" si="34"/>
        <v>45318</v>
      </c>
      <c r="BZ53" s="55">
        <f t="shared" si="34"/>
        <v>45319</v>
      </c>
      <c r="CA53" s="55">
        <f t="shared" si="34"/>
        <v>45320</v>
      </c>
      <c r="CB53" s="55">
        <f t="shared" si="34"/>
        <v>45321</v>
      </c>
      <c r="CC53" s="55">
        <f t="shared" si="34"/>
        <v>45322</v>
      </c>
      <c r="CD53" s="55">
        <f t="shared" si="34"/>
        <v>45323</v>
      </c>
      <c r="CE53" s="55">
        <f t="shared" si="34"/>
        <v>45324</v>
      </c>
      <c r="CF53" s="55">
        <f t="shared" si="34"/>
        <v>45325</v>
      </c>
      <c r="CG53" s="55">
        <f t="shared" si="34"/>
        <v>45326</v>
      </c>
      <c r="CH53" s="55">
        <f t="shared" si="34"/>
        <v>45327</v>
      </c>
      <c r="CI53" s="55">
        <f t="shared" si="34"/>
        <v>45328</v>
      </c>
      <c r="CJ53" s="55">
        <f t="shared" si="34"/>
        <v>45329</v>
      </c>
      <c r="CK53" s="55">
        <f t="shared" si="34"/>
        <v>45330</v>
      </c>
      <c r="CL53" s="55">
        <f t="shared" si="34"/>
        <v>45331</v>
      </c>
      <c r="CM53" s="55">
        <f t="shared" si="34"/>
        <v>45332</v>
      </c>
      <c r="CN53" s="55">
        <f t="shared" si="34"/>
        <v>45333</v>
      </c>
      <c r="CO53" s="55">
        <f t="shared" si="34"/>
        <v>45334</v>
      </c>
      <c r="CP53" s="55">
        <f t="shared" si="34"/>
        <v>45335</v>
      </c>
      <c r="CQ53" s="55">
        <f t="shared" si="34"/>
        <v>45336</v>
      </c>
      <c r="CR53" s="55">
        <f t="shared" si="34"/>
        <v>45337</v>
      </c>
      <c r="CS53" s="55">
        <f t="shared" si="34"/>
        <v>45338</v>
      </c>
      <c r="CT53" s="55">
        <f t="shared" si="34"/>
        <v>45339</v>
      </c>
      <c r="CU53" s="55">
        <f t="shared" si="34"/>
        <v>45340</v>
      </c>
      <c r="CV53" s="55">
        <f t="shared" si="34"/>
        <v>45341</v>
      </c>
      <c r="CW53" s="55">
        <f t="shared" si="34"/>
        <v>45342</v>
      </c>
      <c r="CX53" s="55">
        <f t="shared" si="34"/>
        <v>45343</v>
      </c>
      <c r="CY53" s="55">
        <f t="shared" si="34"/>
        <v>45344</v>
      </c>
      <c r="CZ53" s="55">
        <f t="shared" si="34"/>
        <v>45345</v>
      </c>
      <c r="DA53" s="55">
        <f t="shared" si="34"/>
        <v>45346</v>
      </c>
      <c r="DB53" s="55">
        <f t="shared" si="34"/>
        <v>45347</v>
      </c>
      <c r="DC53" s="55">
        <f t="shared" si="34"/>
        <v>45348</v>
      </c>
      <c r="DD53" s="55">
        <f t="shared" si="34"/>
        <v>45349</v>
      </c>
    </row>
    <row r="54" spans="2:110" x14ac:dyDescent="0.3">
      <c r="B54" s="75"/>
      <c r="E54" s="15" t="s">
        <v>1</v>
      </c>
      <c r="F54" s="3">
        <v>617</v>
      </c>
      <c r="G54" s="3">
        <v>469</v>
      </c>
      <c r="H54" s="3">
        <v>485</v>
      </c>
      <c r="I54" s="3">
        <v>725</v>
      </c>
      <c r="J54" s="3">
        <v>1075</v>
      </c>
      <c r="K54" s="3">
        <v>1074</v>
      </c>
      <c r="L54" s="3">
        <v>1075</v>
      </c>
      <c r="M54" s="3">
        <v>1084</v>
      </c>
      <c r="N54" s="3">
        <v>825</v>
      </c>
      <c r="O54" s="3">
        <v>553</v>
      </c>
      <c r="P54" s="3">
        <v>1282</v>
      </c>
      <c r="Q54" s="3">
        <v>985</v>
      </c>
      <c r="R54" s="3">
        <v>1143</v>
      </c>
      <c r="S54" s="3">
        <v>961</v>
      </c>
      <c r="T54" s="3">
        <v>882</v>
      </c>
      <c r="U54" s="3">
        <v>535</v>
      </c>
      <c r="V54" s="3">
        <v>304</v>
      </c>
      <c r="W54" s="3">
        <v>615</v>
      </c>
      <c r="X54" s="3">
        <v>595</v>
      </c>
      <c r="Y54" s="3">
        <v>614</v>
      </c>
      <c r="Z54" s="3">
        <v>561</v>
      </c>
      <c r="AA54" s="3">
        <v>461</v>
      </c>
      <c r="AB54" s="3">
        <v>317</v>
      </c>
      <c r="AC54" s="3">
        <v>253</v>
      </c>
      <c r="AD54" s="3">
        <v>606</v>
      </c>
      <c r="AE54" s="3">
        <v>591</v>
      </c>
      <c r="AF54" s="3">
        <v>560</v>
      </c>
      <c r="AG54" s="3">
        <v>471</v>
      </c>
      <c r="AH54" s="3">
        <v>432</v>
      </c>
      <c r="AI54" s="3">
        <v>367</v>
      </c>
      <c r="AJ54" s="3">
        <v>299</v>
      </c>
      <c r="AK54" s="3">
        <v>887</v>
      </c>
      <c r="AL54" s="3">
        <v>624</v>
      </c>
      <c r="AM54" s="3">
        <v>625</v>
      </c>
      <c r="AN54" s="3">
        <v>739</v>
      </c>
      <c r="AO54" s="3">
        <v>708</v>
      </c>
      <c r="AP54" s="3">
        <v>435</v>
      </c>
      <c r="AQ54" s="3">
        <v>256</v>
      </c>
      <c r="AR54" s="3">
        <v>177</v>
      </c>
      <c r="AS54" s="3">
        <v>632</v>
      </c>
      <c r="AT54" s="3">
        <v>488</v>
      </c>
      <c r="AU54" s="3">
        <v>417</v>
      </c>
      <c r="AV54" s="3">
        <v>412</v>
      </c>
      <c r="AW54" s="3">
        <v>275</v>
      </c>
      <c r="AX54" s="3">
        <v>176</v>
      </c>
      <c r="AY54" s="3">
        <v>129</v>
      </c>
      <c r="AZ54" s="3">
        <v>500</v>
      </c>
      <c r="BA54" s="3">
        <v>495</v>
      </c>
      <c r="BB54" s="3">
        <v>347</v>
      </c>
      <c r="BC54" s="3">
        <v>323</v>
      </c>
      <c r="BD54" s="3">
        <v>199</v>
      </c>
      <c r="BE54" s="3">
        <v>176</v>
      </c>
      <c r="BF54" s="3">
        <v>370</v>
      </c>
      <c r="BG54" s="3">
        <v>357</v>
      </c>
      <c r="BH54" s="3">
        <v>252</v>
      </c>
      <c r="BI54" s="3">
        <v>285</v>
      </c>
      <c r="BJ54" s="3">
        <v>243</v>
      </c>
      <c r="BK54" s="3">
        <v>165</v>
      </c>
      <c r="BL54" s="3">
        <v>124</v>
      </c>
      <c r="BM54" s="3">
        <v>311</v>
      </c>
      <c r="BN54" s="3">
        <v>353</v>
      </c>
      <c r="BO54" s="3">
        <v>330</v>
      </c>
      <c r="BP54" s="3">
        <v>323</v>
      </c>
      <c r="BQ54" s="3">
        <v>310</v>
      </c>
      <c r="BR54" s="3">
        <v>178</v>
      </c>
      <c r="BS54" s="3">
        <v>94</v>
      </c>
      <c r="BT54" s="3">
        <v>278</v>
      </c>
      <c r="BU54" s="3">
        <v>285</v>
      </c>
      <c r="BV54" s="3">
        <v>206</v>
      </c>
      <c r="BW54" s="3">
        <v>214</v>
      </c>
      <c r="BX54" s="3">
        <v>192</v>
      </c>
      <c r="BY54" s="3">
        <v>149</v>
      </c>
      <c r="BZ54" s="3">
        <v>84</v>
      </c>
      <c r="CA54" s="3">
        <v>259</v>
      </c>
      <c r="CB54" s="3">
        <v>245</v>
      </c>
      <c r="CC54" s="3">
        <v>232</v>
      </c>
      <c r="CD54" s="3">
        <v>208</v>
      </c>
      <c r="CE54" s="3">
        <v>193</v>
      </c>
      <c r="CF54" s="3">
        <v>180</v>
      </c>
      <c r="CG54" s="3">
        <v>89</v>
      </c>
      <c r="CH54" s="3">
        <v>168</v>
      </c>
      <c r="CI54" s="3">
        <v>264</v>
      </c>
      <c r="CJ54" s="3">
        <v>260</v>
      </c>
      <c r="CK54" s="3">
        <v>197</v>
      </c>
      <c r="CL54" s="3">
        <v>155</v>
      </c>
      <c r="CM54" s="3">
        <v>130</v>
      </c>
      <c r="CN54" s="3">
        <v>82</v>
      </c>
      <c r="CO54" s="3">
        <v>252</v>
      </c>
      <c r="CP54" s="3">
        <v>232</v>
      </c>
      <c r="CQ54" s="3">
        <v>157</v>
      </c>
      <c r="CR54" s="3">
        <v>243</v>
      </c>
      <c r="CS54" s="3">
        <v>188</v>
      </c>
      <c r="CT54" s="3">
        <v>137</v>
      </c>
      <c r="CU54" s="3">
        <v>100</v>
      </c>
      <c r="CV54" s="3">
        <v>259</v>
      </c>
      <c r="CW54" s="3">
        <v>329</v>
      </c>
      <c r="CX54" s="3">
        <v>315</v>
      </c>
      <c r="CY54" s="3"/>
      <c r="CZ54" s="3"/>
      <c r="DA54" s="3"/>
      <c r="DB54" s="3"/>
      <c r="DC54" s="3"/>
      <c r="DD54" s="3"/>
      <c r="DE54" s="29">
        <f>SUM(F54:DD54)</f>
        <v>39813</v>
      </c>
    </row>
    <row r="55" spans="2:110" x14ac:dyDescent="0.3">
      <c r="B55" s="75"/>
      <c r="E55" s="16" t="s">
        <v>2</v>
      </c>
      <c r="F55" s="18">
        <v>570</v>
      </c>
      <c r="G55" s="17">
        <v>317</v>
      </c>
      <c r="H55" s="17">
        <v>245</v>
      </c>
      <c r="I55" s="18">
        <v>570</v>
      </c>
      <c r="J55" s="18">
        <v>570</v>
      </c>
      <c r="K55" s="18">
        <v>570</v>
      </c>
      <c r="L55" s="18">
        <v>570</v>
      </c>
      <c r="M55" s="18">
        <v>570</v>
      </c>
      <c r="N55" s="17">
        <v>317</v>
      </c>
      <c r="O55" s="17">
        <v>245</v>
      </c>
      <c r="P55" s="18">
        <v>570</v>
      </c>
      <c r="Q55" s="18">
        <v>532</v>
      </c>
      <c r="R55" s="18">
        <v>570</v>
      </c>
      <c r="S55" s="18">
        <v>565.5</v>
      </c>
      <c r="T55" s="18">
        <v>565.5</v>
      </c>
      <c r="U55" s="18">
        <v>302</v>
      </c>
      <c r="V55" s="18">
        <v>302</v>
      </c>
      <c r="W55" s="18">
        <v>565.5</v>
      </c>
      <c r="X55" s="18">
        <v>565.5</v>
      </c>
      <c r="Y55" s="18">
        <v>565.5</v>
      </c>
      <c r="Z55" s="18">
        <v>413</v>
      </c>
      <c r="AA55" s="18">
        <f>Z55</f>
        <v>413</v>
      </c>
      <c r="AB55" s="18">
        <v>266</v>
      </c>
      <c r="AC55" s="18">
        <v>227</v>
      </c>
      <c r="AD55" s="18">
        <f>AA55</f>
        <v>413</v>
      </c>
      <c r="AE55" s="18">
        <f t="shared" ref="AE55:AH55" si="35">AD55</f>
        <v>413</v>
      </c>
      <c r="AF55" s="18">
        <f t="shared" si="35"/>
        <v>413</v>
      </c>
      <c r="AG55" s="18">
        <f t="shared" si="35"/>
        <v>413</v>
      </c>
      <c r="AH55" s="18">
        <f t="shared" si="35"/>
        <v>413</v>
      </c>
      <c r="AI55" s="18">
        <v>225</v>
      </c>
      <c r="AJ55" s="18">
        <v>289</v>
      </c>
      <c r="AK55" s="18">
        <v>489</v>
      </c>
      <c r="AL55" s="18">
        <f t="shared" ref="AL55:AO55" si="36">AK55</f>
        <v>489</v>
      </c>
      <c r="AM55" s="18">
        <f t="shared" si="36"/>
        <v>489</v>
      </c>
      <c r="AN55" s="18">
        <f t="shared" si="36"/>
        <v>489</v>
      </c>
      <c r="AO55" s="18">
        <f t="shared" si="36"/>
        <v>489</v>
      </c>
      <c r="AP55" s="18">
        <v>383</v>
      </c>
      <c r="AQ55" s="18">
        <v>296</v>
      </c>
      <c r="AR55" s="18">
        <v>350</v>
      </c>
      <c r="AS55" s="18">
        <f>AO55</f>
        <v>489</v>
      </c>
      <c r="AT55" s="18">
        <f t="shared" ref="AT55:AV55" si="37">AS55</f>
        <v>489</v>
      </c>
      <c r="AU55" s="18">
        <f t="shared" si="37"/>
        <v>489</v>
      </c>
      <c r="AV55" s="18">
        <f t="shared" si="37"/>
        <v>489</v>
      </c>
      <c r="AW55" s="18">
        <v>225</v>
      </c>
      <c r="AX55" s="18">
        <v>243</v>
      </c>
      <c r="AY55" s="18">
        <v>244</v>
      </c>
      <c r="AZ55" s="18">
        <v>373</v>
      </c>
      <c r="BA55" s="18">
        <f t="shared" ref="BA55:BC55" si="38">AZ55</f>
        <v>373</v>
      </c>
      <c r="BB55" s="18">
        <f t="shared" si="38"/>
        <v>373</v>
      </c>
      <c r="BC55" s="18">
        <f t="shared" si="38"/>
        <v>373</v>
      </c>
      <c r="BD55" s="18">
        <v>238</v>
      </c>
      <c r="BE55" s="18">
        <v>198</v>
      </c>
      <c r="BF55" s="18">
        <f>BC55</f>
        <v>373</v>
      </c>
      <c r="BG55" s="18">
        <f t="shared" ref="BG55:BJ55" si="39">BF55</f>
        <v>373</v>
      </c>
      <c r="BH55" s="18">
        <f t="shared" si="39"/>
        <v>373</v>
      </c>
      <c r="BI55" s="18">
        <f t="shared" si="39"/>
        <v>373</v>
      </c>
      <c r="BJ55" s="18">
        <f t="shared" si="39"/>
        <v>373</v>
      </c>
      <c r="BK55" s="18">
        <v>220</v>
      </c>
      <c r="BL55" s="18">
        <v>192</v>
      </c>
      <c r="BM55" s="18">
        <f>BJ55</f>
        <v>373</v>
      </c>
      <c r="BN55" s="18">
        <f t="shared" ref="BN55:BQ55" si="40">BM55</f>
        <v>373</v>
      </c>
      <c r="BO55" s="18">
        <f t="shared" si="40"/>
        <v>373</v>
      </c>
      <c r="BP55" s="18">
        <f t="shared" si="40"/>
        <v>373</v>
      </c>
      <c r="BQ55" s="18">
        <f t="shared" si="40"/>
        <v>373</v>
      </c>
      <c r="BR55" s="18">
        <v>258</v>
      </c>
      <c r="BS55" s="18">
        <v>229</v>
      </c>
      <c r="BT55" s="18">
        <f>BQ55</f>
        <v>373</v>
      </c>
      <c r="BU55" s="18">
        <f t="shared" ref="BU55:BX55" si="41">BT55</f>
        <v>373</v>
      </c>
      <c r="BV55" s="18">
        <f t="shared" si="41"/>
        <v>373</v>
      </c>
      <c r="BW55" s="18">
        <f t="shared" si="41"/>
        <v>373</v>
      </c>
      <c r="BX55" s="18">
        <f t="shared" si="41"/>
        <v>373</v>
      </c>
      <c r="BY55" s="18">
        <v>167</v>
      </c>
      <c r="BZ55" s="18">
        <v>186</v>
      </c>
      <c r="CA55" s="18">
        <f>BX55</f>
        <v>373</v>
      </c>
      <c r="CB55" s="18">
        <f t="shared" ref="CB55:CE55" si="42">CA55</f>
        <v>373</v>
      </c>
      <c r="CC55" s="18">
        <f t="shared" si="42"/>
        <v>373</v>
      </c>
      <c r="CD55" s="18">
        <f t="shared" si="42"/>
        <v>373</v>
      </c>
      <c r="CE55" s="18">
        <f t="shared" si="42"/>
        <v>373</v>
      </c>
      <c r="CF55" s="18">
        <v>209</v>
      </c>
      <c r="CG55" s="18">
        <v>171</v>
      </c>
      <c r="CH55" s="18">
        <v>209</v>
      </c>
      <c r="CI55" s="18">
        <v>454</v>
      </c>
      <c r="CJ55" s="18">
        <f t="shared" ref="CJ55:CL55" si="43">CI55</f>
        <v>454</v>
      </c>
      <c r="CK55" s="18">
        <f t="shared" si="43"/>
        <v>454</v>
      </c>
      <c r="CL55" s="18">
        <f t="shared" si="43"/>
        <v>454</v>
      </c>
      <c r="CM55" s="18">
        <v>209</v>
      </c>
      <c r="CN55" s="18">
        <v>209</v>
      </c>
      <c r="CO55" s="18">
        <f>CL55</f>
        <v>454</v>
      </c>
      <c r="CP55" s="18">
        <f t="shared" ref="CP55" si="44">CO55</f>
        <v>454</v>
      </c>
      <c r="CQ55" s="18">
        <v>377</v>
      </c>
      <c r="CR55" s="18">
        <f t="shared" ref="CR55:CS55" si="45">CQ55</f>
        <v>377</v>
      </c>
      <c r="CS55" s="18">
        <f t="shared" si="45"/>
        <v>377</v>
      </c>
      <c r="CT55" s="18">
        <v>209</v>
      </c>
      <c r="CU55" s="18">
        <v>209</v>
      </c>
      <c r="CV55" s="18">
        <f>CS55</f>
        <v>377</v>
      </c>
      <c r="CW55" s="18">
        <f t="shared" ref="CW55:DD55" si="46">CV55</f>
        <v>377</v>
      </c>
      <c r="CX55" s="18">
        <f t="shared" si="46"/>
        <v>377</v>
      </c>
      <c r="CY55" s="18">
        <f t="shared" si="46"/>
        <v>377</v>
      </c>
      <c r="CZ55" s="18">
        <f t="shared" si="46"/>
        <v>377</v>
      </c>
      <c r="DA55" s="18">
        <f t="shared" si="46"/>
        <v>377</v>
      </c>
      <c r="DB55" s="18">
        <f t="shared" si="46"/>
        <v>377</v>
      </c>
      <c r="DC55" s="18">
        <f t="shared" si="46"/>
        <v>377</v>
      </c>
      <c r="DD55" s="18">
        <f t="shared" si="46"/>
        <v>377</v>
      </c>
      <c r="DE55" s="30">
        <f>SUM(F55:DD55)</f>
        <v>39000.5</v>
      </c>
    </row>
    <row r="56" spans="2:110" x14ac:dyDescent="0.3">
      <c r="B56" s="75"/>
      <c r="E56" s="16" t="s">
        <v>3</v>
      </c>
      <c r="F56" s="31">
        <f t="shared" ref="F56:BQ56" si="47">IFERROR((F55-F54)/F54,"")</f>
        <v>-7.6175040518638576E-2</v>
      </c>
      <c r="G56" s="31">
        <f t="shared" si="47"/>
        <v>-0.32409381663113007</v>
      </c>
      <c r="H56" s="31">
        <f t="shared" si="47"/>
        <v>-0.49484536082474229</v>
      </c>
      <c r="I56" s="31">
        <f t="shared" si="47"/>
        <v>-0.21379310344827587</v>
      </c>
      <c r="J56" s="31">
        <f t="shared" si="47"/>
        <v>-0.4697674418604651</v>
      </c>
      <c r="K56" s="31">
        <f t="shared" si="47"/>
        <v>-0.46927374301675978</v>
      </c>
      <c r="L56" s="31">
        <f t="shared" si="47"/>
        <v>-0.4697674418604651</v>
      </c>
      <c r="M56" s="31">
        <f t="shared" si="47"/>
        <v>-0.47416974169741699</v>
      </c>
      <c r="N56" s="31">
        <f t="shared" si="47"/>
        <v>-0.61575757575757573</v>
      </c>
      <c r="O56" s="31">
        <f t="shared" si="47"/>
        <v>-0.55696202531645567</v>
      </c>
      <c r="P56" s="31">
        <f t="shared" si="47"/>
        <v>-0.55538221528861154</v>
      </c>
      <c r="Q56" s="31">
        <f t="shared" si="47"/>
        <v>-0.45989847715736043</v>
      </c>
      <c r="R56" s="31">
        <f t="shared" si="47"/>
        <v>-0.50131233595800528</v>
      </c>
      <c r="S56" s="31">
        <f t="shared" si="47"/>
        <v>-0.41155046826222685</v>
      </c>
      <c r="T56" s="31">
        <f t="shared" si="47"/>
        <v>-0.358843537414966</v>
      </c>
      <c r="U56" s="31">
        <f t="shared" si="47"/>
        <v>-0.43551401869158879</v>
      </c>
      <c r="V56" s="31">
        <f t="shared" si="47"/>
        <v>-6.5789473684210523E-3</v>
      </c>
      <c r="W56" s="31">
        <f t="shared" si="47"/>
        <v>-8.0487804878048783E-2</v>
      </c>
      <c r="X56" s="31">
        <f t="shared" si="47"/>
        <v>-4.9579831932773107E-2</v>
      </c>
      <c r="Y56" s="31">
        <f t="shared" si="47"/>
        <v>-7.8990228013029309E-2</v>
      </c>
      <c r="Z56" s="31">
        <f t="shared" si="47"/>
        <v>-0.26381461675579321</v>
      </c>
      <c r="AA56" s="31">
        <f t="shared" si="47"/>
        <v>-0.10412147505422993</v>
      </c>
      <c r="AB56" s="31">
        <f t="shared" si="47"/>
        <v>-0.16088328075709779</v>
      </c>
      <c r="AC56" s="31">
        <f t="shared" si="47"/>
        <v>-0.10276679841897234</v>
      </c>
      <c r="AD56" s="31">
        <f t="shared" si="47"/>
        <v>-0.31848184818481851</v>
      </c>
      <c r="AE56" s="31">
        <f t="shared" si="47"/>
        <v>-0.30118443316412857</v>
      </c>
      <c r="AF56" s="31">
        <f t="shared" si="47"/>
        <v>-0.26250000000000001</v>
      </c>
      <c r="AG56" s="31">
        <f t="shared" si="47"/>
        <v>-0.12314225053078556</v>
      </c>
      <c r="AH56" s="31">
        <f t="shared" si="47"/>
        <v>-4.3981481481481483E-2</v>
      </c>
      <c r="AI56" s="31">
        <f t="shared" si="47"/>
        <v>-0.38692098092643051</v>
      </c>
      <c r="AJ56" s="31">
        <f t="shared" si="47"/>
        <v>-3.3444816053511704E-2</v>
      </c>
      <c r="AK56" s="31">
        <f t="shared" si="47"/>
        <v>-0.44870349492671929</v>
      </c>
      <c r="AL56" s="31">
        <f t="shared" si="47"/>
        <v>-0.21634615384615385</v>
      </c>
      <c r="AM56" s="31">
        <f t="shared" si="47"/>
        <v>-0.21759999999999999</v>
      </c>
      <c r="AN56" s="31">
        <f t="shared" si="47"/>
        <v>-0.33829499323410012</v>
      </c>
      <c r="AO56" s="31">
        <f t="shared" si="47"/>
        <v>-0.30932203389830509</v>
      </c>
      <c r="AP56" s="31">
        <f t="shared" si="47"/>
        <v>-0.11954022988505747</v>
      </c>
      <c r="AQ56" s="31">
        <f t="shared" si="47"/>
        <v>0.15625</v>
      </c>
      <c r="AR56" s="31">
        <f t="shared" si="47"/>
        <v>0.97740112994350281</v>
      </c>
      <c r="AS56" s="31">
        <f t="shared" si="47"/>
        <v>-0.22626582278481014</v>
      </c>
      <c r="AT56" s="31">
        <f t="shared" si="47"/>
        <v>2.0491803278688526E-3</v>
      </c>
      <c r="AU56" s="31">
        <f t="shared" si="47"/>
        <v>0.17266187050359713</v>
      </c>
      <c r="AV56" s="31">
        <f t="shared" si="47"/>
        <v>0.18689320388349515</v>
      </c>
      <c r="AW56" s="31">
        <f t="shared" si="47"/>
        <v>-0.18181818181818182</v>
      </c>
      <c r="AX56" s="31">
        <f t="shared" si="47"/>
        <v>0.38068181818181818</v>
      </c>
      <c r="AY56" s="31">
        <f t="shared" si="47"/>
        <v>0.89147286821705429</v>
      </c>
      <c r="AZ56" s="31">
        <f t="shared" si="47"/>
        <v>-0.254</v>
      </c>
      <c r="BA56" s="31">
        <f t="shared" si="47"/>
        <v>-0.24646464646464647</v>
      </c>
      <c r="BB56" s="31">
        <f>IFERROR((BB55-BB54)/BB54,"")</f>
        <v>7.492795389048991E-2</v>
      </c>
      <c r="BC56" s="31">
        <f t="shared" ref="BC56" si="48">IFERROR((BC55-BC54)/BC54,"")</f>
        <v>0.15479876160990713</v>
      </c>
      <c r="BD56" s="31">
        <f t="shared" si="47"/>
        <v>0.19597989949748743</v>
      </c>
      <c r="BE56" s="31">
        <f t="shared" si="47"/>
        <v>0.125</v>
      </c>
      <c r="BF56" s="31">
        <f t="shared" si="47"/>
        <v>8.1081081081081086E-3</v>
      </c>
      <c r="BG56" s="31">
        <f t="shared" si="47"/>
        <v>4.4817927170868348E-2</v>
      </c>
      <c r="BH56" s="31">
        <f t="shared" si="47"/>
        <v>0.48015873015873017</v>
      </c>
      <c r="BI56" s="31">
        <f t="shared" si="47"/>
        <v>0.30877192982456142</v>
      </c>
      <c r="BJ56" s="31">
        <f t="shared" si="47"/>
        <v>0.53497942386831276</v>
      </c>
      <c r="BK56" s="31">
        <f t="shared" si="47"/>
        <v>0.33333333333333331</v>
      </c>
      <c r="BL56" s="31">
        <f t="shared" si="47"/>
        <v>0.54838709677419351</v>
      </c>
      <c r="BM56" s="31">
        <f t="shared" si="47"/>
        <v>0.19935691318327975</v>
      </c>
      <c r="BN56" s="31">
        <f t="shared" si="47"/>
        <v>5.6657223796033995E-2</v>
      </c>
      <c r="BO56" s="31">
        <f t="shared" si="47"/>
        <v>0.13030303030303031</v>
      </c>
      <c r="BP56" s="31">
        <f t="shared" si="47"/>
        <v>0.15479876160990713</v>
      </c>
      <c r="BQ56" s="31">
        <f t="shared" si="47"/>
        <v>0.20322580645161289</v>
      </c>
      <c r="BR56" s="31">
        <f t="shared" ref="BR56:DD56" si="49">IFERROR((BR55-BR54)/BR54,"")</f>
        <v>0.449438202247191</v>
      </c>
      <c r="BS56" s="31">
        <f t="shared" si="49"/>
        <v>1.4361702127659575</v>
      </c>
      <c r="BT56" s="31">
        <f t="shared" si="49"/>
        <v>0.34172661870503596</v>
      </c>
      <c r="BU56" s="31">
        <f t="shared" si="49"/>
        <v>0.30877192982456142</v>
      </c>
      <c r="BV56" s="31">
        <f t="shared" si="49"/>
        <v>0.81067961165048541</v>
      </c>
      <c r="BW56" s="31">
        <f t="shared" si="49"/>
        <v>0.7429906542056075</v>
      </c>
      <c r="BX56" s="31">
        <f t="shared" si="49"/>
        <v>0.94270833333333337</v>
      </c>
      <c r="BY56" s="31">
        <f t="shared" si="49"/>
        <v>0.12080536912751678</v>
      </c>
      <c r="BZ56" s="31">
        <f t="shared" si="49"/>
        <v>1.2142857142857142</v>
      </c>
      <c r="CA56" s="31">
        <f t="shared" si="49"/>
        <v>0.44015444015444016</v>
      </c>
      <c r="CB56" s="31">
        <f t="shared" si="49"/>
        <v>0.52244897959183678</v>
      </c>
      <c r="CC56" s="31">
        <f t="shared" si="49"/>
        <v>0.60775862068965514</v>
      </c>
      <c r="CD56" s="31">
        <f t="shared" si="49"/>
        <v>0.79326923076923073</v>
      </c>
      <c r="CE56" s="31">
        <f t="shared" si="49"/>
        <v>0.93264248704663211</v>
      </c>
      <c r="CF56" s="31">
        <f t="shared" si="49"/>
        <v>0.16111111111111112</v>
      </c>
      <c r="CG56" s="31">
        <f t="shared" si="49"/>
        <v>0.9213483146067416</v>
      </c>
      <c r="CH56" s="31">
        <f t="shared" si="49"/>
        <v>0.24404761904761904</v>
      </c>
      <c r="CI56" s="31">
        <f t="shared" si="49"/>
        <v>0.71969696969696972</v>
      </c>
      <c r="CJ56" s="31">
        <f t="shared" si="49"/>
        <v>0.74615384615384617</v>
      </c>
      <c r="CK56" s="31">
        <f t="shared" si="49"/>
        <v>1.3045685279187818</v>
      </c>
      <c r="CL56" s="31">
        <f t="shared" si="49"/>
        <v>1.9290322580645161</v>
      </c>
      <c r="CM56" s="31">
        <f t="shared" si="49"/>
        <v>0.60769230769230764</v>
      </c>
      <c r="CN56" s="31">
        <f t="shared" si="49"/>
        <v>1.5487804878048781</v>
      </c>
      <c r="CO56" s="31">
        <f t="shared" si="49"/>
        <v>0.80158730158730163</v>
      </c>
      <c r="CP56" s="31">
        <f t="shared" si="49"/>
        <v>0.9568965517241379</v>
      </c>
      <c r="CQ56" s="31">
        <f t="shared" si="49"/>
        <v>1.4012738853503184</v>
      </c>
      <c r="CR56" s="31">
        <f t="shared" si="49"/>
        <v>0.55144032921810704</v>
      </c>
      <c r="CS56" s="31">
        <f t="shared" si="49"/>
        <v>1.0053191489361701</v>
      </c>
      <c r="CT56" s="31">
        <f t="shared" si="49"/>
        <v>0.52554744525547448</v>
      </c>
      <c r="CU56" s="31">
        <f t="shared" si="49"/>
        <v>1.0900000000000001</v>
      </c>
      <c r="CV56" s="31">
        <f t="shared" si="49"/>
        <v>0.45559845559845558</v>
      </c>
      <c r="CW56" s="31">
        <f t="shared" si="49"/>
        <v>0.1458966565349544</v>
      </c>
      <c r="CX56" s="31">
        <f t="shared" si="49"/>
        <v>0.19682539682539682</v>
      </c>
      <c r="CY56" s="31" t="str">
        <f t="shared" si="49"/>
        <v/>
      </c>
      <c r="CZ56" s="31" t="str">
        <f t="shared" si="49"/>
        <v/>
      </c>
      <c r="DA56" s="31" t="str">
        <f t="shared" si="49"/>
        <v/>
      </c>
      <c r="DB56" s="31" t="str">
        <f t="shared" si="49"/>
        <v/>
      </c>
      <c r="DC56" s="31" t="str">
        <f t="shared" si="49"/>
        <v/>
      </c>
      <c r="DD56" s="31" t="str">
        <f t="shared" si="49"/>
        <v/>
      </c>
    </row>
    <row r="57" spans="2:110" x14ac:dyDescent="0.3">
      <c r="B57" s="75"/>
      <c r="E57" s="16" t="s">
        <v>4</v>
      </c>
      <c r="F57" s="5">
        <f t="shared" ref="F57:BQ57" si="50">F55-F54</f>
        <v>-47</v>
      </c>
      <c r="G57" s="5">
        <f t="shared" si="50"/>
        <v>-152</v>
      </c>
      <c r="H57" s="5">
        <f t="shared" si="50"/>
        <v>-240</v>
      </c>
      <c r="I57" s="5">
        <f t="shared" si="50"/>
        <v>-155</v>
      </c>
      <c r="J57" s="5">
        <f t="shared" si="50"/>
        <v>-505</v>
      </c>
      <c r="K57" s="5">
        <f t="shared" si="50"/>
        <v>-504</v>
      </c>
      <c r="L57" s="5">
        <f t="shared" si="50"/>
        <v>-505</v>
      </c>
      <c r="M57" s="5">
        <f t="shared" si="50"/>
        <v>-514</v>
      </c>
      <c r="N57" s="5">
        <f t="shared" si="50"/>
        <v>-508</v>
      </c>
      <c r="O57" s="5">
        <f t="shared" si="50"/>
        <v>-308</v>
      </c>
      <c r="P57" s="5">
        <f t="shared" si="50"/>
        <v>-712</v>
      </c>
      <c r="Q57" s="5">
        <f t="shared" si="50"/>
        <v>-453</v>
      </c>
      <c r="R57" s="5">
        <f t="shared" si="50"/>
        <v>-573</v>
      </c>
      <c r="S57" s="5">
        <f t="shared" si="50"/>
        <v>-395.5</v>
      </c>
      <c r="T57" s="5">
        <f t="shared" si="50"/>
        <v>-316.5</v>
      </c>
      <c r="U57" s="5">
        <f t="shared" si="50"/>
        <v>-233</v>
      </c>
      <c r="V57" s="5">
        <f t="shared" si="50"/>
        <v>-2</v>
      </c>
      <c r="W57" s="5">
        <f t="shared" si="50"/>
        <v>-49.5</v>
      </c>
      <c r="X57" s="5">
        <f t="shared" si="50"/>
        <v>-29.5</v>
      </c>
      <c r="Y57" s="5">
        <f t="shared" si="50"/>
        <v>-48.5</v>
      </c>
      <c r="Z57" s="5">
        <f t="shared" si="50"/>
        <v>-148</v>
      </c>
      <c r="AA57" s="5">
        <f t="shared" si="50"/>
        <v>-48</v>
      </c>
      <c r="AB57" s="5">
        <f t="shared" si="50"/>
        <v>-51</v>
      </c>
      <c r="AC57" s="5">
        <f t="shared" si="50"/>
        <v>-26</v>
      </c>
      <c r="AD57" s="5">
        <f t="shared" si="50"/>
        <v>-193</v>
      </c>
      <c r="AE57" s="5">
        <f t="shared" si="50"/>
        <v>-178</v>
      </c>
      <c r="AF57" s="5">
        <f t="shared" si="50"/>
        <v>-147</v>
      </c>
      <c r="AG57" s="5">
        <f t="shared" si="50"/>
        <v>-58</v>
      </c>
      <c r="AH57" s="5">
        <f t="shared" si="50"/>
        <v>-19</v>
      </c>
      <c r="AI57" s="5">
        <f t="shared" si="50"/>
        <v>-142</v>
      </c>
      <c r="AJ57" s="5">
        <f t="shared" si="50"/>
        <v>-10</v>
      </c>
      <c r="AK57" s="5">
        <f t="shared" si="50"/>
        <v>-398</v>
      </c>
      <c r="AL57" s="5">
        <f t="shared" si="50"/>
        <v>-135</v>
      </c>
      <c r="AM57" s="5">
        <f t="shared" si="50"/>
        <v>-136</v>
      </c>
      <c r="AN57" s="5">
        <f t="shared" si="50"/>
        <v>-250</v>
      </c>
      <c r="AO57" s="5">
        <f t="shared" si="50"/>
        <v>-219</v>
      </c>
      <c r="AP57" s="5">
        <f t="shared" si="50"/>
        <v>-52</v>
      </c>
      <c r="AQ57" s="5">
        <f t="shared" si="50"/>
        <v>40</v>
      </c>
      <c r="AR57" s="5">
        <f t="shared" si="50"/>
        <v>173</v>
      </c>
      <c r="AS57" s="5">
        <f t="shared" si="50"/>
        <v>-143</v>
      </c>
      <c r="AT57" s="5">
        <f t="shared" si="50"/>
        <v>1</v>
      </c>
      <c r="AU57" s="5">
        <f t="shared" si="50"/>
        <v>72</v>
      </c>
      <c r="AV57" s="5">
        <f t="shared" si="50"/>
        <v>77</v>
      </c>
      <c r="AW57" s="5">
        <f t="shared" si="50"/>
        <v>-50</v>
      </c>
      <c r="AX57" s="5">
        <f t="shared" si="50"/>
        <v>67</v>
      </c>
      <c r="AY57" s="5">
        <f t="shared" si="50"/>
        <v>115</v>
      </c>
      <c r="AZ57" s="5">
        <f t="shared" si="50"/>
        <v>-127</v>
      </c>
      <c r="BA57" s="5">
        <f t="shared" si="50"/>
        <v>-122</v>
      </c>
      <c r="BB57" s="5">
        <f t="shared" si="50"/>
        <v>26</v>
      </c>
      <c r="BC57" s="5">
        <f t="shared" si="50"/>
        <v>50</v>
      </c>
      <c r="BD57" s="5">
        <f t="shared" si="50"/>
        <v>39</v>
      </c>
      <c r="BE57" s="5">
        <f t="shared" si="50"/>
        <v>22</v>
      </c>
      <c r="BF57" s="5">
        <f t="shared" si="50"/>
        <v>3</v>
      </c>
      <c r="BG57" s="5">
        <f t="shared" si="50"/>
        <v>16</v>
      </c>
      <c r="BH57" s="5">
        <f t="shared" si="50"/>
        <v>121</v>
      </c>
      <c r="BI57" s="5">
        <f t="shared" si="50"/>
        <v>88</v>
      </c>
      <c r="BJ57" s="5">
        <f t="shared" si="50"/>
        <v>130</v>
      </c>
      <c r="BK57" s="5">
        <f t="shared" si="50"/>
        <v>55</v>
      </c>
      <c r="BL57" s="5">
        <f t="shared" si="50"/>
        <v>68</v>
      </c>
      <c r="BM57" s="5">
        <f t="shared" si="50"/>
        <v>62</v>
      </c>
      <c r="BN57" s="5">
        <f t="shared" si="50"/>
        <v>20</v>
      </c>
      <c r="BO57" s="5">
        <f t="shared" si="50"/>
        <v>43</v>
      </c>
      <c r="BP57" s="5">
        <f t="shared" si="50"/>
        <v>50</v>
      </c>
      <c r="BQ57" s="5">
        <f t="shared" si="50"/>
        <v>63</v>
      </c>
      <c r="BR57" s="5">
        <f t="shared" ref="BR57:DD57" si="51">BR55-BR54</f>
        <v>80</v>
      </c>
      <c r="BS57" s="5">
        <f t="shared" si="51"/>
        <v>135</v>
      </c>
      <c r="BT57" s="5">
        <f t="shared" si="51"/>
        <v>95</v>
      </c>
      <c r="BU57" s="5">
        <f t="shared" si="51"/>
        <v>88</v>
      </c>
      <c r="BV57" s="5">
        <f t="shared" si="51"/>
        <v>167</v>
      </c>
      <c r="BW57" s="5">
        <f t="shared" si="51"/>
        <v>159</v>
      </c>
      <c r="BX57" s="5">
        <f t="shared" si="51"/>
        <v>181</v>
      </c>
      <c r="BY57" s="5">
        <f t="shared" si="51"/>
        <v>18</v>
      </c>
      <c r="BZ57" s="5">
        <f t="shared" si="51"/>
        <v>102</v>
      </c>
      <c r="CA57" s="5">
        <f t="shared" si="51"/>
        <v>114</v>
      </c>
      <c r="CB57" s="5">
        <f t="shared" si="51"/>
        <v>128</v>
      </c>
      <c r="CC57" s="5">
        <f t="shared" si="51"/>
        <v>141</v>
      </c>
      <c r="CD57" s="5">
        <f t="shared" si="51"/>
        <v>165</v>
      </c>
      <c r="CE57" s="5">
        <f t="shared" si="51"/>
        <v>180</v>
      </c>
      <c r="CF57" s="5">
        <f t="shared" si="51"/>
        <v>29</v>
      </c>
      <c r="CG57" s="5">
        <f t="shared" si="51"/>
        <v>82</v>
      </c>
      <c r="CH57" s="5">
        <f t="shared" si="51"/>
        <v>41</v>
      </c>
      <c r="CI57" s="5">
        <f t="shared" si="51"/>
        <v>190</v>
      </c>
      <c r="CJ57" s="5">
        <f t="shared" si="51"/>
        <v>194</v>
      </c>
      <c r="CK57" s="5">
        <f t="shared" si="51"/>
        <v>257</v>
      </c>
      <c r="CL57" s="5">
        <f t="shared" si="51"/>
        <v>299</v>
      </c>
      <c r="CM57" s="5">
        <f t="shared" si="51"/>
        <v>79</v>
      </c>
      <c r="CN57" s="5">
        <f t="shared" si="51"/>
        <v>127</v>
      </c>
      <c r="CO57" s="5">
        <f t="shared" si="51"/>
        <v>202</v>
      </c>
      <c r="CP57" s="5">
        <f t="shared" si="51"/>
        <v>222</v>
      </c>
      <c r="CQ57" s="5">
        <f t="shared" si="51"/>
        <v>220</v>
      </c>
      <c r="CR57" s="5">
        <f t="shared" si="51"/>
        <v>134</v>
      </c>
      <c r="CS57" s="5">
        <f t="shared" si="51"/>
        <v>189</v>
      </c>
      <c r="CT57" s="5">
        <f t="shared" si="51"/>
        <v>72</v>
      </c>
      <c r="CU57" s="5">
        <f t="shared" si="51"/>
        <v>109</v>
      </c>
      <c r="CV57" s="5">
        <f t="shared" si="51"/>
        <v>118</v>
      </c>
      <c r="CW57" s="5">
        <f t="shared" si="51"/>
        <v>48</v>
      </c>
      <c r="CX57" s="5">
        <f t="shared" si="51"/>
        <v>62</v>
      </c>
      <c r="CY57" s="5">
        <f t="shared" si="51"/>
        <v>377</v>
      </c>
      <c r="CZ57" s="5">
        <f t="shared" si="51"/>
        <v>377</v>
      </c>
      <c r="DA57" s="5">
        <f t="shared" si="51"/>
        <v>377</v>
      </c>
      <c r="DB57" s="5">
        <f t="shared" si="51"/>
        <v>377</v>
      </c>
      <c r="DC57" s="5">
        <f t="shared" si="51"/>
        <v>377</v>
      </c>
      <c r="DD57" s="5">
        <f t="shared" si="51"/>
        <v>377</v>
      </c>
    </row>
    <row r="58" spans="2:110" x14ac:dyDescent="0.3">
      <c r="B58" s="75"/>
      <c r="E58" s="50" t="s">
        <v>66</v>
      </c>
      <c r="F58" s="3"/>
      <c r="G58" s="3"/>
      <c r="H58" s="3"/>
      <c r="I58" s="3"/>
      <c r="J58" s="3"/>
      <c r="K58" s="56">
        <f>478+84</f>
        <v>562</v>
      </c>
      <c r="L58" s="56">
        <f>698+145</f>
        <v>843</v>
      </c>
      <c r="M58" s="56">
        <f>915+175</f>
        <v>1090</v>
      </c>
      <c r="N58" s="56">
        <f>1064+200</f>
        <v>1264</v>
      </c>
      <c r="O58" s="56">
        <f>1136+231</f>
        <v>1367</v>
      </c>
      <c r="P58" s="56">
        <f>1297+245</f>
        <v>1542</v>
      </c>
      <c r="Q58" s="56">
        <f>1596+318</f>
        <v>1914</v>
      </c>
      <c r="R58" s="56">
        <f>751+274</f>
        <v>1025</v>
      </c>
      <c r="S58" s="56">
        <f>990+354</f>
        <v>1344</v>
      </c>
      <c r="T58" s="56">
        <f>797+389</f>
        <v>1186</v>
      </c>
      <c r="U58" s="56">
        <f>1006+468</f>
        <v>1474</v>
      </c>
      <c r="V58" s="56">
        <f>1220+470</f>
        <v>1690</v>
      </c>
      <c r="W58" s="56">
        <f>962+423</f>
        <v>1385</v>
      </c>
      <c r="X58" s="56">
        <f>854+469</f>
        <v>1323</v>
      </c>
      <c r="Y58" s="56">
        <f>637+377</f>
        <v>1014</v>
      </c>
      <c r="Z58" s="56">
        <f>781+424</f>
        <v>1205</v>
      </c>
      <c r="AA58" s="56">
        <f>879+436</f>
        <v>1315</v>
      </c>
      <c r="AB58" s="56">
        <f>783+471</f>
        <v>1254</v>
      </c>
      <c r="AC58" s="56">
        <f>840+408</f>
        <v>1248</v>
      </c>
      <c r="AD58" s="56">
        <f>709+324</f>
        <v>1033</v>
      </c>
      <c r="AE58" s="56">
        <f>823+383</f>
        <v>1206</v>
      </c>
      <c r="AF58" s="56">
        <f>882+448</f>
        <v>1330</v>
      </c>
      <c r="AG58" s="56">
        <f>855+429</f>
        <v>1284</v>
      </c>
      <c r="AH58" s="56">
        <f>566+405</f>
        <v>971</v>
      </c>
      <c r="AI58" s="56">
        <f>585+344</f>
        <v>929</v>
      </c>
      <c r="AJ58" s="56">
        <f>564+313</f>
        <v>877</v>
      </c>
      <c r="AK58" s="3">
        <f>678+282</f>
        <v>960</v>
      </c>
      <c r="AL58" s="3">
        <f>905+334</f>
        <v>1239</v>
      </c>
      <c r="AM58" s="3">
        <f>778+348</f>
        <v>1126</v>
      </c>
      <c r="AN58" s="3">
        <f>621+355</f>
        <v>976</v>
      </c>
      <c r="AO58" s="3">
        <f>802+263</f>
        <v>1065</v>
      </c>
      <c r="AP58" s="3">
        <f>773+240</f>
        <v>1013</v>
      </c>
      <c r="AQ58" s="3">
        <f>794+209</f>
        <v>1003</v>
      </c>
      <c r="AR58" s="3">
        <f>559+156</f>
        <v>715</v>
      </c>
      <c r="AS58" s="3">
        <f>286+104</f>
        <v>390</v>
      </c>
      <c r="AT58" s="3">
        <f>342+142</f>
        <v>484</v>
      </c>
      <c r="AU58" s="3">
        <f>172+62</f>
        <v>234</v>
      </c>
      <c r="AV58" s="3">
        <f>80+26</f>
        <v>106</v>
      </c>
      <c r="AW58" s="3">
        <f>82+28</f>
        <v>110</v>
      </c>
      <c r="AX58" s="3">
        <f>54+23</f>
        <v>77</v>
      </c>
      <c r="AY58" s="3">
        <f>32+14</f>
        <v>46</v>
      </c>
      <c r="AZ58" s="3">
        <f>32+17</f>
        <v>49</v>
      </c>
      <c r="BA58" s="3">
        <f>75+21</f>
        <v>96</v>
      </c>
      <c r="BB58" s="3">
        <f>101+53</f>
        <v>154</v>
      </c>
      <c r="BC58" s="3">
        <f>29+20</f>
        <v>49</v>
      </c>
      <c r="BD58" s="3">
        <f>68+37</f>
        <v>105</v>
      </c>
      <c r="BE58" s="3">
        <f>40+21</f>
        <v>61</v>
      </c>
      <c r="BF58" s="3">
        <f>58+23</f>
        <v>81</v>
      </c>
      <c r="BG58" s="3">
        <f>51+24</f>
        <v>75</v>
      </c>
      <c r="BH58" s="3">
        <f>62+28</f>
        <v>90</v>
      </c>
      <c r="BI58" s="3">
        <f>95+41</f>
        <v>136</v>
      </c>
      <c r="BJ58" s="3">
        <f>108+42</f>
        <v>150</v>
      </c>
      <c r="BK58" s="3">
        <f>47+26</f>
        <v>73</v>
      </c>
      <c r="BL58" s="3">
        <f>25+3</f>
        <v>28</v>
      </c>
      <c r="BM58" s="3">
        <f>48+16</f>
        <v>64</v>
      </c>
      <c r="BN58" s="3">
        <f>47+26</f>
        <v>73</v>
      </c>
      <c r="BO58" s="3">
        <f>51+15</f>
        <v>66</v>
      </c>
      <c r="BP58" s="3">
        <f>62+21</f>
        <v>83</v>
      </c>
      <c r="BQ58" s="3">
        <f>47+23</f>
        <v>70</v>
      </c>
      <c r="BR58" s="3">
        <f>57+17</f>
        <v>74</v>
      </c>
      <c r="BS58" s="3">
        <f>58+10</f>
        <v>68</v>
      </c>
      <c r="BT58" s="3">
        <f>19+10</f>
        <v>29</v>
      </c>
      <c r="BU58" s="3">
        <f>76+35</f>
        <v>111</v>
      </c>
      <c r="BV58" s="3">
        <f>3+3</f>
        <v>6</v>
      </c>
      <c r="BW58" s="3">
        <f>8+6</f>
        <v>14</v>
      </c>
      <c r="BX58" s="3">
        <f>32+13</f>
        <v>45</v>
      </c>
      <c r="BY58" s="3">
        <f>45+10</f>
        <v>55</v>
      </c>
      <c r="BZ58" s="3">
        <f>51+31</f>
        <v>82</v>
      </c>
      <c r="CA58" s="3">
        <f>33+14</f>
        <v>47</v>
      </c>
      <c r="CB58" s="3">
        <f>18+18</f>
        <v>36</v>
      </c>
      <c r="CC58" s="3">
        <f>28+16</f>
        <v>44</v>
      </c>
      <c r="CD58" s="3">
        <f>19+21</f>
        <v>40</v>
      </c>
      <c r="CE58" s="3">
        <f t="shared" ref="CE58" si="52">7+11</f>
        <v>18</v>
      </c>
      <c r="CF58" s="3">
        <f>30+10</f>
        <v>40</v>
      </c>
      <c r="CG58" s="3">
        <f>5+2</f>
        <v>7</v>
      </c>
      <c r="CH58" s="3">
        <f>3+2</f>
        <v>5</v>
      </c>
      <c r="CI58" s="3">
        <f>6+2</f>
        <v>8</v>
      </c>
      <c r="CJ58" s="3">
        <f>37+25</f>
        <v>62</v>
      </c>
      <c r="CK58" s="3">
        <f>4+4</f>
        <v>8</v>
      </c>
      <c r="CL58" s="3">
        <f>28+13</f>
        <v>41</v>
      </c>
      <c r="CM58" s="3">
        <f>4+3</f>
        <v>7</v>
      </c>
      <c r="CN58" s="3">
        <f>16+5</f>
        <v>21</v>
      </c>
      <c r="CO58" s="3">
        <f>1+0</f>
        <v>1</v>
      </c>
      <c r="CP58" s="3">
        <f>13+8</f>
        <v>21</v>
      </c>
      <c r="CQ58" s="3">
        <f>24+8</f>
        <v>32</v>
      </c>
      <c r="CR58" s="3">
        <f>7+4</f>
        <v>11</v>
      </c>
      <c r="CS58" s="3">
        <f>21+6</f>
        <v>27</v>
      </c>
      <c r="CT58" s="3">
        <f>13+8</f>
        <v>21</v>
      </c>
      <c r="CU58" s="3">
        <f>7+4</f>
        <v>11</v>
      </c>
      <c r="CV58" s="3">
        <f>8+3</f>
        <v>11</v>
      </c>
      <c r="CW58" s="3">
        <f>24+11</f>
        <v>35</v>
      </c>
      <c r="CX58" s="3">
        <f>77+33</f>
        <v>110</v>
      </c>
      <c r="CY58" s="3">
        <f>63+26</f>
        <v>89</v>
      </c>
      <c r="CZ58" s="3"/>
      <c r="DA58" s="3"/>
      <c r="DB58" s="3"/>
      <c r="DC58" s="3"/>
      <c r="DD58" s="3"/>
    </row>
    <row r="59" spans="2:110" x14ac:dyDescent="0.3">
      <c r="B59" s="75"/>
      <c r="E59" s="50" t="s">
        <v>67</v>
      </c>
      <c r="F59" s="49"/>
      <c r="G59" s="49" t="str">
        <f t="shared" ref="G59:AU59" si="53">IFERROR((G58-F58)/F58,"")</f>
        <v/>
      </c>
      <c r="H59" s="49" t="str">
        <f t="shared" si="53"/>
        <v/>
      </c>
      <c r="I59" s="49" t="str">
        <f t="shared" si="53"/>
        <v/>
      </c>
      <c r="J59" s="49" t="str">
        <f t="shared" si="53"/>
        <v/>
      </c>
      <c r="K59" s="49" t="str">
        <f t="shared" si="53"/>
        <v/>
      </c>
      <c r="L59" s="49">
        <f t="shared" si="53"/>
        <v>0.5</v>
      </c>
      <c r="M59" s="49">
        <f t="shared" si="53"/>
        <v>0.2930011862396204</v>
      </c>
      <c r="N59" s="49">
        <f t="shared" si="53"/>
        <v>0.15963302752293579</v>
      </c>
      <c r="O59" s="49">
        <f t="shared" si="53"/>
        <v>8.1487341772151903E-2</v>
      </c>
      <c r="P59" s="49">
        <f t="shared" si="53"/>
        <v>0.12801755669348938</v>
      </c>
      <c r="Q59" s="49">
        <f t="shared" si="53"/>
        <v>0.24124513618677043</v>
      </c>
      <c r="R59" s="49">
        <f t="shared" si="53"/>
        <v>-0.46447230929989552</v>
      </c>
      <c r="S59" s="49">
        <f t="shared" si="53"/>
        <v>0.31121951219512195</v>
      </c>
      <c r="T59" s="49">
        <f t="shared" si="53"/>
        <v>-0.11755952380952381</v>
      </c>
      <c r="U59" s="49">
        <f t="shared" si="53"/>
        <v>0.24283305227655985</v>
      </c>
      <c r="V59" s="49">
        <f t="shared" si="53"/>
        <v>0.14654002713704206</v>
      </c>
      <c r="W59" s="49">
        <f t="shared" si="53"/>
        <v>-0.18047337278106509</v>
      </c>
      <c r="X59" s="49">
        <f t="shared" si="53"/>
        <v>-4.4765342960288806E-2</v>
      </c>
      <c r="Y59" s="49">
        <f t="shared" si="53"/>
        <v>-0.23356009070294784</v>
      </c>
      <c r="Z59" s="49">
        <f t="shared" si="53"/>
        <v>0.18836291913214989</v>
      </c>
      <c r="AA59" s="49">
        <f t="shared" si="53"/>
        <v>9.1286307053941904E-2</v>
      </c>
      <c r="AB59" s="49">
        <f t="shared" si="53"/>
        <v>-4.6387832699619769E-2</v>
      </c>
      <c r="AC59" s="49">
        <f t="shared" si="53"/>
        <v>-4.7846889952153108E-3</v>
      </c>
      <c r="AD59" s="49">
        <f t="shared" si="53"/>
        <v>-0.17227564102564102</v>
      </c>
      <c r="AE59" s="49">
        <f t="shared" si="53"/>
        <v>0.16747337850919652</v>
      </c>
      <c r="AF59" s="49">
        <f t="shared" si="53"/>
        <v>0.10281923714759536</v>
      </c>
      <c r="AG59" s="49">
        <f t="shared" si="53"/>
        <v>-3.4586466165413533E-2</v>
      </c>
      <c r="AH59" s="49">
        <f t="shared" si="53"/>
        <v>-0.24376947040498442</v>
      </c>
      <c r="AI59" s="49">
        <f t="shared" si="53"/>
        <v>-4.325437693099897E-2</v>
      </c>
      <c r="AJ59" s="49">
        <f t="shared" si="53"/>
        <v>-5.5974165769644778E-2</v>
      </c>
      <c r="AK59" s="49">
        <f t="shared" si="53"/>
        <v>9.4640820980615742E-2</v>
      </c>
      <c r="AL59" s="49">
        <f t="shared" si="53"/>
        <v>0.29062500000000002</v>
      </c>
      <c r="AM59" s="49">
        <f t="shared" si="53"/>
        <v>-9.1202582728006451E-2</v>
      </c>
      <c r="AN59" s="49">
        <f t="shared" si="53"/>
        <v>-0.13321492007104796</v>
      </c>
      <c r="AO59" s="49">
        <f t="shared" si="53"/>
        <v>9.1188524590163939E-2</v>
      </c>
      <c r="AP59" s="49">
        <f t="shared" si="53"/>
        <v>-4.8826291079812206E-2</v>
      </c>
      <c r="AQ59" s="49">
        <f t="shared" si="53"/>
        <v>-9.8716683119447184E-3</v>
      </c>
      <c r="AR59" s="49">
        <f t="shared" si="53"/>
        <v>-0.28713858424725824</v>
      </c>
      <c r="AS59" s="49">
        <f t="shared" si="53"/>
        <v>-0.45454545454545453</v>
      </c>
      <c r="AT59" s="49">
        <f t="shared" si="53"/>
        <v>0.24102564102564103</v>
      </c>
      <c r="AU59" s="49">
        <f t="shared" si="53"/>
        <v>-0.51652892561983466</v>
      </c>
      <c r="AV59" s="49">
        <f>IFERROR((AV58-AR58)/AR58,"")</f>
        <v>-0.85174825174825175</v>
      </c>
      <c r="AW59" s="49">
        <f>IFERROR((AW58-AS58)/AS58,"")</f>
        <v>-0.71794871794871795</v>
      </c>
      <c r="AX59" s="49">
        <f>IFERROR((AX58-AT58)/AT58,"")</f>
        <v>-0.84090909090909094</v>
      </c>
      <c r="AY59" s="49">
        <f>IFERROR((AY58-AR58)/AR58,"")</f>
        <v>-0.93566433566433571</v>
      </c>
      <c r="AZ59" s="49">
        <f>IFERROR((AZ58-AS58)/AS58,"")</f>
        <v>-0.87435897435897436</v>
      </c>
      <c r="BA59" s="49">
        <f>IFERROR((BA58-AT58)/AT58,"")</f>
        <v>-0.80165289256198347</v>
      </c>
      <c r="BB59" s="49">
        <f>IFERROR((BB58-AR58)/AR58,"")</f>
        <v>-0.7846153846153846</v>
      </c>
      <c r="BC59" s="49">
        <f>IFERROR((BC58-AS58)/AS58,"")</f>
        <v>-0.87435897435897436</v>
      </c>
      <c r="BD59" s="49">
        <f>IFERROR((BD58-AT58)/AT58,"")</f>
        <v>-0.78305785123966942</v>
      </c>
      <c r="BE59" s="49">
        <f>IFERROR((BE58-AS58)/AS58,"")</f>
        <v>-0.84358974358974359</v>
      </c>
      <c r="BF59" s="49">
        <f>IFERROR((BF58-AT58)/AT58,"")</f>
        <v>-0.8326446280991735</v>
      </c>
      <c r="BG59" s="49">
        <f>IFERROR((BG58-AS58)/AS58,"")</f>
        <v>-0.80769230769230771</v>
      </c>
      <c r="BH59" s="49">
        <f>IFERROR((BH58-AT58)/AT58,"")</f>
        <v>-0.81404958677685946</v>
      </c>
      <c r="BI59" s="49">
        <f>IFERROR((BI58-AS58)/AS58,"")</f>
        <v>-0.6512820512820513</v>
      </c>
      <c r="BJ59" s="49">
        <f>IFERROR((BJ58-AT58)/AT58,"")</f>
        <v>-0.69008264462809921</v>
      </c>
      <c r="BK59" s="49">
        <f t="shared" ref="BK59:BO59" si="54">IFERROR((BK58-AP58)/AP58,"")</f>
        <v>-0.92793682132280353</v>
      </c>
      <c r="BL59" s="49">
        <f t="shared" si="54"/>
        <v>-0.97208374875373882</v>
      </c>
      <c r="BM59" s="49">
        <f t="shared" si="54"/>
        <v>-0.91048951048951043</v>
      </c>
      <c r="BN59" s="49">
        <f t="shared" si="54"/>
        <v>-0.81282051282051282</v>
      </c>
      <c r="BO59" s="49">
        <f t="shared" si="54"/>
        <v>-0.86363636363636365</v>
      </c>
      <c r="BP59" s="49">
        <f>IFERROR((BP58-AS58)/AS58,"")</f>
        <v>-0.78717948717948716</v>
      </c>
      <c r="BQ59" s="49">
        <f>IFERROR((BQ58-AT58)/AT58,"")</f>
        <v>-0.85537190082644632</v>
      </c>
      <c r="BR59" s="49">
        <f>IFERROR((BR58-AS58)/AS58,"")</f>
        <v>-0.81025641025641026</v>
      </c>
      <c r="BS59" s="49">
        <f>IFERROR((BS58-AT58)/AT58,"")</f>
        <v>-0.85950413223140498</v>
      </c>
      <c r="BT59" s="49">
        <f>IFERROR((BT58-AT58)/AT58,"")</f>
        <v>-0.94008264462809921</v>
      </c>
      <c r="BU59" s="49">
        <f>IFERROR((BU58-AR58)/AR58,"")</f>
        <v>-0.84475524475524477</v>
      </c>
      <c r="BV59" s="49">
        <f>IFERROR((BV58-AS58)/AS58,"")</f>
        <v>-0.98461538461538467</v>
      </c>
      <c r="BW59" s="49">
        <f>IFERROR((BW58-AT58)/AT58,"")</f>
        <v>-0.97107438016528924</v>
      </c>
      <c r="BX59" s="49">
        <f>IFERROR((BX58-AT58)/AT58,"")</f>
        <v>-0.90702479338842978</v>
      </c>
      <c r="BY59" s="49">
        <f>IFERROR((BY58-AR58)/AR58,"")</f>
        <v>-0.92307692307692313</v>
      </c>
      <c r="BZ59" s="49">
        <f>IFERROR((BZ58-AS58)/AS58,"")</f>
        <v>-0.78974358974358971</v>
      </c>
      <c r="CA59" s="49">
        <f>IFERROR((CA58-AT58)/AT58,"")</f>
        <v>-0.90289256198347112</v>
      </c>
      <c r="CB59" s="49">
        <f>IFERROR((CB58-AT58)/AT58,"")</f>
        <v>-0.92561983471074383</v>
      </c>
      <c r="CC59" s="49">
        <f>IFERROR((CC58-AS58)/AS58,"")</f>
        <v>-0.88717948717948714</v>
      </c>
      <c r="CD59" s="49">
        <f>IFERROR((CD58-AT58)/AT58,"")</f>
        <v>-0.9173553719008265</v>
      </c>
      <c r="CE59" s="49">
        <f>IFERROR((CE58-AR58)/AR58,"")</f>
        <v>-0.97482517482517483</v>
      </c>
      <c r="CF59" s="49">
        <f>IFERROR((CF58-AS58)/AS58,"")</f>
        <v>-0.89743589743589747</v>
      </c>
      <c r="CG59" s="49">
        <f>IFERROR((CG58-AT58)/AT58,"")</f>
        <v>-0.98553719008264462</v>
      </c>
      <c r="CH59" s="49">
        <f>IFERROR((CH58-AR58)/AR58,"")</f>
        <v>-0.99300699300699302</v>
      </c>
      <c r="CI59" s="49">
        <f>IFERROR((CI58-AS58)/AS58,"")</f>
        <v>-0.97948717948717945</v>
      </c>
      <c r="CJ59" s="49">
        <f>IFERROR((CJ58-AT58)/AT58,"")</f>
        <v>-0.87190082644628097</v>
      </c>
      <c r="CK59" s="49">
        <f>IFERROR((CK58-AT58)/AT58,"")</f>
        <v>-0.98347107438016534</v>
      </c>
      <c r="CL59" s="49">
        <f>IFERROR((CL58-AS58)/AS58,"")</f>
        <v>-0.89487179487179491</v>
      </c>
      <c r="CM59" s="49">
        <f>IFERROR((CM58-AT58)/AT58,"")</f>
        <v>-0.98553719008264462</v>
      </c>
      <c r="CN59" s="49">
        <f>IFERROR((CN58-AU58)/AU58,"")</f>
        <v>-0.91025641025641024</v>
      </c>
      <c r="CO59" s="49">
        <f t="shared" ref="CO59" si="55">IFERROR((CO58-CM58)/CM58,"")</f>
        <v>-0.8571428571428571</v>
      </c>
      <c r="CP59" s="49">
        <f>IFERROR((CP58-CK58)/CK58,"")</f>
        <v>1.625</v>
      </c>
      <c r="CQ59" s="49">
        <f>IFERROR((CQ58-CL58)/CL58,"")</f>
        <v>-0.21951219512195122</v>
      </c>
      <c r="CR59" s="49">
        <f>IFERROR((CR58-CK58)/CK58,"")</f>
        <v>0.375</v>
      </c>
      <c r="CS59" s="49">
        <f>IFERROR((CS58-CL58)/CL58,"")</f>
        <v>-0.34146341463414637</v>
      </c>
      <c r="CT59" s="49">
        <f>IFERROR((CT58-CK58)/CK58,"")</f>
        <v>1.625</v>
      </c>
      <c r="CU59" s="49">
        <f>IFERROR((CU58-CL58)/CL58,"")</f>
        <v>-0.73170731707317072</v>
      </c>
      <c r="CV59" s="49">
        <f>IFERROR((CV58-CK58)/CK58,"")</f>
        <v>0.375</v>
      </c>
      <c r="CW59" s="49">
        <f>IFERROR((CW58-CL58)/CL58,"")</f>
        <v>-0.14634146341463414</v>
      </c>
      <c r="CX59" s="49">
        <f>IFERROR((CX58-CK58)/CK58,"")</f>
        <v>12.75</v>
      </c>
      <c r="CY59" s="49">
        <f>IFERROR((CY58-CL58)/CL58,"")</f>
        <v>1.1707317073170731</v>
      </c>
      <c r="CZ59" s="49">
        <f>IFERROR((CZ58-CJ58)/CJ58,"")</f>
        <v>-1</v>
      </c>
      <c r="DA59" s="49">
        <f>IFERROR((DA58-CK58)/CK58,"")</f>
        <v>-1</v>
      </c>
      <c r="DB59" s="49">
        <f>IFERROR((DB58-CL58)/CL58,"")</f>
        <v>-1</v>
      </c>
      <c r="DC59" s="49">
        <f>IFERROR((DC58-CM58)/CM58,"")</f>
        <v>-1</v>
      </c>
      <c r="DD59" s="49">
        <f>IFERROR((DD58-CN58)/CN58,"")</f>
        <v>-1</v>
      </c>
    </row>
    <row r="60" spans="2:110" x14ac:dyDescent="0.3">
      <c r="B60" s="75"/>
      <c r="E60" s="52" t="s">
        <v>69</v>
      </c>
      <c r="F60" s="53">
        <v>557</v>
      </c>
      <c r="G60" s="53">
        <v>492</v>
      </c>
      <c r="H60" s="53">
        <v>410</v>
      </c>
      <c r="I60" s="53">
        <v>734</v>
      </c>
      <c r="J60" s="53">
        <v>946</v>
      </c>
      <c r="K60" s="53">
        <v>904</v>
      </c>
      <c r="L60" s="53">
        <v>985</v>
      </c>
      <c r="M60" s="53">
        <v>1141</v>
      </c>
      <c r="N60" s="53">
        <v>802</v>
      </c>
      <c r="O60" s="53">
        <v>560</v>
      </c>
      <c r="P60" s="53">
        <v>1283</v>
      </c>
      <c r="Q60" s="53">
        <v>1269</v>
      </c>
      <c r="R60" s="53">
        <v>1153</v>
      </c>
      <c r="S60" s="53">
        <v>1084</v>
      </c>
      <c r="T60" s="53">
        <v>813</v>
      </c>
      <c r="U60" s="53">
        <v>743</v>
      </c>
      <c r="V60" s="53">
        <v>583</v>
      </c>
      <c r="W60" s="53">
        <v>1283</v>
      </c>
      <c r="X60" s="53">
        <v>1269</v>
      </c>
      <c r="Y60" s="53">
        <v>629</v>
      </c>
      <c r="Z60" s="53">
        <v>591</v>
      </c>
      <c r="AA60" s="53">
        <v>461</v>
      </c>
      <c r="AB60" s="53">
        <v>357</v>
      </c>
      <c r="AC60" s="53">
        <v>253</v>
      </c>
      <c r="AD60" s="53">
        <v>811</v>
      </c>
      <c r="AE60" s="53">
        <v>818</v>
      </c>
      <c r="AF60" s="53">
        <v>598</v>
      </c>
      <c r="AG60" s="53">
        <v>557</v>
      </c>
      <c r="AH60" s="53">
        <v>564</v>
      </c>
      <c r="AI60" s="53">
        <v>364</v>
      </c>
      <c r="AJ60" s="53">
        <v>282</v>
      </c>
      <c r="AK60" s="53">
        <v>711</v>
      </c>
      <c r="AL60" s="53">
        <v>692</v>
      </c>
      <c r="AM60" s="53">
        <v>672</v>
      </c>
      <c r="AN60" s="53">
        <v>684</v>
      </c>
      <c r="AO60" s="53">
        <v>614</v>
      </c>
      <c r="AP60" s="53">
        <v>406</v>
      </c>
      <c r="AQ60" s="53">
        <v>322</v>
      </c>
      <c r="AR60" s="53">
        <v>130</v>
      </c>
      <c r="AS60" s="53">
        <v>627</v>
      </c>
      <c r="AT60" s="53">
        <v>562</v>
      </c>
      <c r="AU60" s="53">
        <v>530</v>
      </c>
      <c r="AV60" s="53">
        <v>489</v>
      </c>
      <c r="AW60" s="53">
        <v>382</v>
      </c>
      <c r="AX60" s="53">
        <v>242</v>
      </c>
      <c r="AY60" s="53">
        <v>201</v>
      </c>
      <c r="AZ60" s="53">
        <v>595</v>
      </c>
      <c r="BA60" s="53">
        <v>513</v>
      </c>
      <c r="BB60" s="53">
        <v>463</v>
      </c>
      <c r="BC60" s="53">
        <v>404</v>
      </c>
      <c r="BD60" s="53">
        <v>316</v>
      </c>
      <c r="BE60" s="53">
        <v>190</v>
      </c>
      <c r="BF60" s="53">
        <v>573</v>
      </c>
      <c r="BG60" s="53">
        <v>477</v>
      </c>
      <c r="BH60" s="53">
        <v>319</v>
      </c>
      <c r="BI60" s="53">
        <v>290</v>
      </c>
      <c r="BJ60" s="53">
        <v>278</v>
      </c>
      <c r="BK60" s="53">
        <v>237</v>
      </c>
      <c r="BL60" s="53">
        <v>158</v>
      </c>
      <c r="BM60" s="53">
        <v>375</v>
      </c>
      <c r="BN60" s="53">
        <v>342</v>
      </c>
      <c r="BO60" s="53">
        <v>319</v>
      </c>
      <c r="BP60" s="53">
        <v>270</v>
      </c>
      <c r="BQ60" s="53">
        <v>249</v>
      </c>
      <c r="BR60" s="53">
        <v>177</v>
      </c>
      <c r="BS60" s="53">
        <v>113</v>
      </c>
      <c r="BT60" s="53">
        <v>357</v>
      </c>
      <c r="BU60" s="53">
        <v>314</v>
      </c>
      <c r="BV60" s="53">
        <v>240</v>
      </c>
      <c r="BW60" s="53">
        <v>244</v>
      </c>
      <c r="BX60" s="53">
        <v>199</v>
      </c>
      <c r="BY60" s="53">
        <v>145</v>
      </c>
      <c r="BZ60" s="53">
        <v>79</v>
      </c>
      <c r="CA60" s="53">
        <v>257</v>
      </c>
      <c r="CB60" s="53">
        <v>247</v>
      </c>
      <c r="CC60" s="53">
        <v>241</v>
      </c>
      <c r="CD60" s="53">
        <v>222</v>
      </c>
      <c r="CE60" s="53">
        <v>210</v>
      </c>
      <c r="CF60" s="53">
        <v>162</v>
      </c>
      <c r="CG60" s="53">
        <v>99</v>
      </c>
      <c r="CH60" s="53">
        <v>154</v>
      </c>
      <c r="CI60" s="53">
        <v>299</v>
      </c>
      <c r="CJ60" s="53">
        <v>230</v>
      </c>
      <c r="CK60" s="53">
        <v>206</v>
      </c>
      <c r="CL60" s="53">
        <v>178</v>
      </c>
      <c r="CM60" s="53">
        <v>155</v>
      </c>
      <c r="CN60" s="53">
        <v>100</v>
      </c>
      <c r="CO60" s="53">
        <v>256</v>
      </c>
      <c r="CP60" s="53">
        <v>236</v>
      </c>
      <c r="CQ60" s="53">
        <v>220</v>
      </c>
      <c r="CR60" s="53">
        <v>194</v>
      </c>
      <c r="CS60" s="53">
        <v>178</v>
      </c>
      <c r="CT60" s="53">
        <v>137</v>
      </c>
      <c r="CU60" s="53">
        <v>85</v>
      </c>
      <c r="CV60" s="53">
        <v>239</v>
      </c>
      <c r="CW60" s="53">
        <v>218</v>
      </c>
      <c r="CX60" s="53">
        <v>272</v>
      </c>
      <c r="CY60" s="53">
        <v>251</v>
      </c>
      <c r="CZ60" s="53">
        <v>236</v>
      </c>
      <c r="DA60" s="53">
        <v>150</v>
      </c>
      <c r="DB60" s="53">
        <v>89</v>
      </c>
      <c r="DC60" s="53"/>
      <c r="DD60" s="53"/>
    </row>
    <row r="61" spans="2:110" x14ac:dyDescent="0.3">
      <c r="B61" s="75"/>
      <c r="E61" s="51" t="s">
        <v>68</v>
      </c>
      <c r="F61" s="3">
        <f t="shared" ref="F61:BQ61" si="56">F60+F58</f>
        <v>557</v>
      </c>
      <c r="G61" s="3">
        <f t="shared" si="56"/>
        <v>492</v>
      </c>
      <c r="H61" s="3">
        <f t="shared" si="56"/>
        <v>410</v>
      </c>
      <c r="I61" s="3">
        <f t="shared" si="56"/>
        <v>734</v>
      </c>
      <c r="J61" s="3">
        <f t="shared" si="56"/>
        <v>946</v>
      </c>
      <c r="K61" s="3">
        <f t="shared" si="56"/>
        <v>1466</v>
      </c>
      <c r="L61" s="3">
        <f t="shared" si="56"/>
        <v>1828</v>
      </c>
      <c r="M61" s="3">
        <f t="shared" si="56"/>
        <v>2231</v>
      </c>
      <c r="N61" s="3">
        <f t="shared" si="56"/>
        <v>2066</v>
      </c>
      <c r="O61" s="3">
        <f t="shared" si="56"/>
        <v>1927</v>
      </c>
      <c r="P61" s="3">
        <f t="shared" si="56"/>
        <v>2825</v>
      </c>
      <c r="Q61" s="3">
        <f t="shared" si="56"/>
        <v>3183</v>
      </c>
      <c r="R61" s="3">
        <f t="shared" si="56"/>
        <v>2178</v>
      </c>
      <c r="S61" s="3">
        <f t="shared" si="56"/>
        <v>2428</v>
      </c>
      <c r="T61" s="3">
        <f t="shared" si="56"/>
        <v>1999</v>
      </c>
      <c r="U61" s="3">
        <f t="shared" si="56"/>
        <v>2217</v>
      </c>
      <c r="V61" s="3">
        <f t="shared" si="56"/>
        <v>2273</v>
      </c>
      <c r="W61" s="3">
        <f t="shared" si="56"/>
        <v>2668</v>
      </c>
      <c r="X61" s="3">
        <f t="shared" si="56"/>
        <v>2592</v>
      </c>
      <c r="Y61" s="3">
        <f t="shared" si="56"/>
        <v>1643</v>
      </c>
      <c r="Z61" s="3">
        <f t="shared" si="56"/>
        <v>1796</v>
      </c>
      <c r="AA61" s="3">
        <f t="shared" si="56"/>
        <v>1776</v>
      </c>
      <c r="AB61" s="3">
        <f t="shared" si="56"/>
        <v>1611</v>
      </c>
      <c r="AC61" s="3">
        <f t="shared" si="56"/>
        <v>1501</v>
      </c>
      <c r="AD61" s="3">
        <f t="shared" si="56"/>
        <v>1844</v>
      </c>
      <c r="AE61" s="3">
        <f t="shared" si="56"/>
        <v>2024</v>
      </c>
      <c r="AF61" s="3">
        <f t="shared" si="56"/>
        <v>1928</v>
      </c>
      <c r="AG61" s="3">
        <f t="shared" si="56"/>
        <v>1841</v>
      </c>
      <c r="AH61" s="3">
        <f t="shared" si="56"/>
        <v>1535</v>
      </c>
      <c r="AI61" s="3">
        <f t="shared" si="56"/>
        <v>1293</v>
      </c>
      <c r="AJ61" s="3">
        <f t="shared" si="56"/>
        <v>1159</v>
      </c>
      <c r="AK61" s="3">
        <f t="shared" si="56"/>
        <v>1671</v>
      </c>
      <c r="AL61" s="3">
        <f t="shared" si="56"/>
        <v>1931</v>
      </c>
      <c r="AM61" s="3">
        <f t="shared" si="56"/>
        <v>1798</v>
      </c>
      <c r="AN61" s="3">
        <f t="shared" si="56"/>
        <v>1660</v>
      </c>
      <c r="AO61" s="3">
        <f t="shared" si="56"/>
        <v>1679</v>
      </c>
      <c r="AP61" s="3">
        <f t="shared" si="56"/>
        <v>1419</v>
      </c>
      <c r="AQ61" s="3">
        <f t="shared" si="56"/>
        <v>1325</v>
      </c>
      <c r="AR61" s="3">
        <f t="shared" si="56"/>
        <v>845</v>
      </c>
      <c r="AS61" s="3">
        <f t="shared" si="56"/>
        <v>1017</v>
      </c>
      <c r="AT61" s="3">
        <f t="shared" si="56"/>
        <v>1046</v>
      </c>
      <c r="AU61" s="3">
        <f t="shared" si="56"/>
        <v>764</v>
      </c>
      <c r="AV61" s="3">
        <f t="shared" si="56"/>
        <v>595</v>
      </c>
      <c r="AW61" s="3">
        <f t="shared" si="56"/>
        <v>492</v>
      </c>
      <c r="AX61" s="3">
        <f t="shared" si="56"/>
        <v>319</v>
      </c>
      <c r="AY61" s="3">
        <f t="shared" si="56"/>
        <v>247</v>
      </c>
      <c r="AZ61" s="3">
        <f t="shared" si="56"/>
        <v>644</v>
      </c>
      <c r="BA61" s="3">
        <f t="shared" si="56"/>
        <v>609</v>
      </c>
      <c r="BB61" s="3">
        <f t="shared" si="56"/>
        <v>617</v>
      </c>
      <c r="BC61" s="3">
        <f t="shared" si="56"/>
        <v>453</v>
      </c>
      <c r="BD61" s="3">
        <f t="shared" si="56"/>
        <v>421</v>
      </c>
      <c r="BE61" s="3">
        <f t="shared" si="56"/>
        <v>251</v>
      </c>
      <c r="BF61" s="3">
        <f t="shared" si="56"/>
        <v>654</v>
      </c>
      <c r="BG61" s="3">
        <f t="shared" si="56"/>
        <v>552</v>
      </c>
      <c r="BH61" s="3">
        <f t="shared" si="56"/>
        <v>409</v>
      </c>
      <c r="BI61" s="3">
        <f t="shared" si="56"/>
        <v>426</v>
      </c>
      <c r="BJ61" s="3">
        <f t="shared" si="56"/>
        <v>428</v>
      </c>
      <c r="BK61" s="3">
        <f t="shared" si="56"/>
        <v>310</v>
      </c>
      <c r="BL61" s="3">
        <f t="shared" si="56"/>
        <v>186</v>
      </c>
      <c r="BM61" s="3">
        <f t="shared" si="56"/>
        <v>439</v>
      </c>
      <c r="BN61" s="3">
        <f t="shared" si="56"/>
        <v>415</v>
      </c>
      <c r="BO61" s="3">
        <f t="shared" si="56"/>
        <v>385</v>
      </c>
      <c r="BP61" s="3">
        <f t="shared" si="56"/>
        <v>353</v>
      </c>
      <c r="BQ61" s="3">
        <f t="shared" si="56"/>
        <v>319</v>
      </c>
      <c r="BR61" s="3">
        <f t="shared" ref="BR61:CD61" si="57">BR60+BR58</f>
        <v>251</v>
      </c>
      <c r="BS61" s="3">
        <f t="shared" si="57"/>
        <v>181</v>
      </c>
      <c r="BT61" s="3">
        <f t="shared" si="57"/>
        <v>386</v>
      </c>
      <c r="BU61" s="3">
        <f t="shared" si="57"/>
        <v>425</v>
      </c>
      <c r="BV61" s="3">
        <f t="shared" si="57"/>
        <v>246</v>
      </c>
      <c r="BW61" s="3">
        <f t="shared" si="57"/>
        <v>258</v>
      </c>
      <c r="BX61" s="3">
        <f t="shared" si="57"/>
        <v>244</v>
      </c>
      <c r="BY61" s="3">
        <f t="shared" si="57"/>
        <v>200</v>
      </c>
      <c r="BZ61" s="3">
        <f t="shared" si="57"/>
        <v>161</v>
      </c>
      <c r="CA61" s="3">
        <f t="shared" si="57"/>
        <v>304</v>
      </c>
      <c r="CB61" s="3">
        <f t="shared" si="57"/>
        <v>283</v>
      </c>
      <c r="CC61" s="3">
        <f t="shared" si="57"/>
        <v>285</v>
      </c>
      <c r="CD61" s="3">
        <f t="shared" si="57"/>
        <v>262</v>
      </c>
      <c r="CE61" s="3">
        <f t="shared" ref="CE61:DD61" si="58">CE54+CE58</f>
        <v>211</v>
      </c>
      <c r="CF61" s="3">
        <f t="shared" si="58"/>
        <v>220</v>
      </c>
      <c r="CG61" s="3">
        <f t="shared" si="58"/>
        <v>96</v>
      </c>
      <c r="CH61" s="3">
        <f t="shared" si="58"/>
        <v>173</v>
      </c>
      <c r="CI61" s="3">
        <f t="shared" si="58"/>
        <v>272</v>
      </c>
      <c r="CJ61" s="3">
        <f t="shared" si="58"/>
        <v>322</v>
      </c>
      <c r="CK61" s="3">
        <f t="shared" si="58"/>
        <v>205</v>
      </c>
      <c r="CL61" s="3">
        <f t="shared" si="58"/>
        <v>196</v>
      </c>
      <c r="CM61" s="3">
        <f t="shared" si="58"/>
        <v>137</v>
      </c>
      <c r="CN61" s="3">
        <f t="shared" si="58"/>
        <v>103</v>
      </c>
      <c r="CO61" s="3">
        <f t="shared" si="58"/>
        <v>253</v>
      </c>
      <c r="CP61" s="3">
        <f t="shared" si="58"/>
        <v>253</v>
      </c>
      <c r="CQ61" s="3">
        <f t="shared" si="58"/>
        <v>189</v>
      </c>
      <c r="CR61" s="3">
        <f t="shared" si="58"/>
        <v>254</v>
      </c>
      <c r="CS61" s="3">
        <f t="shared" si="58"/>
        <v>215</v>
      </c>
      <c r="CT61" s="3">
        <f t="shared" si="58"/>
        <v>158</v>
      </c>
      <c r="CU61" s="3">
        <f t="shared" si="58"/>
        <v>111</v>
      </c>
      <c r="CV61" s="3">
        <f t="shared" si="58"/>
        <v>270</v>
      </c>
      <c r="CW61" s="3">
        <f t="shared" si="58"/>
        <v>364</v>
      </c>
      <c r="CX61" s="3">
        <f t="shared" si="58"/>
        <v>425</v>
      </c>
      <c r="CY61" s="3">
        <f t="shared" si="58"/>
        <v>89</v>
      </c>
      <c r="CZ61" s="3">
        <f t="shared" si="58"/>
        <v>0</v>
      </c>
      <c r="DA61" s="3">
        <f t="shared" si="58"/>
        <v>0</v>
      </c>
      <c r="DB61" s="3">
        <f t="shared" si="58"/>
        <v>0</v>
      </c>
      <c r="DC61" s="3">
        <f t="shared" si="58"/>
        <v>0</v>
      </c>
      <c r="DD61" s="3">
        <f t="shared" si="58"/>
        <v>0</v>
      </c>
    </row>
    <row r="62" spans="2:110" ht="15" thickBot="1" x14ac:dyDescent="0.35">
      <c r="B62" s="75"/>
      <c r="C62" s="32"/>
      <c r="D62" s="32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</row>
    <row r="63" spans="2:110" ht="15" thickBot="1" x14ac:dyDescent="0.35">
      <c r="B63" s="75"/>
      <c r="E63" s="23" t="s">
        <v>5</v>
      </c>
      <c r="F63" s="8">
        <v>273</v>
      </c>
      <c r="G63" s="8">
        <v>304</v>
      </c>
      <c r="H63" s="8">
        <v>412</v>
      </c>
      <c r="I63" s="8">
        <v>450</v>
      </c>
      <c r="J63" s="8">
        <v>714</v>
      </c>
      <c r="K63" s="8">
        <v>712</v>
      </c>
      <c r="L63" s="8">
        <v>790</v>
      </c>
      <c r="M63" s="8">
        <v>724</v>
      </c>
      <c r="N63" s="8">
        <v>360</v>
      </c>
      <c r="O63" s="8">
        <v>379</v>
      </c>
      <c r="P63" s="8">
        <v>730</v>
      </c>
      <c r="Q63" s="8">
        <v>704</v>
      </c>
      <c r="R63" s="8">
        <v>628</v>
      </c>
      <c r="S63" s="8">
        <v>502</v>
      </c>
      <c r="T63" s="8">
        <v>608</v>
      </c>
      <c r="U63" s="8">
        <v>251</v>
      </c>
      <c r="V63" s="8">
        <v>438</v>
      </c>
      <c r="W63" s="8">
        <v>650</v>
      </c>
      <c r="X63" s="8">
        <v>768</v>
      </c>
      <c r="Y63" s="8">
        <v>622</v>
      </c>
      <c r="Z63" s="8">
        <v>430</v>
      </c>
      <c r="AA63" s="8">
        <v>501</v>
      </c>
      <c r="AB63" s="8">
        <v>357</v>
      </c>
      <c r="AC63" s="8">
        <v>244</v>
      </c>
      <c r="AD63" s="8">
        <v>524</v>
      </c>
      <c r="AE63" s="8">
        <v>525</v>
      </c>
      <c r="AF63" s="8">
        <v>556</v>
      </c>
      <c r="AG63" s="8">
        <v>567</v>
      </c>
      <c r="AH63" s="8">
        <v>543</v>
      </c>
      <c r="AI63" s="8">
        <v>384</v>
      </c>
      <c r="AJ63" s="8">
        <v>191</v>
      </c>
      <c r="AK63" s="8">
        <v>553</v>
      </c>
      <c r="AL63" s="8">
        <v>414</v>
      </c>
      <c r="AM63" s="8">
        <v>600</v>
      </c>
      <c r="AN63" s="8">
        <v>519</v>
      </c>
      <c r="AO63" s="8">
        <v>620</v>
      </c>
      <c r="AP63" s="8">
        <v>388</v>
      </c>
      <c r="AQ63" s="8">
        <v>358</v>
      </c>
      <c r="AR63" s="8">
        <v>392</v>
      </c>
      <c r="AS63" s="8">
        <v>585</v>
      </c>
      <c r="AT63" s="8">
        <v>512</v>
      </c>
      <c r="AU63" s="8">
        <v>617</v>
      </c>
      <c r="AV63" s="8">
        <v>633</v>
      </c>
      <c r="AW63" s="8">
        <v>287</v>
      </c>
      <c r="AX63" s="8">
        <v>194</v>
      </c>
      <c r="AY63" s="8">
        <v>168</v>
      </c>
      <c r="AZ63" s="8">
        <v>510</v>
      </c>
      <c r="BA63" s="8">
        <v>504</v>
      </c>
      <c r="BB63" s="8">
        <v>523</v>
      </c>
      <c r="BC63" s="8">
        <v>375</v>
      </c>
      <c r="BD63" s="8">
        <v>241</v>
      </c>
      <c r="BE63" s="8">
        <v>219</v>
      </c>
      <c r="BF63" s="8">
        <v>391</v>
      </c>
      <c r="BG63" s="8">
        <v>425</v>
      </c>
      <c r="BH63" s="8">
        <v>302</v>
      </c>
      <c r="BI63" s="8">
        <v>308</v>
      </c>
      <c r="BJ63" s="8">
        <v>341</v>
      </c>
      <c r="BK63" s="8">
        <v>246</v>
      </c>
      <c r="BL63" s="8">
        <v>94</v>
      </c>
      <c r="BM63" s="8">
        <v>357</v>
      </c>
      <c r="BN63" s="8">
        <v>316</v>
      </c>
      <c r="BO63" s="8">
        <v>307</v>
      </c>
      <c r="BP63" s="8">
        <v>331</v>
      </c>
      <c r="BQ63" s="8">
        <v>296</v>
      </c>
      <c r="BR63" s="8">
        <v>141</v>
      </c>
      <c r="BS63" s="8">
        <v>160</v>
      </c>
      <c r="BT63" s="8">
        <v>200</v>
      </c>
      <c r="BU63" s="8">
        <v>390</v>
      </c>
      <c r="BV63" s="8">
        <v>294</v>
      </c>
      <c r="BW63" s="8">
        <v>281</v>
      </c>
      <c r="BX63" s="8">
        <v>305</v>
      </c>
      <c r="BY63" s="8">
        <v>115</v>
      </c>
      <c r="BZ63" s="8">
        <v>129</v>
      </c>
      <c r="CA63" s="8">
        <v>280</v>
      </c>
      <c r="CB63" s="8">
        <v>316</v>
      </c>
      <c r="CC63" s="8">
        <v>304</v>
      </c>
      <c r="CD63" s="8">
        <v>333</v>
      </c>
      <c r="CE63" s="8">
        <v>254</v>
      </c>
      <c r="CF63" s="8">
        <v>227</v>
      </c>
      <c r="CG63" s="8">
        <v>123</v>
      </c>
      <c r="CH63" s="8">
        <v>162</v>
      </c>
      <c r="CI63" s="8">
        <v>390</v>
      </c>
      <c r="CJ63" s="8">
        <v>323</v>
      </c>
      <c r="CK63" s="8">
        <v>284</v>
      </c>
      <c r="CL63" s="8">
        <v>280</v>
      </c>
      <c r="CM63" s="8">
        <v>176</v>
      </c>
      <c r="CN63" s="8">
        <v>150</v>
      </c>
      <c r="CO63" s="9">
        <v>326</v>
      </c>
      <c r="CP63" s="9">
        <v>278</v>
      </c>
      <c r="CQ63" s="9">
        <v>278</v>
      </c>
      <c r="CR63" s="9">
        <v>266</v>
      </c>
      <c r="CS63" s="9">
        <v>221</v>
      </c>
      <c r="CT63" s="9">
        <v>198</v>
      </c>
      <c r="CU63" s="9">
        <v>201</v>
      </c>
      <c r="CV63" s="9">
        <v>234</v>
      </c>
      <c r="CW63" s="9">
        <v>377</v>
      </c>
      <c r="CX63" s="9">
        <v>274</v>
      </c>
      <c r="CY63" s="9"/>
      <c r="CZ63" s="9"/>
      <c r="DA63" s="9"/>
      <c r="DB63" s="9"/>
      <c r="DC63" s="9"/>
      <c r="DD63" s="9"/>
      <c r="DE63" s="29">
        <f>SUM(F63:DD63)</f>
        <v>37037</v>
      </c>
      <c r="DF63" s="33">
        <f>DE63-DE54</f>
        <v>-2776</v>
      </c>
    </row>
    <row r="64" spans="2:110" x14ac:dyDescent="0.3">
      <c r="B64" s="75"/>
      <c r="I64" s="22"/>
      <c r="J64" s="22"/>
      <c r="K64" s="22"/>
      <c r="L64" s="22"/>
      <c r="M64" s="22"/>
      <c r="N64" s="22"/>
      <c r="O64" s="22"/>
    </row>
    <row r="65" spans="2:111" x14ac:dyDescent="0.3">
      <c r="B65" s="75"/>
      <c r="E65" s="37" t="s">
        <v>17</v>
      </c>
      <c r="I65" s="22"/>
      <c r="J65" s="22"/>
      <c r="K65" s="22"/>
      <c r="L65" s="22"/>
      <c r="M65" s="22"/>
      <c r="N65" s="22"/>
      <c r="O65" s="22"/>
      <c r="DE65" s="77" t="s">
        <v>34</v>
      </c>
      <c r="DF65" s="77"/>
      <c r="DG65" s="77"/>
    </row>
    <row r="66" spans="2:111" ht="20.399999999999999" customHeight="1" x14ac:dyDescent="0.3">
      <c r="B66" s="75"/>
      <c r="E66" s="38" t="s">
        <v>18</v>
      </c>
      <c r="F66" s="39">
        <f>F67+F68</f>
        <v>23</v>
      </c>
      <c r="G66" s="39">
        <f t="shared" ref="G66:BR66" si="59">G67+G68</f>
        <v>11</v>
      </c>
      <c r="H66" s="39">
        <f t="shared" si="59"/>
        <v>16</v>
      </c>
      <c r="I66" s="39">
        <f t="shared" si="59"/>
        <v>47</v>
      </c>
      <c r="J66" s="39">
        <f t="shared" si="59"/>
        <v>42</v>
      </c>
      <c r="K66" s="39">
        <f t="shared" si="59"/>
        <v>64</v>
      </c>
      <c r="L66" s="39">
        <f t="shared" si="59"/>
        <v>51</v>
      </c>
      <c r="M66" s="39">
        <f t="shared" si="59"/>
        <v>48</v>
      </c>
      <c r="N66" s="39">
        <f t="shared" si="59"/>
        <v>20</v>
      </c>
      <c r="O66" s="39">
        <f t="shared" si="59"/>
        <v>26</v>
      </c>
      <c r="P66" s="39">
        <f t="shared" si="59"/>
        <v>61</v>
      </c>
      <c r="Q66" s="39">
        <f t="shared" si="59"/>
        <v>47</v>
      </c>
      <c r="R66" s="39">
        <f t="shared" si="59"/>
        <v>70</v>
      </c>
      <c r="S66" s="39">
        <f t="shared" si="59"/>
        <v>51</v>
      </c>
      <c r="T66" s="39">
        <f t="shared" si="59"/>
        <v>54</v>
      </c>
      <c r="U66" s="39">
        <f t="shared" si="59"/>
        <v>23</v>
      </c>
      <c r="V66" s="39">
        <f t="shared" si="59"/>
        <v>24</v>
      </c>
      <c r="W66" s="39">
        <f t="shared" si="59"/>
        <v>44</v>
      </c>
      <c r="X66" s="39">
        <f t="shared" si="59"/>
        <v>66</v>
      </c>
      <c r="Y66" s="39">
        <f t="shared" si="59"/>
        <v>51</v>
      </c>
      <c r="Z66" s="39">
        <f t="shared" si="59"/>
        <v>32</v>
      </c>
      <c r="AA66" s="39">
        <f t="shared" si="59"/>
        <v>42</v>
      </c>
      <c r="AB66" s="39">
        <f t="shared" si="59"/>
        <v>14</v>
      </c>
      <c r="AC66" s="39">
        <f t="shared" si="59"/>
        <v>16</v>
      </c>
      <c r="AD66" s="39">
        <f t="shared" si="59"/>
        <v>45</v>
      </c>
      <c r="AE66" s="39">
        <f t="shared" si="59"/>
        <v>58</v>
      </c>
      <c r="AF66" s="39">
        <f t="shared" si="59"/>
        <v>39</v>
      </c>
      <c r="AG66" s="39">
        <f t="shared" si="59"/>
        <v>51</v>
      </c>
      <c r="AH66" s="39">
        <f t="shared" si="59"/>
        <v>39</v>
      </c>
      <c r="AI66" s="39">
        <f t="shared" si="59"/>
        <v>18</v>
      </c>
      <c r="AJ66" s="39">
        <f t="shared" si="59"/>
        <v>17</v>
      </c>
      <c r="AK66" s="39">
        <f t="shared" si="59"/>
        <v>64</v>
      </c>
      <c r="AL66" s="39">
        <f t="shared" si="59"/>
        <v>45</v>
      </c>
      <c r="AM66" s="39">
        <f t="shared" si="59"/>
        <v>80</v>
      </c>
      <c r="AN66" s="39">
        <f t="shared" si="59"/>
        <v>58</v>
      </c>
      <c r="AO66" s="39">
        <f t="shared" si="59"/>
        <v>54</v>
      </c>
      <c r="AP66" s="39">
        <f t="shared" si="59"/>
        <v>22</v>
      </c>
      <c r="AQ66" s="39">
        <f t="shared" si="59"/>
        <v>14</v>
      </c>
      <c r="AR66" s="39">
        <f t="shared" si="59"/>
        <v>24</v>
      </c>
      <c r="AS66" s="39">
        <f t="shared" si="59"/>
        <v>82</v>
      </c>
      <c r="AT66" s="39">
        <f t="shared" si="59"/>
        <v>71</v>
      </c>
      <c r="AU66" s="39">
        <f t="shared" si="59"/>
        <v>46</v>
      </c>
      <c r="AV66" s="39">
        <f t="shared" si="59"/>
        <v>47</v>
      </c>
      <c r="AW66" s="39">
        <f t="shared" si="59"/>
        <v>33</v>
      </c>
      <c r="AX66" s="39">
        <f t="shared" si="59"/>
        <v>31</v>
      </c>
      <c r="AY66" s="39">
        <f t="shared" si="59"/>
        <v>22</v>
      </c>
      <c r="AZ66" s="39">
        <f t="shared" si="59"/>
        <v>77</v>
      </c>
      <c r="BA66" s="39">
        <f t="shared" si="59"/>
        <v>79</v>
      </c>
      <c r="BB66" s="39">
        <f t="shared" si="59"/>
        <v>49</v>
      </c>
      <c r="BC66" s="39">
        <f t="shared" si="59"/>
        <v>45</v>
      </c>
      <c r="BD66" s="39">
        <f t="shared" si="59"/>
        <v>30</v>
      </c>
      <c r="BE66" s="39">
        <f t="shared" si="59"/>
        <v>20</v>
      </c>
      <c r="BF66" s="39">
        <f t="shared" si="59"/>
        <v>47</v>
      </c>
      <c r="BG66" s="39">
        <f t="shared" si="59"/>
        <v>60</v>
      </c>
      <c r="BH66" s="39">
        <f t="shared" si="59"/>
        <v>39</v>
      </c>
      <c r="BI66" s="39">
        <f t="shared" si="59"/>
        <v>46</v>
      </c>
      <c r="BJ66" s="39">
        <f t="shared" si="59"/>
        <v>37</v>
      </c>
      <c r="BK66" s="39">
        <f t="shared" si="59"/>
        <v>21</v>
      </c>
      <c r="BL66" s="39">
        <f t="shared" si="59"/>
        <v>16</v>
      </c>
      <c r="BM66" s="39">
        <f t="shared" si="59"/>
        <v>46</v>
      </c>
      <c r="BN66" s="39">
        <f t="shared" si="59"/>
        <v>56</v>
      </c>
      <c r="BO66" s="39">
        <f t="shared" si="59"/>
        <v>44</v>
      </c>
      <c r="BP66" s="39">
        <f t="shared" si="59"/>
        <v>49</v>
      </c>
      <c r="BQ66" s="39">
        <f t="shared" si="59"/>
        <v>39</v>
      </c>
      <c r="BR66" s="39">
        <f t="shared" si="59"/>
        <v>19</v>
      </c>
      <c r="BS66" s="39">
        <f t="shared" ref="BS66:DD66" si="60">BS67+BS68</f>
        <v>13</v>
      </c>
      <c r="BT66" s="39">
        <f t="shared" si="60"/>
        <v>47</v>
      </c>
      <c r="BU66" s="39">
        <f t="shared" si="60"/>
        <v>42</v>
      </c>
      <c r="BV66" s="39">
        <f t="shared" si="60"/>
        <v>20</v>
      </c>
      <c r="BW66" s="39">
        <f t="shared" si="60"/>
        <v>14</v>
      </c>
      <c r="BX66" s="39">
        <f t="shared" si="60"/>
        <v>18</v>
      </c>
      <c r="BY66" s="39">
        <f t="shared" si="60"/>
        <v>12</v>
      </c>
      <c r="BZ66" s="39">
        <f t="shared" si="60"/>
        <v>8</v>
      </c>
      <c r="CA66" s="39">
        <f t="shared" si="60"/>
        <v>29</v>
      </c>
      <c r="CB66" s="39">
        <f t="shared" si="60"/>
        <v>22</v>
      </c>
      <c r="CC66" s="39">
        <f t="shared" si="60"/>
        <v>31</v>
      </c>
      <c r="CD66" s="39">
        <f t="shared" si="60"/>
        <v>24</v>
      </c>
      <c r="CE66" s="39">
        <f t="shared" si="60"/>
        <v>29</v>
      </c>
      <c r="CF66" s="39">
        <f t="shared" si="60"/>
        <v>59</v>
      </c>
      <c r="CG66" s="39">
        <f t="shared" si="60"/>
        <v>15</v>
      </c>
      <c r="CH66" s="39">
        <f t="shared" si="60"/>
        <v>20</v>
      </c>
      <c r="CI66" s="39">
        <f t="shared" si="60"/>
        <v>39</v>
      </c>
      <c r="CJ66" s="39">
        <f t="shared" si="60"/>
        <v>36</v>
      </c>
      <c r="CK66" s="39">
        <f t="shared" si="60"/>
        <v>29</v>
      </c>
      <c r="CL66" s="39">
        <f t="shared" si="60"/>
        <v>24</v>
      </c>
      <c r="CM66" s="39">
        <f t="shared" si="60"/>
        <v>11</v>
      </c>
      <c r="CN66" s="39">
        <f t="shared" si="60"/>
        <v>14</v>
      </c>
      <c r="CO66" s="39">
        <f t="shared" si="60"/>
        <v>46</v>
      </c>
      <c r="CP66" s="39">
        <f t="shared" si="60"/>
        <v>26</v>
      </c>
      <c r="CQ66" s="39">
        <f t="shared" si="60"/>
        <v>24</v>
      </c>
      <c r="CR66" s="39">
        <f t="shared" si="60"/>
        <v>22</v>
      </c>
      <c r="CS66" s="39">
        <f t="shared" si="60"/>
        <v>24</v>
      </c>
      <c r="CT66" s="39">
        <f t="shared" si="60"/>
        <v>9</v>
      </c>
      <c r="CU66" s="39">
        <f t="shared" si="60"/>
        <v>10</v>
      </c>
      <c r="CV66" s="39">
        <f t="shared" si="60"/>
        <v>36</v>
      </c>
      <c r="CW66" s="39">
        <f t="shared" si="60"/>
        <v>51</v>
      </c>
      <c r="CX66" s="39">
        <f t="shared" si="60"/>
        <v>27</v>
      </c>
      <c r="CY66" s="39">
        <f t="shared" si="60"/>
        <v>0</v>
      </c>
      <c r="CZ66" s="39">
        <f t="shared" si="60"/>
        <v>0</v>
      </c>
      <c r="DA66" s="39">
        <f t="shared" si="60"/>
        <v>0</v>
      </c>
      <c r="DB66" s="39">
        <f t="shared" si="60"/>
        <v>0</v>
      </c>
      <c r="DC66" s="39">
        <f t="shared" si="60"/>
        <v>0</v>
      </c>
      <c r="DD66" s="39">
        <f t="shared" si="60"/>
        <v>0</v>
      </c>
      <c r="DE66" s="78"/>
      <c r="DF66" s="78"/>
      <c r="DG66" s="78"/>
    </row>
    <row r="67" spans="2:111" hidden="1" outlineLevel="1" x14ac:dyDescent="0.3">
      <c r="B67" s="75"/>
      <c r="E67" s="40" t="s">
        <v>21</v>
      </c>
      <c r="F67" s="22">
        <v>18</v>
      </c>
      <c r="G67" s="22">
        <v>6</v>
      </c>
      <c r="H67" s="22">
        <v>9</v>
      </c>
      <c r="I67" s="22">
        <v>39</v>
      </c>
      <c r="J67" s="22">
        <v>29</v>
      </c>
      <c r="K67" s="22">
        <v>42</v>
      </c>
      <c r="L67" s="22">
        <v>29</v>
      </c>
      <c r="M67" s="22">
        <v>30</v>
      </c>
      <c r="N67" s="22">
        <v>19</v>
      </c>
      <c r="O67" s="22">
        <v>17</v>
      </c>
      <c r="P67" s="22">
        <v>47</v>
      </c>
      <c r="Q67" s="22">
        <v>35</v>
      </c>
      <c r="R67" s="22">
        <v>47</v>
      </c>
      <c r="S67" s="22">
        <v>39</v>
      </c>
      <c r="T67" s="22">
        <v>28</v>
      </c>
      <c r="U67" s="22">
        <v>12</v>
      </c>
      <c r="V67" s="22">
        <v>19</v>
      </c>
      <c r="W67" s="22">
        <v>25</v>
      </c>
      <c r="X67" s="22">
        <v>27</v>
      </c>
      <c r="Y67" s="22">
        <v>32</v>
      </c>
      <c r="Z67" s="22">
        <v>21</v>
      </c>
      <c r="AA67" s="22">
        <v>29</v>
      </c>
      <c r="AB67" s="22">
        <v>12</v>
      </c>
      <c r="AC67" s="22">
        <v>12</v>
      </c>
      <c r="AD67" s="22">
        <v>28</v>
      </c>
      <c r="AE67" s="22">
        <v>46</v>
      </c>
      <c r="AF67" s="22">
        <v>25</v>
      </c>
      <c r="AG67" s="22">
        <v>38</v>
      </c>
      <c r="AH67" s="22">
        <v>28</v>
      </c>
      <c r="AI67" s="22">
        <v>16</v>
      </c>
      <c r="AJ67" s="22">
        <v>16</v>
      </c>
      <c r="AK67" s="22">
        <v>32</v>
      </c>
      <c r="AL67" s="22">
        <v>37</v>
      </c>
      <c r="AM67" s="22">
        <v>48</v>
      </c>
      <c r="AN67" s="22">
        <v>35</v>
      </c>
      <c r="AO67" s="22">
        <v>28</v>
      </c>
      <c r="AP67" s="22">
        <v>19</v>
      </c>
      <c r="AQ67" s="22">
        <v>13</v>
      </c>
      <c r="AR67" s="22">
        <v>19</v>
      </c>
      <c r="AS67" s="22">
        <v>59</v>
      </c>
      <c r="AT67" s="22">
        <v>39</v>
      </c>
      <c r="AU67" s="22">
        <v>27</v>
      </c>
      <c r="AV67" s="22">
        <v>26</v>
      </c>
      <c r="AW67" s="22">
        <v>27</v>
      </c>
      <c r="AX67" s="22">
        <v>15</v>
      </c>
      <c r="AY67" s="22">
        <v>17</v>
      </c>
      <c r="AZ67" s="22">
        <v>52</v>
      </c>
      <c r="BA67" s="22">
        <v>52</v>
      </c>
      <c r="BB67" s="22">
        <v>40</v>
      </c>
      <c r="BC67" s="22">
        <v>32</v>
      </c>
      <c r="BD67" s="22">
        <v>17</v>
      </c>
      <c r="BE67" s="22">
        <v>17</v>
      </c>
      <c r="BF67" s="22">
        <v>38</v>
      </c>
      <c r="BG67" s="22">
        <v>43</v>
      </c>
      <c r="BH67" s="22">
        <v>22</v>
      </c>
      <c r="BI67" s="22">
        <v>29</v>
      </c>
      <c r="BJ67" s="22">
        <v>23</v>
      </c>
      <c r="BK67" s="22">
        <v>15</v>
      </c>
      <c r="BL67" s="22">
        <v>13</v>
      </c>
      <c r="BM67" s="22">
        <v>30</v>
      </c>
      <c r="BN67" s="22">
        <v>34</v>
      </c>
      <c r="BO67" s="22">
        <v>30</v>
      </c>
      <c r="BP67" s="22">
        <v>43</v>
      </c>
      <c r="BQ67" s="22">
        <v>24</v>
      </c>
      <c r="BR67" s="22">
        <v>9</v>
      </c>
      <c r="BS67" s="22">
        <v>7</v>
      </c>
      <c r="BT67" s="22">
        <v>34</v>
      </c>
      <c r="BU67" s="22">
        <v>19</v>
      </c>
      <c r="BV67" s="22">
        <v>10</v>
      </c>
      <c r="BW67" s="22">
        <v>10</v>
      </c>
      <c r="BX67" s="22">
        <v>13</v>
      </c>
      <c r="BY67" s="22">
        <v>11</v>
      </c>
      <c r="BZ67" s="22">
        <v>7</v>
      </c>
      <c r="CA67" s="22">
        <v>23</v>
      </c>
      <c r="CB67" s="22">
        <v>18</v>
      </c>
      <c r="CC67" s="22">
        <v>27</v>
      </c>
      <c r="CD67" s="22">
        <v>21</v>
      </c>
      <c r="CE67" s="22">
        <v>20</v>
      </c>
      <c r="CF67" s="22">
        <v>57</v>
      </c>
      <c r="CG67" s="22">
        <v>13</v>
      </c>
      <c r="CH67" s="22">
        <v>14</v>
      </c>
      <c r="CI67" s="22">
        <v>34</v>
      </c>
      <c r="CJ67" s="22">
        <v>31</v>
      </c>
      <c r="CK67" s="22">
        <v>21</v>
      </c>
      <c r="CL67" s="22">
        <v>23</v>
      </c>
      <c r="CM67" s="22">
        <v>7</v>
      </c>
      <c r="CN67" s="22">
        <v>11</v>
      </c>
      <c r="CO67" s="22">
        <v>34</v>
      </c>
      <c r="CP67" s="22">
        <v>19</v>
      </c>
      <c r="CQ67" s="22">
        <v>12</v>
      </c>
      <c r="CR67" s="22">
        <v>16</v>
      </c>
      <c r="CS67" s="22">
        <v>16</v>
      </c>
      <c r="CT67" s="22">
        <v>7</v>
      </c>
      <c r="CU67" s="22">
        <v>10</v>
      </c>
      <c r="CV67" s="22">
        <v>25</v>
      </c>
      <c r="CW67" s="22">
        <v>29</v>
      </c>
      <c r="CX67" s="22">
        <v>14</v>
      </c>
      <c r="CY67" s="22"/>
      <c r="CZ67" s="22"/>
      <c r="DA67" s="22"/>
      <c r="DB67" s="22"/>
      <c r="DC67" s="22"/>
      <c r="DD67" s="22"/>
    </row>
    <row r="68" spans="2:111" hidden="1" outlineLevel="1" x14ac:dyDescent="0.3">
      <c r="B68" s="75"/>
      <c r="E68" s="41" t="s">
        <v>22</v>
      </c>
      <c r="F68" s="42">
        <v>5</v>
      </c>
      <c r="G68" s="42">
        <v>5</v>
      </c>
      <c r="H68" s="42">
        <v>7</v>
      </c>
      <c r="I68" s="42">
        <v>8</v>
      </c>
      <c r="J68" s="42">
        <v>13</v>
      </c>
      <c r="K68" s="42">
        <v>22</v>
      </c>
      <c r="L68" s="42">
        <v>22</v>
      </c>
      <c r="M68" s="42">
        <v>18</v>
      </c>
      <c r="N68" s="42">
        <v>1</v>
      </c>
      <c r="O68" s="42">
        <v>9</v>
      </c>
      <c r="P68" s="42">
        <v>14</v>
      </c>
      <c r="Q68" s="42">
        <v>12</v>
      </c>
      <c r="R68" s="42">
        <v>23</v>
      </c>
      <c r="S68" s="42">
        <v>12</v>
      </c>
      <c r="T68" s="42">
        <v>26</v>
      </c>
      <c r="U68" s="42">
        <v>11</v>
      </c>
      <c r="V68" s="42">
        <v>5</v>
      </c>
      <c r="W68" s="42">
        <v>19</v>
      </c>
      <c r="X68" s="42">
        <v>39</v>
      </c>
      <c r="Y68" s="42">
        <v>19</v>
      </c>
      <c r="Z68" s="42">
        <v>11</v>
      </c>
      <c r="AA68" s="42">
        <v>13</v>
      </c>
      <c r="AB68" s="42">
        <v>2</v>
      </c>
      <c r="AC68" s="42">
        <v>4</v>
      </c>
      <c r="AD68" s="42">
        <v>17</v>
      </c>
      <c r="AE68" s="42">
        <v>12</v>
      </c>
      <c r="AF68" s="42">
        <v>14</v>
      </c>
      <c r="AG68" s="42">
        <v>13</v>
      </c>
      <c r="AH68" s="42">
        <v>11</v>
      </c>
      <c r="AI68" s="42">
        <v>2</v>
      </c>
      <c r="AJ68" s="42">
        <v>1</v>
      </c>
      <c r="AK68" s="42">
        <v>32</v>
      </c>
      <c r="AL68" s="42">
        <v>8</v>
      </c>
      <c r="AM68" s="42">
        <v>32</v>
      </c>
      <c r="AN68" s="42">
        <v>23</v>
      </c>
      <c r="AO68" s="42">
        <v>26</v>
      </c>
      <c r="AP68" s="42">
        <v>3</v>
      </c>
      <c r="AQ68" s="42">
        <v>1</v>
      </c>
      <c r="AR68" s="42">
        <v>5</v>
      </c>
      <c r="AS68" s="42">
        <v>23</v>
      </c>
      <c r="AT68" s="42">
        <v>32</v>
      </c>
      <c r="AU68" s="42">
        <v>19</v>
      </c>
      <c r="AV68" s="42">
        <v>21</v>
      </c>
      <c r="AW68" s="42">
        <v>6</v>
      </c>
      <c r="AX68" s="42">
        <v>16</v>
      </c>
      <c r="AY68" s="42">
        <v>5</v>
      </c>
      <c r="AZ68" s="42">
        <v>25</v>
      </c>
      <c r="BA68" s="42">
        <v>27</v>
      </c>
      <c r="BB68" s="42">
        <v>9</v>
      </c>
      <c r="BC68" s="42">
        <v>13</v>
      </c>
      <c r="BD68" s="42">
        <v>13</v>
      </c>
      <c r="BE68" s="42">
        <v>3</v>
      </c>
      <c r="BF68" s="42">
        <v>9</v>
      </c>
      <c r="BG68" s="42">
        <v>17</v>
      </c>
      <c r="BH68" s="42">
        <v>17</v>
      </c>
      <c r="BI68" s="42">
        <v>17</v>
      </c>
      <c r="BJ68" s="42">
        <v>14</v>
      </c>
      <c r="BK68" s="42">
        <v>6</v>
      </c>
      <c r="BL68" s="42">
        <v>3</v>
      </c>
      <c r="BM68" s="42">
        <v>16</v>
      </c>
      <c r="BN68" s="42">
        <v>22</v>
      </c>
      <c r="BO68" s="42">
        <v>14</v>
      </c>
      <c r="BP68" s="42">
        <v>6</v>
      </c>
      <c r="BQ68" s="42">
        <v>15</v>
      </c>
      <c r="BR68" s="42">
        <v>10</v>
      </c>
      <c r="BS68" s="42">
        <v>6</v>
      </c>
      <c r="BT68" s="42">
        <v>13</v>
      </c>
      <c r="BU68" s="42">
        <v>23</v>
      </c>
      <c r="BV68" s="42">
        <v>10</v>
      </c>
      <c r="BW68" s="42">
        <v>4</v>
      </c>
      <c r="BX68" s="42">
        <v>5</v>
      </c>
      <c r="BY68" s="42">
        <v>1</v>
      </c>
      <c r="BZ68" s="42">
        <v>1</v>
      </c>
      <c r="CA68" s="42">
        <v>6</v>
      </c>
      <c r="CB68" s="42">
        <v>4</v>
      </c>
      <c r="CC68" s="42">
        <v>4</v>
      </c>
      <c r="CD68" s="42">
        <v>3</v>
      </c>
      <c r="CE68" s="42">
        <v>9</v>
      </c>
      <c r="CF68" s="42">
        <v>2</v>
      </c>
      <c r="CG68" s="42">
        <v>2</v>
      </c>
      <c r="CH68" s="42">
        <v>6</v>
      </c>
      <c r="CI68" s="42">
        <v>5</v>
      </c>
      <c r="CJ68" s="42">
        <v>5</v>
      </c>
      <c r="CK68" s="42">
        <v>8</v>
      </c>
      <c r="CL68" s="42">
        <v>1</v>
      </c>
      <c r="CM68" s="42">
        <v>4</v>
      </c>
      <c r="CN68" s="42">
        <v>3</v>
      </c>
      <c r="CO68" s="42">
        <v>12</v>
      </c>
      <c r="CP68" s="42">
        <v>7</v>
      </c>
      <c r="CQ68" s="42">
        <v>12</v>
      </c>
      <c r="CR68" s="42">
        <v>6</v>
      </c>
      <c r="CS68" s="42">
        <v>8</v>
      </c>
      <c r="CT68" s="42">
        <v>2</v>
      </c>
      <c r="CU68" s="42">
        <v>0</v>
      </c>
      <c r="CV68" s="42">
        <v>11</v>
      </c>
      <c r="CW68" s="42">
        <v>22</v>
      </c>
      <c r="CX68" s="42">
        <v>13</v>
      </c>
      <c r="CY68" s="42"/>
      <c r="CZ68" s="42"/>
      <c r="DA68" s="42"/>
      <c r="DB68" s="42"/>
      <c r="DC68" s="42"/>
      <c r="DD68" s="42"/>
    </row>
    <row r="69" spans="2:111" ht="20.399999999999999" customHeight="1" collapsed="1" x14ac:dyDescent="0.3">
      <c r="B69" s="75"/>
      <c r="E69" s="43" t="s">
        <v>19</v>
      </c>
      <c r="F69" s="21">
        <v>79</v>
      </c>
      <c r="G69" s="21">
        <v>34</v>
      </c>
      <c r="H69" s="21">
        <v>31</v>
      </c>
      <c r="I69" s="21">
        <v>52</v>
      </c>
      <c r="J69" s="21">
        <v>57</v>
      </c>
      <c r="K69" s="21">
        <v>58</v>
      </c>
      <c r="L69" s="21">
        <v>62</v>
      </c>
      <c r="M69" s="21">
        <v>88</v>
      </c>
      <c r="N69" s="21">
        <v>35</v>
      </c>
      <c r="O69" s="21">
        <v>33</v>
      </c>
      <c r="P69" s="21">
        <v>93</v>
      </c>
      <c r="Q69" s="21">
        <v>65</v>
      </c>
      <c r="R69" s="21">
        <v>91</v>
      </c>
      <c r="S69" s="21">
        <v>109</v>
      </c>
      <c r="T69" s="21">
        <v>95</v>
      </c>
      <c r="U69" s="21">
        <v>57</v>
      </c>
      <c r="V69" s="21">
        <v>24</v>
      </c>
      <c r="W69" s="21">
        <v>71</v>
      </c>
      <c r="X69" s="21">
        <v>49</v>
      </c>
      <c r="Y69" s="21">
        <v>63</v>
      </c>
      <c r="Z69" s="21">
        <v>66</v>
      </c>
      <c r="AA69" s="21">
        <v>54</v>
      </c>
      <c r="AB69" s="21">
        <v>47</v>
      </c>
      <c r="AC69" s="21">
        <v>24</v>
      </c>
      <c r="AD69" s="21">
        <v>88</v>
      </c>
      <c r="AE69" s="21">
        <v>79</v>
      </c>
      <c r="AF69" s="21">
        <v>80</v>
      </c>
      <c r="AG69" s="21">
        <v>54</v>
      </c>
      <c r="AH69" s="21">
        <v>52</v>
      </c>
      <c r="AI69" s="21">
        <v>23</v>
      </c>
      <c r="AJ69" s="21">
        <v>14</v>
      </c>
      <c r="AK69" s="21">
        <v>66</v>
      </c>
      <c r="AL69" s="21">
        <v>38</v>
      </c>
      <c r="AM69" s="21">
        <v>56</v>
      </c>
      <c r="AN69" s="21">
        <v>47</v>
      </c>
      <c r="AO69" s="21">
        <v>41</v>
      </c>
      <c r="AP69" s="21">
        <v>21</v>
      </c>
      <c r="AQ69" s="21">
        <v>20</v>
      </c>
      <c r="AR69" s="21">
        <v>21</v>
      </c>
      <c r="AS69" s="21">
        <v>55</v>
      </c>
      <c r="AT69" s="21">
        <v>40</v>
      </c>
      <c r="AU69" s="21">
        <v>44</v>
      </c>
      <c r="AV69" s="21">
        <v>45</v>
      </c>
      <c r="AW69" s="21">
        <v>24</v>
      </c>
      <c r="AX69" s="21">
        <v>20</v>
      </c>
      <c r="AY69" s="21">
        <v>18</v>
      </c>
      <c r="AZ69" s="21">
        <v>37</v>
      </c>
      <c r="BA69" s="21">
        <v>43</v>
      </c>
      <c r="BB69" s="21">
        <v>43</v>
      </c>
      <c r="BC69" s="21">
        <v>33</v>
      </c>
      <c r="BD69" s="21">
        <v>20</v>
      </c>
      <c r="BE69" s="21">
        <v>11</v>
      </c>
      <c r="BF69" s="21">
        <v>33</v>
      </c>
      <c r="BG69" s="21">
        <v>32</v>
      </c>
      <c r="BH69" s="21">
        <v>23</v>
      </c>
      <c r="BI69" s="21">
        <v>22</v>
      </c>
      <c r="BJ69" s="21">
        <v>16</v>
      </c>
      <c r="BK69" s="21">
        <v>9</v>
      </c>
      <c r="BL69" s="21">
        <v>3</v>
      </c>
      <c r="BM69" s="21">
        <v>42</v>
      </c>
      <c r="BN69" s="21">
        <v>17</v>
      </c>
      <c r="BO69" s="21">
        <v>35</v>
      </c>
      <c r="BP69" s="21">
        <v>23</v>
      </c>
      <c r="BQ69" s="21">
        <v>21</v>
      </c>
      <c r="BR69" s="21">
        <v>8</v>
      </c>
      <c r="BS69" s="21">
        <v>6</v>
      </c>
      <c r="BT69" s="21">
        <v>21</v>
      </c>
      <c r="BU69" s="21">
        <v>19</v>
      </c>
      <c r="BV69" s="21">
        <v>25</v>
      </c>
      <c r="BW69" s="21">
        <v>26</v>
      </c>
      <c r="BX69" s="21">
        <v>23</v>
      </c>
      <c r="BY69" s="21">
        <v>8</v>
      </c>
      <c r="BZ69" s="21">
        <v>14</v>
      </c>
      <c r="CA69" s="21">
        <v>46</v>
      </c>
      <c r="CB69" s="21">
        <v>25</v>
      </c>
      <c r="CC69" s="21">
        <v>47</v>
      </c>
      <c r="CD69" s="21">
        <v>18</v>
      </c>
      <c r="CE69" s="21">
        <v>25</v>
      </c>
      <c r="CF69" s="21">
        <v>11</v>
      </c>
      <c r="CG69" s="21">
        <v>8</v>
      </c>
      <c r="CH69" s="21">
        <v>14</v>
      </c>
      <c r="CI69" s="21">
        <v>40</v>
      </c>
      <c r="CJ69" s="21">
        <v>25</v>
      </c>
      <c r="CK69" s="21">
        <v>19</v>
      </c>
      <c r="CL69" s="21">
        <v>9</v>
      </c>
      <c r="CM69" s="21">
        <v>14</v>
      </c>
      <c r="CN69" s="21">
        <v>9</v>
      </c>
      <c r="CO69" s="21">
        <v>25</v>
      </c>
      <c r="CP69" s="21">
        <v>21</v>
      </c>
      <c r="CQ69" s="21">
        <v>19</v>
      </c>
      <c r="CR69" s="21">
        <v>39</v>
      </c>
      <c r="CS69" s="21">
        <v>20</v>
      </c>
      <c r="CT69" s="21">
        <v>23</v>
      </c>
      <c r="CU69" s="21">
        <v>4</v>
      </c>
      <c r="CV69" s="21">
        <v>21</v>
      </c>
      <c r="CW69" s="21">
        <v>48</v>
      </c>
      <c r="CX69" s="21">
        <v>31</v>
      </c>
      <c r="DE69" s="78"/>
      <c r="DF69" s="78"/>
      <c r="DG69" s="78"/>
    </row>
    <row r="70" spans="2:111" ht="20.399999999999999" customHeight="1" x14ac:dyDescent="0.3">
      <c r="B70" s="75"/>
      <c r="E70" s="38" t="s">
        <v>20</v>
      </c>
      <c r="F70" s="39">
        <f>F71+F72</f>
        <v>515</v>
      </c>
      <c r="G70" s="39">
        <f t="shared" ref="G70:DD70" si="61">G71+G72</f>
        <v>424</v>
      </c>
      <c r="H70" s="39">
        <f t="shared" si="61"/>
        <v>438</v>
      </c>
      <c r="I70" s="39">
        <f t="shared" si="61"/>
        <v>626</v>
      </c>
      <c r="J70" s="39">
        <f t="shared" si="61"/>
        <v>976</v>
      </c>
      <c r="K70" s="39">
        <f t="shared" si="61"/>
        <v>952</v>
      </c>
      <c r="L70" s="39">
        <f t="shared" si="61"/>
        <v>962</v>
      </c>
      <c r="M70" s="39">
        <f t="shared" si="61"/>
        <v>948</v>
      </c>
      <c r="N70" s="39">
        <f t="shared" si="61"/>
        <v>770</v>
      </c>
      <c r="O70" s="39">
        <f t="shared" si="61"/>
        <v>494</v>
      </c>
      <c r="P70" s="39">
        <f t="shared" si="61"/>
        <v>1128</v>
      </c>
      <c r="Q70" s="39">
        <f t="shared" si="61"/>
        <v>873</v>
      </c>
      <c r="R70" s="39">
        <f t="shared" si="61"/>
        <v>982</v>
      </c>
      <c r="S70" s="39">
        <f t="shared" si="61"/>
        <v>748</v>
      </c>
      <c r="T70" s="39">
        <f t="shared" si="61"/>
        <v>733</v>
      </c>
      <c r="U70" s="39">
        <f t="shared" si="61"/>
        <v>455</v>
      </c>
      <c r="V70" s="39">
        <f t="shared" si="61"/>
        <v>256</v>
      </c>
      <c r="W70" s="39">
        <f t="shared" si="61"/>
        <v>500</v>
      </c>
      <c r="X70" s="39">
        <f t="shared" si="61"/>
        <v>480</v>
      </c>
      <c r="Y70" s="39">
        <f t="shared" si="61"/>
        <v>500</v>
      </c>
      <c r="Z70" s="39">
        <f t="shared" si="61"/>
        <v>463</v>
      </c>
      <c r="AA70" s="39">
        <f t="shared" si="61"/>
        <v>365</v>
      </c>
      <c r="AB70" s="39">
        <f t="shared" si="61"/>
        <v>256</v>
      </c>
      <c r="AC70" s="39">
        <f t="shared" si="61"/>
        <v>213</v>
      </c>
      <c r="AD70" s="39">
        <f t="shared" si="61"/>
        <v>473</v>
      </c>
      <c r="AE70" s="39">
        <f t="shared" si="61"/>
        <v>454</v>
      </c>
      <c r="AF70" s="39">
        <f t="shared" si="61"/>
        <v>441</v>
      </c>
      <c r="AG70" s="39">
        <f t="shared" si="61"/>
        <v>366</v>
      </c>
      <c r="AH70" s="39">
        <f t="shared" si="61"/>
        <v>341</v>
      </c>
      <c r="AI70" s="39">
        <f t="shared" si="61"/>
        <v>326</v>
      </c>
      <c r="AJ70" s="39">
        <f t="shared" si="61"/>
        <v>268</v>
      </c>
      <c r="AK70" s="39">
        <f t="shared" si="61"/>
        <v>757</v>
      </c>
      <c r="AL70" s="39">
        <f t="shared" si="61"/>
        <v>541</v>
      </c>
      <c r="AM70" s="39">
        <f t="shared" si="61"/>
        <v>519</v>
      </c>
      <c r="AN70" s="39">
        <f t="shared" si="61"/>
        <v>634</v>
      </c>
      <c r="AO70" s="39">
        <f t="shared" si="61"/>
        <v>613</v>
      </c>
      <c r="AP70" s="39">
        <f t="shared" si="61"/>
        <v>392</v>
      </c>
      <c r="AQ70" s="39">
        <f t="shared" si="61"/>
        <v>222</v>
      </c>
      <c r="AR70" s="39">
        <f t="shared" si="61"/>
        <v>132</v>
      </c>
      <c r="AS70" s="39">
        <f t="shared" si="61"/>
        <v>495</v>
      </c>
      <c r="AT70" s="39">
        <f t="shared" si="61"/>
        <v>377</v>
      </c>
      <c r="AU70" s="39">
        <f t="shared" si="61"/>
        <v>327</v>
      </c>
      <c r="AV70" s="39">
        <f t="shared" si="61"/>
        <v>320</v>
      </c>
      <c r="AW70" s="39">
        <f t="shared" si="61"/>
        <v>218</v>
      </c>
      <c r="AX70" s="39">
        <f t="shared" si="61"/>
        <v>125</v>
      </c>
      <c r="AY70" s="39">
        <f t="shared" si="61"/>
        <v>89</v>
      </c>
      <c r="AZ70" s="39">
        <f t="shared" si="61"/>
        <v>386</v>
      </c>
      <c r="BA70" s="39">
        <f t="shared" si="61"/>
        <v>373</v>
      </c>
      <c r="BB70" s="39">
        <f t="shared" si="61"/>
        <v>255</v>
      </c>
      <c r="BC70" s="39">
        <f t="shared" si="61"/>
        <v>245</v>
      </c>
      <c r="BD70" s="39">
        <f t="shared" si="61"/>
        <v>149</v>
      </c>
      <c r="BE70" s="39">
        <f t="shared" si="61"/>
        <v>145</v>
      </c>
      <c r="BF70" s="39">
        <f t="shared" si="61"/>
        <v>290</v>
      </c>
      <c r="BG70" s="39">
        <f t="shared" si="61"/>
        <v>265</v>
      </c>
      <c r="BH70" s="39">
        <f t="shared" si="61"/>
        <v>235</v>
      </c>
      <c r="BI70" s="39">
        <f t="shared" si="61"/>
        <v>217</v>
      </c>
      <c r="BJ70" s="39">
        <f t="shared" si="61"/>
        <v>190</v>
      </c>
      <c r="BK70" s="39">
        <f t="shared" si="61"/>
        <v>135</v>
      </c>
      <c r="BL70" s="39">
        <f t="shared" si="61"/>
        <v>105</v>
      </c>
      <c r="BM70" s="39">
        <f t="shared" si="61"/>
        <v>223</v>
      </c>
      <c r="BN70" s="39">
        <f t="shared" si="61"/>
        <v>280</v>
      </c>
      <c r="BO70" s="39">
        <f t="shared" si="61"/>
        <v>251</v>
      </c>
      <c r="BP70" s="39">
        <f t="shared" si="61"/>
        <v>251</v>
      </c>
      <c r="BQ70" s="39">
        <f t="shared" si="61"/>
        <v>250</v>
      </c>
      <c r="BR70" s="39">
        <f t="shared" si="61"/>
        <v>151</v>
      </c>
      <c r="BS70" s="39">
        <f t="shared" si="61"/>
        <v>75</v>
      </c>
      <c r="BT70" s="39">
        <f t="shared" si="61"/>
        <v>210</v>
      </c>
      <c r="BU70" s="39">
        <f t="shared" si="61"/>
        <v>224</v>
      </c>
      <c r="BV70" s="39">
        <f t="shared" si="61"/>
        <v>161</v>
      </c>
      <c r="BW70" s="39">
        <f t="shared" si="61"/>
        <v>174</v>
      </c>
      <c r="BX70" s="39">
        <f t="shared" si="61"/>
        <v>151</v>
      </c>
      <c r="BY70" s="39">
        <f t="shared" si="61"/>
        <v>129</v>
      </c>
      <c r="BZ70" s="39">
        <f t="shared" si="61"/>
        <v>62</v>
      </c>
      <c r="CA70" s="39">
        <f t="shared" si="61"/>
        <v>322</v>
      </c>
      <c r="CB70" s="39">
        <f t="shared" si="61"/>
        <v>198</v>
      </c>
      <c r="CC70" s="39">
        <f t="shared" si="61"/>
        <v>154</v>
      </c>
      <c r="CD70" s="39">
        <f t="shared" si="61"/>
        <v>166</v>
      </c>
      <c r="CE70" s="39">
        <f t="shared" si="61"/>
        <v>139</v>
      </c>
      <c r="CF70" s="39">
        <f t="shared" si="61"/>
        <v>110</v>
      </c>
      <c r="CG70" s="39">
        <f t="shared" si="61"/>
        <v>66</v>
      </c>
      <c r="CH70" s="39">
        <f t="shared" si="61"/>
        <v>134</v>
      </c>
      <c r="CI70" s="39">
        <f t="shared" si="61"/>
        <v>185</v>
      </c>
      <c r="CJ70" s="39">
        <f t="shared" si="61"/>
        <v>163</v>
      </c>
      <c r="CK70" s="39">
        <f t="shared" si="61"/>
        <v>149</v>
      </c>
      <c r="CL70" s="39">
        <f t="shared" si="61"/>
        <v>122</v>
      </c>
      <c r="CM70" s="39">
        <f t="shared" si="61"/>
        <v>105</v>
      </c>
      <c r="CN70" s="39">
        <f t="shared" si="61"/>
        <v>59</v>
      </c>
      <c r="CO70" s="39">
        <f t="shared" si="61"/>
        <v>181</v>
      </c>
      <c r="CP70" s="39">
        <f t="shared" si="61"/>
        <v>185</v>
      </c>
      <c r="CQ70" s="39">
        <f t="shared" si="61"/>
        <v>114</v>
      </c>
      <c r="CR70" s="39">
        <f t="shared" si="61"/>
        <v>182</v>
      </c>
      <c r="CS70" s="39">
        <f t="shared" si="61"/>
        <v>144</v>
      </c>
      <c r="CT70" s="39">
        <f t="shared" si="61"/>
        <v>105</v>
      </c>
      <c r="CU70" s="39">
        <f t="shared" si="61"/>
        <v>86</v>
      </c>
      <c r="CV70" s="39">
        <f t="shared" si="61"/>
        <v>202</v>
      </c>
      <c r="CW70" s="39">
        <f t="shared" si="61"/>
        <v>230</v>
      </c>
      <c r="CX70" s="39">
        <f t="shared" si="61"/>
        <v>257</v>
      </c>
      <c r="CY70" s="39">
        <f t="shared" si="61"/>
        <v>0</v>
      </c>
      <c r="CZ70" s="39">
        <f t="shared" si="61"/>
        <v>0</v>
      </c>
      <c r="DA70" s="39">
        <f t="shared" si="61"/>
        <v>0</v>
      </c>
      <c r="DB70" s="39">
        <f t="shared" si="61"/>
        <v>0</v>
      </c>
      <c r="DC70" s="39">
        <f t="shared" si="61"/>
        <v>0</v>
      </c>
      <c r="DD70" s="39">
        <f t="shared" si="61"/>
        <v>0</v>
      </c>
      <c r="DE70" s="78"/>
      <c r="DF70" s="78"/>
      <c r="DG70" s="78"/>
    </row>
    <row r="71" spans="2:111" hidden="1" outlineLevel="1" x14ac:dyDescent="0.3">
      <c r="B71" s="75"/>
      <c r="E71" s="40" t="s">
        <v>21</v>
      </c>
      <c r="F71" s="22">
        <v>298</v>
      </c>
      <c r="G71" s="22">
        <v>231</v>
      </c>
      <c r="H71" s="22">
        <v>266</v>
      </c>
      <c r="I71" s="22">
        <v>364</v>
      </c>
      <c r="J71" s="22">
        <v>526</v>
      </c>
      <c r="K71" s="22">
        <v>630</v>
      </c>
      <c r="L71" s="22">
        <v>698</v>
      </c>
      <c r="M71" s="22">
        <v>655</v>
      </c>
      <c r="N71" s="22">
        <v>519</v>
      </c>
      <c r="O71" s="22">
        <v>369</v>
      </c>
      <c r="P71" s="22">
        <v>792</v>
      </c>
      <c r="Q71" s="22">
        <v>439</v>
      </c>
      <c r="R71" s="22">
        <v>634</v>
      </c>
      <c r="S71" s="22">
        <v>340</v>
      </c>
      <c r="T71" s="22">
        <v>478</v>
      </c>
      <c r="U71" s="22">
        <v>299</v>
      </c>
      <c r="V71" s="22">
        <v>179</v>
      </c>
      <c r="W71" s="22">
        <v>280</v>
      </c>
      <c r="X71" s="22">
        <v>275</v>
      </c>
      <c r="Y71" s="22">
        <v>325</v>
      </c>
      <c r="Z71" s="22">
        <v>325</v>
      </c>
      <c r="AA71" s="22">
        <v>238</v>
      </c>
      <c r="AB71" s="22">
        <v>181</v>
      </c>
      <c r="AC71" s="22">
        <v>154</v>
      </c>
      <c r="AD71" s="22">
        <v>301</v>
      </c>
      <c r="AE71" s="22">
        <v>291</v>
      </c>
      <c r="AF71" s="22">
        <v>293</v>
      </c>
      <c r="AG71" s="22">
        <v>233</v>
      </c>
      <c r="AH71" s="22">
        <v>226</v>
      </c>
      <c r="AI71" s="22">
        <v>227</v>
      </c>
      <c r="AJ71" s="22">
        <v>187</v>
      </c>
      <c r="AK71" s="22">
        <v>439</v>
      </c>
      <c r="AL71" s="22">
        <v>335</v>
      </c>
      <c r="AM71" s="22">
        <v>347</v>
      </c>
      <c r="AN71" s="22">
        <v>456</v>
      </c>
      <c r="AO71" s="22">
        <v>403</v>
      </c>
      <c r="AP71" s="22">
        <v>256</v>
      </c>
      <c r="AQ71" s="22">
        <v>141</v>
      </c>
      <c r="AR71" s="22">
        <v>132</v>
      </c>
      <c r="AS71" s="22">
        <v>342</v>
      </c>
      <c r="AT71" s="22">
        <v>238</v>
      </c>
      <c r="AU71" s="22">
        <v>227</v>
      </c>
      <c r="AV71" s="22">
        <v>207</v>
      </c>
      <c r="AW71" s="22">
        <v>155</v>
      </c>
      <c r="AX71" s="22">
        <v>78</v>
      </c>
      <c r="AY71" s="22">
        <v>89</v>
      </c>
      <c r="AZ71" s="22">
        <v>253</v>
      </c>
      <c r="BA71" s="22">
        <v>222</v>
      </c>
      <c r="BB71" s="22">
        <v>147</v>
      </c>
      <c r="BC71" s="22">
        <v>149</v>
      </c>
      <c r="BD71" s="22">
        <v>92</v>
      </c>
      <c r="BE71" s="22">
        <v>96</v>
      </c>
      <c r="BF71" s="22">
        <v>161</v>
      </c>
      <c r="BG71" s="22">
        <v>169</v>
      </c>
      <c r="BH71" s="22">
        <v>149</v>
      </c>
      <c r="BI71" s="22">
        <v>133</v>
      </c>
      <c r="BJ71" s="22">
        <v>110</v>
      </c>
      <c r="BK71" s="22">
        <v>84</v>
      </c>
      <c r="BL71" s="22">
        <v>83</v>
      </c>
      <c r="BM71" s="22">
        <v>128</v>
      </c>
      <c r="BN71" s="22">
        <v>140</v>
      </c>
      <c r="BO71" s="22">
        <v>137</v>
      </c>
      <c r="BP71" s="22">
        <v>142</v>
      </c>
      <c r="BQ71" s="22">
        <v>113</v>
      </c>
      <c r="BR71" s="22">
        <v>87</v>
      </c>
      <c r="BS71" s="22">
        <v>51</v>
      </c>
      <c r="BT71" s="22">
        <v>115</v>
      </c>
      <c r="BU71" s="22">
        <v>123</v>
      </c>
      <c r="BV71" s="22">
        <v>94</v>
      </c>
      <c r="BW71" s="22">
        <v>101</v>
      </c>
      <c r="BX71" s="22">
        <v>89</v>
      </c>
      <c r="BY71" s="22">
        <v>77</v>
      </c>
      <c r="BZ71" s="22">
        <v>51</v>
      </c>
      <c r="CA71" s="22">
        <v>106</v>
      </c>
      <c r="CB71" s="22">
        <v>118</v>
      </c>
      <c r="CC71" s="22">
        <v>102</v>
      </c>
      <c r="CD71" s="22">
        <v>113</v>
      </c>
      <c r="CE71" s="22">
        <v>72</v>
      </c>
      <c r="CF71" s="22">
        <v>67</v>
      </c>
      <c r="CG71" s="22">
        <v>53</v>
      </c>
      <c r="CH71" s="22">
        <v>67</v>
      </c>
      <c r="CI71" s="22">
        <v>104</v>
      </c>
      <c r="CJ71" s="22">
        <v>103</v>
      </c>
      <c r="CK71" s="22">
        <v>107</v>
      </c>
      <c r="CL71" s="22">
        <v>71</v>
      </c>
      <c r="CM71" s="22">
        <v>64</v>
      </c>
      <c r="CN71" s="22">
        <v>44</v>
      </c>
      <c r="CO71" s="22">
        <v>108</v>
      </c>
      <c r="CP71" s="22">
        <v>109</v>
      </c>
      <c r="CQ71" s="22">
        <v>62</v>
      </c>
      <c r="CR71" s="22">
        <v>114</v>
      </c>
      <c r="CS71" s="22">
        <v>88</v>
      </c>
      <c r="CT71" s="22">
        <v>56</v>
      </c>
      <c r="CU71" s="22">
        <v>50</v>
      </c>
      <c r="CV71" s="22">
        <v>142</v>
      </c>
      <c r="CW71" s="22">
        <v>153</v>
      </c>
      <c r="CX71" s="22">
        <v>168</v>
      </c>
      <c r="CY71" s="22"/>
      <c r="CZ71" s="22"/>
      <c r="DA71" s="22"/>
      <c r="DB71" s="22"/>
      <c r="DC71" s="22"/>
      <c r="DD71" s="22"/>
    </row>
    <row r="72" spans="2:111" hidden="1" outlineLevel="1" x14ac:dyDescent="0.3">
      <c r="B72" s="75"/>
      <c r="E72" s="41" t="s">
        <v>23</v>
      </c>
      <c r="F72" s="42">
        <v>217</v>
      </c>
      <c r="G72" s="42">
        <v>193</v>
      </c>
      <c r="H72" s="42">
        <v>172</v>
      </c>
      <c r="I72" s="42">
        <v>262</v>
      </c>
      <c r="J72" s="42">
        <v>450</v>
      </c>
      <c r="K72" s="42">
        <v>322</v>
      </c>
      <c r="L72" s="42">
        <v>264</v>
      </c>
      <c r="M72" s="42">
        <v>293</v>
      </c>
      <c r="N72" s="42">
        <v>251</v>
      </c>
      <c r="O72" s="42">
        <v>125</v>
      </c>
      <c r="P72" s="42">
        <v>336</v>
      </c>
      <c r="Q72" s="42">
        <v>434</v>
      </c>
      <c r="R72" s="42">
        <v>348</v>
      </c>
      <c r="S72" s="42">
        <v>408</v>
      </c>
      <c r="T72" s="42">
        <v>255</v>
      </c>
      <c r="U72" s="42">
        <v>156</v>
      </c>
      <c r="V72" s="42">
        <v>77</v>
      </c>
      <c r="W72" s="42">
        <v>220</v>
      </c>
      <c r="X72" s="42">
        <v>205</v>
      </c>
      <c r="Y72" s="42">
        <v>175</v>
      </c>
      <c r="Z72" s="42">
        <v>138</v>
      </c>
      <c r="AA72" s="42">
        <v>127</v>
      </c>
      <c r="AB72" s="42">
        <v>75</v>
      </c>
      <c r="AC72" s="42">
        <v>59</v>
      </c>
      <c r="AD72" s="42">
        <v>172</v>
      </c>
      <c r="AE72" s="42">
        <v>163</v>
      </c>
      <c r="AF72" s="42">
        <v>148</v>
      </c>
      <c r="AG72" s="42">
        <v>133</v>
      </c>
      <c r="AH72" s="42">
        <v>115</v>
      </c>
      <c r="AI72" s="42">
        <v>99</v>
      </c>
      <c r="AJ72" s="42">
        <v>81</v>
      </c>
      <c r="AK72" s="42">
        <v>318</v>
      </c>
      <c r="AL72" s="42">
        <v>206</v>
      </c>
      <c r="AM72" s="42">
        <v>172</v>
      </c>
      <c r="AN72" s="42">
        <v>178</v>
      </c>
      <c r="AO72" s="42">
        <v>210</v>
      </c>
      <c r="AP72" s="42">
        <v>136</v>
      </c>
      <c r="AQ72" s="42">
        <v>81</v>
      </c>
      <c r="AR72" s="42">
        <v>0</v>
      </c>
      <c r="AS72" s="42">
        <v>153</v>
      </c>
      <c r="AT72" s="42">
        <v>139</v>
      </c>
      <c r="AU72" s="42">
        <v>100</v>
      </c>
      <c r="AV72" s="42">
        <v>113</v>
      </c>
      <c r="AW72" s="42">
        <v>63</v>
      </c>
      <c r="AX72" s="42">
        <v>47</v>
      </c>
      <c r="AY72" s="42">
        <v>0</v>
      </c>
      <c r="AZ72" s="42">
        <v>133</v>
      </c>
      <c r="BA72" s="42">
        <v>151</v>
      </c>
      <c r="BB72" s="42">
        <v>108</v>
      </c>
      <c r="BC72" s="42">
        <v>96</v>
      </c>
      <c r="BD72" s="42">
        <v>57</v>
      </c>
      <c r="BE72" s="42">
        <v>49</v>
      </c>
      <c r="BF72" s="42">
        <v>129</v>
      </c>
      <c r="BG72" s="42">
        <v>96</v>
      </c>
      <c r="BH72" s="42">
        <v>86</v>
      </c>
      <c r="BI72" s="42">
        <v>84</v>
      </c>
      <c r="BJ72" s="42">
        <v>80</v>
      </c>
      <c r="BK72" s="42">
        <v>51</v>
      </c>
      <c r="BL72" s="42">
        <v>22</v>
      </c>
      <c r="BM72" s="42">
        <v>95</v>
      </c>
      <c r="BN72" s="42">
        <v>140</v>
      </c>
      <c r="BO72" s="42">
        <v>114</v>
      </c>
      <c r="BP72" s="42">
        <v>109</v>
      </c>
      <c r="BQ72" s="42">
        <v>137</v>
      </c>
      <c r="BR72" s="42">
        <v>64</v>
      </c>
      <c r="BS72" s="42">
        <v>24</v>
      </c>
      <c r="BT72" s="42">
        <v>95</v>
      </c>
      <c r="BU72" s="42">
        <v>101</v>
      </c>
      <c r="BV72" s="42">
        <v>67</v>
      </c>
      <c r="BW72" s="42">
        <v>73</v>
      </c>
      <c r="BX72" s="42">
        <v>62</v>
      </c>
      <c r="BY72" s="42">
        <v>52</v>
      </c>
      <c r="BZ72" s="42">
        <v>11</v>
      </c>
      <c r="CA72" s="42">
        <v>216</v>
      </c>
      <c r="CB72" s="42">
        <v>80</v>
      </c>
      <c r="CC72" s="42">
        <v>52</v>
      </c>
      <c r="CD72" s="42">
        <v>53</v>
      </c>
      <c r="CE72" s="42">
        <v>67</v>
      </c>
      <c r="CF72" s="42">
        <v>43</v>
      </c>
      <c r="CG72" s="42">
        <v>13</v>
      </c>
      <c r="CH72" s="42">
        <v>67</v>
      </c>
      <c r="CI72" s="42">
        <v>81</v>
      </c>
      <c r="CJ72" s="42">
        <v>60</v>
      </c>
      <c r="CK72" s="42">
        <v>42</v>
      </c>
      <c r="CL72" s="42">
        <v>51</v>
      </c>
      <c r="CM72" s="42">
        <v>41</v>
      </c>
      <c r="CN72" s="42">
        <v>15</v>
      </c>
      <c r="CO72" s="42">
        <v>73</v>
      </c>
      <c r="CP72" s="42">
        <v>76</v>
      </c>
      <c r="CQ72" s="42">
        <v>52</v>
      </c>
      <c r="CR72" s="42">
        <v>68</v>
      </c>
      <c r="CS72" s="42">
        <v>56</v>
      </c>
      <c r="CT72" s="42">
        <v>49</v>
      </c>
      <c r="CU72" s="42">
        <v>36</v>
      </c>
      <c r="CV72" s="42">
        <v>60</v>
      </c>
      <c r="CW72" s="42">
        <v>77</v>
      </c>
      <c r="CX72" s="42">
        <v>89</v>
      </c>
      <c r="CY72" s="42"/>
      <c r="CZ72" s="42"/>
      <c r="DA72" s="42"/>
      <c r="DB72" s="42"/>
      <c r="DC72" s="42"/>
      <c r="DD72" s="42"/>
    </row>
    <row r="73" spans="2:111" collapsed="1" x14ac:dyDescent="0.3">
      <c r="B73" s="75"/>
      <c r="F73" s="34"/>
      <c r="G73" s="34"/>
      <c r="H73" s="34"/>
    </row>
    <row r="97" spans="1:110" x14ac:dyDescent="0.3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</row>
    <row r="98" spans="1:110" x14ac:dyDescent="0.3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</row>
    <row r="100" spans="1:110" x14ac:dyDescent="0.3">
      <c r="B100" s="75" t="s">
        <v>15</v>
      </c>
    </row>
    <row r="101" spans="1:110" x14ac:dyDescent="0.3">
      <c r="B101" s="75"/>
    </row>
    <row r="102" spans="1:110" x14ac:dyDescent="0.3">
      <c r="B102" s="75"/>
      <c r="F102" s="79" t="s">
        <v>0</v>
      </c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  <c r="DD102" s="81"/>
    </row>
    <row r="103" spans="1:110" x14ac:dyDescent="0.3">
      <c r="B103" s="75"/>
      <c r="E103" s="1"/>
      <c r="F103" s="14">
        <f t="shared" ref="F103:BQ103" si="62">F104</f>
        <v>45247</v>
      </c>
      <c r="G103" s="14">
        <f t="shared" si="62"/>
        <v>45248</v>
      </c>
      <c r="H103" s="14">
        <f t="shared" si="62"/>
        <v>45249</v>
      </c>
      <c r="I103" s="14">
        <f t="shared" si="62"/>
        <v>45250</v>
      </c>
      <c r="J103" s="14">
        <f t="shared" si="62"/>
        <v>45251</v>
      </c>
      <c r="K103" s="14">
        <f t="shared" si="62"/>
        <v>45252</v>
      </c>
      <c r="L103" s="14">
        <f t="shared" si="62"/>
        <v>45253</v>
      </c>
      <c r="M103" s="14">
        <f t="shared" si="62"/>
        <v>45254</v>
      </c>
      <c r="N103" s="14">
        <f t="shared" si="62"/>
        <v>45255</v>
      </c>
      <c r="O103" s="14">
        <f t="shared" si="62"/>
        <v>45256</v>
      </c>
      <c r="P103" s="14">
        <f t="shared" si="62"/>
        <v>45257</v>
      </c>
      <c r="Q103" s="14">
        <f t="shared" si="62"/>
        <v>45258</v>
      </c>
      <c r="R103" s="14">
        <f t="shared" si="62"/>
        <v>45259</v>
      </c>
      <c r="S103" s="14">
        <f t="shared" si="62"/>
        <v>45260</v>
      </c>
      <c r="T103" s="14">
        <f t="shared" si="62"/>
        <v>45261</v>
      </c>
      <c r="U103" s="14">
        <f t="shared" si="62"/>
        <v>45262</v>
      </c>
      <c r="V103" s="14">
        <f t="shared" si="62"/>
        <v>45263</v>
      </c>
      <c r="W103" s="14">
        <f t="shared" si="62"/>
        <v>45264</v>
      </c>
      <c r="X103" s="14">
        <f t="shared" si="62"/>
        <v>45265</v>
      </c>
      <c r="Y103" s="14">
        <f t="shared" si="62"/>
        <v>45266</v>
      </c>
      <c r="Z103" s="14">
        <f t="shared" si="62"/>
        <v>45267</v>
      </c>
      <c r="AA103" s="14">
        <f t="shared" si="62"/>
        <v>45268</v>
      </c>
      <c r="AB103" s="14">
        <f t="shared" si="62"/>
        <v>45269</v>
      </c>
      <c r="AC103" s="14">
        <f t="shared" si="62"/>
        <v>45270</v>
      </c>
      <c r="AD103" s="14">
        <f t="shared" si="62"/>
        <v>45271</v>
      </c>
      <c r="AE103" s="14">
        <f t="shared" si="62"/>
        <v>45272</v>
      </c>
      <c r="AF103" s="14">
        <f t="shared" si="62"/>
        <v>45273</v>
      </c>
      <c r="AG103" s="14">
        <f t="shared" si="62"/>
        <v>45274</v>
      </c>
      <c r="AH103" s="14">
        <f t="shared" si="62"/>
        <v>45275</v>
      </c>
      <c r="AI103" s="14">
        <f t="shared" si="62"/>
        <v>45276</v>
      </c>
      <c r="AJ103" s="14">
        <f t="shared" si="62"/>
        <v>45277</v>
      </c>
      <c r="AK103" s="14">
        <f t="shared" si="62"/>
        <v>45278</v>
      </c>
      <c r="AL103" s="14">
        <f t="shared" si="62"/>
        <v>45279</v>
      </c>
      <c r="AM103" s="14">
        <f t="shared" si="62"/>
        <v>45280</v>
      </c>
      <c r="AN103" s="14">
        <f t="shared" si="62"/>
        <v>45281</v>
      </c>
      <c r="AO103" s="14">
        <f t="shared" si="62"/>
        <v>45282</v>
      </c>
      <c r="AP103" s="14">
        <f t="shared" si="62"/>
        <v>45283</v>
      </c>
      <c r="AQ103" s="14">
        <f t="shared" si="62"/>
        <v>45284</v>
      </c>
      <c r="AR103" s="14">
        <f t="shared" si="62"/>
        <v>45285</v>
      </c>
      <c r="AS103" s="14">
        <f t="shared" si="62"/>
        <v>45286</v>
      </c>
      <c r="AT103" s="14">
        <f t="shared" si="62"/>
        <v>45287</v>
      </c>
      <c r="AU103" s="14">
        <f t="shared" si="62"/>
        <v>45288</v>
      </c>
      <c r="AV103" s="14">
        <f t="shared" si="62"/>
        <v>45289</v>
      </c>
      <c r="AW103" s="14">
        <f t="shared" si="62"/>
        <v>45290</v>
      </c>
      <c r="AX103" s="14">
        <f t="shared" si="62"/>
        <v>45291</v>
      </c>
      <c r="AY103" s="14">
        <f t="shared" si="62"/>
        <v>45292</v>
      </c>
      <c r="AZ103" s="14">
        <f t="shared" si="62"/>
        <v>45293</v>
      </c>
      <c r="BA103" s="14">
        <f t="shared" si="62"/>
        <v>45294</v>
      </c>
      <c r="BB103" s="14">
        <f t="shared" si="62"/>
        <v>45295</v>
      </c>
      <c r="BC103" s="14">
        <f t="shared" si="62"/>
        <v>45296</v>
      </c>
      <c r="BD103" s="14">
        <f t="shared" si="62"/>
        <v>45297</v>
      </c>
      <c r="BE103" s="14">
        <f t="shared" si="62"/>
        <v>45298</v>
      </c>
      <c r="BF103" s="14">
        <f t="shared" si="62"/>
        <v>45299</v>
      </c>
      <c r="BG103" s="14">
        <f t="shared" si="62"/>
        <v>45300</v>
      </c>
      <c r="BH103" s="14">
        <f t="shared" si="62"/>
        <v>45301</v>
      </c>
      <c r="BI103" s="14">
        <f t="shared" si="62"/>
        <v>45302</v>
      </c>
      <c r="BJ103" s="14">
        <f t="shared" si="62"/>
        <v>45303</v>
      </c>
      <c r="BK103" s="14">
        <f t="shared" si="62"/>
        <v>45304</v>
      </c>
      <c r="BL103" s="14">
        <f t="shared" si="62"/>
        <v>45305</v>
      </c>
      <c r="BM103" s="14">
        <f t="shared" si="62"/>
        <v>45306</v>
      </c>
      <c r="BN103" s="14">
        <f t="shared" si="62"/>
        <v>45307</v>
      </c>
      <c r="BO103" s="14">
        <f t="shared" si="62"/>
        <v>45308</v>
      </c>
      <c r="BP103" s="14">
        <f t="shared" si="62"/>
        <v>45309</v>
      </c>
      <c r="BQ103" s="14">
        <f t="shared" si="62"/>
        <v>45310</v>
      </c>
      <c r="BR103" s="14">
        <f t="shared" ref="BR103:DD103" si="63">BR104</f>
        <v>45311</v>
      </c>
      <c r="BS103" s="14">
        <f t="shared" si="63"/>
        <v>45312</v>
      </c>
      <c r="BT103" s="14">
        <f t="shared" si="63"/>
        <v>45313</v>
      </c>
      <c r="BU103" s="14">
        <f t="shared" si="63"/>
        <v>45314</v>
      </c>
      <c r="BV103" s="14">
        <f t="shared" si="63"/>
        <v>45315</v>
      </c>
      <c r="BW103" s="14">
        <f t="shared" si="63"/>
        <v>45316</v>
      </c>
      <c r="BX103" s="14">
        <f t="shared" si="63"/>
        <v>45317</v>
      </c>
      <c r="BY103" s="14">
        <f t="shared" si="63"/>
        <v>45318</v>
      </c>
      <c r="BZ103" s="14">
        <f t="shared" si="63"/>
        <v>45319</v>
      </c>
      <c r="CA103" s="14">
        <f t="shared" si="63"/>
        <v>45320</v>
      </c>
      <c r="CB103" s="14">
        <f t="shared" si="63"/>
        <v>45321</v>
      </c>
      <c r="CC103" s="14">
        <f t="shared" si="63"/>
        <v>45322</v>
      </c>
      <c r="CD103" s="14">
        <f t="shared" si="63"/>
        <v>45323</v>
      </c>
      <c r="CE103" s="14">
        <f t="shared" si="63"/>
        <v>45324</v>
      </c>
      <c r="CF103" s="14">
        <f t="shared" si="63"/>
        <v>45325</v>
      </c>
      <c r="CG103" s="14">
        <f t="shared" si="63"/>
        <v>45326</v>
      </c>
      <c r="CH103" s="14">
        <f t="shared" si="63"/>
        <v>45327</v>
      </c>
      <c r="CI103" s="14">
        <f t="shared" si="63"/>
        <v>45328</v>
      </c>
      <c r="CJ103" s="14">
        <f t="shared" si="63"/>
        <v>45329</v>
      </c>
      <c r="CK103" s="14">
        <f t="shared" si="63"/>
        <v>45330</v>
      </c>
      <c r="CL103" s="14">
        <f t="shared" si="63"/>
        <v>45331</v>
      </c>
      <c r="CM103" s="14">
        <f t="shared" si="63"/>
        <v>45332</v>
      </c>
      <c r="CN103" s="14">
        <f t="shared" si="63"/>
        <v>45333</v>
      </c>
      <c r="CO103" s="14">
        <f t="shared" si="63"/>
        <v>45334</v>
      </c>
      <c r="CP103" s="14">
        <f t="shared" si="63"/>
        <v>45335</v>
      </c>
      <c r="CQ103" s="14">
        <f t="shared" si="63"/>
        <v>45336</v>
      </c>
      <c r="CR103" s="14">
        <f t="shared" si="63"/>
        <v>45337</v>
      </c>
      <c r="CS103" s="14">
        <f t="shared" si="63"/>
        <v>45338</v>
      </c>
      <c r="CT103" s="14">
        <f t="shared" si="63"/>
        <v>45339</v>
      </c>
      <c r="CU103" s="14">
        <f t="shared" si="63"/>
        <v>45340</v>
      </c>
      <c r="CV103" s="14">
        <f t="shared" si="63"/>
        <v>45341</v>
      </c>
      <c r="CW103" s="14">
        <f t="shared" si="63"/>
        <v>45342</v>
      </c>
      <c r="CX103" s="14">
        <f t="shared" si="63"/>
        <v>45343</v>
      </c>
      <c r="CY103" s="14">
        <f t="shared" si="63"/>
        <v>45344</v>
      </c>
      <c r="CZ103" s="14">
        <f t="shared" si="63"/>
        <v>45345</v>
      </c>
      <c r="DA103" s="14">
        <f t="shared" si="63"/>
        <v>45346</v>
      </c>
      <c r="DB103" s="14">
        <f t="shared" si="63"/>
        <v>45347</v>
      </c>
      <c r="DC103" s="14">
        <f t="shared" si="63"/>
        <v>45348</v>
      </c>
      <c r="DD103" s="14">
        <f t="shared" si="63"/>
        <v>45349</v>
      </c>
    </row>
    <row r="104" spans="1:110" x14ac:dyDescent="0.3">
      <c r="B104" s="75"/>
      <c r="E104" s="1"/>
      <c r="F104" s="19">
        <v>45247</v>
      </c>
      <c r="G104" s="19">
        <f t="shared" ref="G104:BR104" si="64">F104+1</f>
        <v>45248</v>
      </c>
      <c r="H104" s="19">
        <f t="shared" si="64"/>
        <v>45249</v>
      </c>
      <c r="I104" s="19">
        <f t="shared" si="64"/>
        <v>45250</v>
      </c>
      <c r="J104" s="19">
        <f t="shared" si="64"/>
        <v>45251</v>
      </c>
      <c r="K104" s="19">
        <f t="shared" si="64"/>
        <v>45252</v>
      </c>
      <c r="L104" s="19">
        <f t="shared" si="64"/>
        <v>45253</v>
      </c>
      <c r="M104" s="19">
        <f t="shared" si="64"/>
        <v>45254</v>
      </c>
      <c r="N104" s="19">
        <f t="shared" si="64"/>
        <v>45255</v>
      </c>
      <c r="O104" s="19">
        <f t="shared" si="64"/>
        <v>45256</v>
      </c>
      <c r="P104" s="19">
        <f t="shared" si="64"/>
        <v>45257</v>
      </c>
      <c r="Q104" s="19">
        <f t="shared" si="64"/>
        <v>45258</v>
      </c>
      <c r="R104" s="19">
        <f t="shared" si="64"/>
        <v>45259</v>
      </c>
      <c r="S104" s="19">
        <f t="shared" si="64"/>
        <v>45260</v>
      </c>
      <c r="T104" s="19">
        <f t="shared" si="64"/>
        <v>45261</v>
      </c>
      <c r="U104" s="19">
        <f t="shared" si="64"/>
        <v>45262</v>
      </c>
      <c r="V104" s="19">
        <f t="shared" si="64"/>
        <v>45263</v>
      </c>
      <c r="W104" s="19">
        <f t="shared" si="64"/>
        <v>45264</v>
      </c>
      <c r="X104" s="19">
        <f t="shared" si="64"/>
        <v>45265</v>
      </c>
      <c r="Y104" s="19">
        <f t="shared" si="64"/>
        <v>45266</v>
      </c>
      <c r="Z104" s="19">
        <f t="shared" si="64"/>
        <v>45267</v>
      </c>
      <c r="AA104" s="19">
        <f t="shared" si="64"/>
        <v>45268</v>
      </c>
      <c r="AB104" s="19">
        <f t="shared" si="64"/>
        <v>45269</v>
      </c>
      <c r="AC104" s="19">
        <f t="shared" si="64"/>
        <v>45270</v>
      </c>
      <c r="AD104" s="19">
        <f t="shared" si="64"/>
        <v>45271</v>
      </c>
      <c r="AE104" s="19">
        <f t="shared" si="64"/>
        <v>45272</v>
      </c>
      <c r="AF104" s="19">
        <f t="shared" si="64"/>
        <v>45273</v>
      </c>
      <c r="AG104" s="19">
        <f t="shared" si="64"/>
        <v>45274</v>
      </c>
      <c r="AH104" s="19">
        <f t="shared" si="64"/>
        <v>45275</v>
      </c>
      <c r="AI104" s="19">
        <f t="shared" si="64"/>
        <v>45276</v>
      </c>
      <c r="AJ104" s="19">
        <f t="shared" si="64"/>
        <v>45277</v>
      </c>
      <c r="AK104" s="19">
        <f t="shared" si="64"/>
        <v>45278</v>
      </c>
      <c r="AL104" s="19">
        <f t="shared" si="64"/>
        <v>45279</v>
      </c>
      <c r="AM104" s="19">
        <f t="shared" si="64"/>
        <v>45280</v>
      </c>
      <c r="AN104" s="19">
        <f t="shared" si="64"/>
        <v>45281</v>
      </c>
      <c r="AO104" s="19">
        <f t="shared" si="64"/>
        <v>45282</v>
      </c>
      <c r="AP104" s="19">
        <f t="shared" si="64"/>
        <v>45283</v>
      </c>
      <c r="AQ104" s="19">
        <f t="shared" si="64"/>
        <v>45284</v>
      </c>
      <c r="AR104" s="19">
        <f t="shared" si="64"/>
        <v>45285</v>
      </c>
      <c r="AS104" s="19">
        <f t="shared" si="64"/>
        <v>45286</v>
      </c>
      <c r="AT104" s="19">
        <f t="shared" si="64"/>
        <v>45287</v>
      </c>
      <c r="AU104" s="19">
        <f t="shared" si="64"/>
        <v>45288</v>
      </c>
      <c r="AV104" s="19">
        <f t="shared" si="64"/>
        <v>45289</v>
      </c>
      <c r="AW104" s="19">
        <f t="shared" si="64"/>
        <v>45290</v>
      </c>
      <c r="AX104" s="19">
        <f t="shared" si="64"/>
        <v>45291</v>
      </c>
      <c r="AY104" s="19">
        <f t="shared" si="64"/>
        <v>45292</v>
      </c>
      <c r="AZ104" s="19">
        <f t="shared" si="64"/>
        <v>45293</v>
      </c>
      <c r="BA104" s="19">
        <f t="shared" si="64"/>
        <v>45294</v>
      </c>
      <c r="BB104" s="19">
        <f t="shared" si="64"/>
        <v>45295</v>
      </c>
      <c r="BC104" s="19">
        <f t="shared" si="64"/>
        <v>45296</v>
      </c>
      <c r="BD104" s="19">
        <f t="shared" si="64"/>
        <v>45297</v>
      </c>
      <c r="BE104" s="19">
        <f t="shared" si="64"/>
        <v>45298</v>
      </c>
      <c r="BF104" s="19">
        <f t="shared" si="64"/>
        <v>45299</v>
      </c>
      <c r="BG104" s="19">
        <f t="shared" si="64"/>
        <v>45300</v>
      </c>
      <c r="BH104" s="19">
        <f t="shared" si="64"/>
        <v>45301</v>
      </c>
      <c r="BI104" s="19">
        <f t="shared" si="64"/>
        <v>45302</v>
      </c>
      <c r="BJ104" s="19">
        <f t="shared" si="64"/>
        <v>45303</v>
      </c>
      <c r="BK104" s="19">
        <f t="shared" si="64"/>
        <v>45304</v>
      </c>
      <c r="BL104" s="19">
        <f t="shared" si="64"/>
        <v>45305</v>
      </c>
      <c r="BM104" s="19">
        <f t="shared" si="64"/>
        <v>45306</v>
      </c>
      <c r="BN104" s="19">
        <f t="shared" si="64"/>
        <v>45307</v>
      </c>
      <c r="BO104" s="19">
        <f t="shared" si="64"/>
        <v>45308</v>
      </c>
      <c r="BP104" s="19">
        <f t="shared" si="64"/>
        <v>45309</v>
      </c>
      <c r="BQ104" s="19">
        <f t="shared" si="64"/>
        <v>45310</v>
      </c>
      <c r="BR104" s="19">
        <f t="shared" si="64"/>
        <v>45311</v>
      </c>
      <c r="BS104" s="19">
        <f t="shared" ref="BS104:DD104" si="65">BR104+1</f>
        <v>45312</v>
      </c>
      <c r="BT104" s="19">
        <f t="shared" si="65"/>
        <v>45313</v>
      </c>
      <c r="BU104" s="19">
        <f t="shared" si="65"/>
        <v>45314</v>
      </c>
      <c r="BV104" s="19">
        <f t="shared" si="65"/>
        <v>45315</v>
      </c>
      <c r="BW104" s="19">
        <f t="shared" si="65"/>
        <v>45316</v>
      </c>
      <c r="BX104" s="19">
        <f t="shared" si="65"/>
        <v>45317</v>
      </c>
      <c r="BY104" s="19">
        <f t="shared" si="65"/>
        <v>45318</v>
      </c>
      <c r="BZ104" s="19">
        <f t="shared" si="65"/>
        <v>45319</v>
      </c>
      <c r="CA104" s="19">
        <f t="shared" si="65"/>
        <v>45320</v>
      </c>
      <c r="CB104" s="19">
        <f t="shared" si="65"/>
        <v>45321</v>
      </c>
      <c r="CC104" s="19">
        <f t="shared" si="65"/>
        <v>45322</v>
      </c>
      <c r="CD104" s="19">
        <f t="shared" si="65"/>
        <v>45323</v>
      </c>
      <c r="CE104" s="19">
        <f t="shared" si="65"/>
        <v>45324</v>
      </c>
      <c r="CF104" s="19">
        <f t="shared" si="65"/>
        <v>45325</v>
      </c>
      <c r="CG104" s="19">
        <f t="shared" si="65"/>
        <v>45326</v>
      </c>
      <c r="CH104" s="19">
        <f t="shared" si="65"/>
        <v>45327</v>
      </c>
      <c r="CI104" s="19">
        <f t="shared" si="65"/>
        <v>45328</v>
      </c>
      <c r="CJ104" s="19">
        <f t="shared" si="65"/>
        <v>45329</v>
      </c>
      <c r="CK104" s="19">
        <f t="shared" si="65"/>
        <v>45330</v>
      </c>
      <c r="CL104" s="19">
        <f t="shared" si="65"/>
        <v>45331</v>
      </c>
      <c r="CM104" s="19">
        <f t="shared" si="65"/>
        <v>45332</v>
      </c>
      <c r="CN104" s="19">
        <f t="shared" si="65"/>
        <v>45333</v>
      </c>
      <c r="CO104" s="19">
        <f t="shared" si="65"/>
        <v>45334</v>
      </c>
      <c r="CP104" s="19">
        <f t="shared" si="65"/>
        <v>45335</v>
      </c>
      <c r="CQ104" s="19">
        <f t="shared" si="65"/>
        <v>45336</v>
      </c>
      <c r="CR104" s="19">
        <f t="shared" si="65"/>
        <v>45337</v>
      </c>
      <c r="CS104" s="19">
        <f t="shared" si="65"/>
        <v>45338</v>
      </c>
      <c r="CT104" s="19">
        <f t="shared" si="65"/>
        <v>45339</v>
      </c>
      <c r="CU104" s="19">
        <f t="shared" si="65"/>
        <v>45340</v>
      </c>
      <c r="CV104" s="19">
        <f t="shared" si="65"/>
        <v>45341</v>
      </c>
      <c r="CW104" s="19">
        <f t="shared" si="65"/>
        <v>45342</v>
      </c>
      <c r="CX104" s="19">
        <f t="shared" si="65"/>
        <v>45343</v>
      </c>
      <c r="CY104" s="19">
        <f t="shared" si="65"/>
        <v>45344</v>
      </c>
      <c r="CZ104" s="19">
        <f t="shared" si="65"/>
        <v>45345</v>
      </c>
      <c r="DA104" s="19">
        <f t="shared" si="65"/>
        <v>45346</v>
      </c>
      <c r="DB104" s="19">
        <f t="shared" si="65"/>
        <v>45347</v>
      </c>
      <c r="DC104" s="19">
        <f t="shared" si="65"/>
        <v>45348</v>
      </c>
      <c r="DD104" s="19">
        <f t="shared" si="65"/>
        <v>45349</v>
      </c>
    </row>
    <row r="105" spans="1:110" x14ac:dyDescent="0.3">
      <c r="B105" s="75"/>
      <c r="E105" s="15" t="s">
        <v>1</v>
      </c>
      <c r="F105" s="3">
        <f t="shared" ref="F105:BQ106" si="66">F11-F54</f>
        <v>885</v>
      </c>
      <c r="G105" s="3">
        <f t="shared" si="66"/>
        <v>735</v>
      </c>
      <c r="H105" s="3">
        <f t="shared" si="66"/>
        <v>721</v>
      </c>
      <c r="I105" s="3">
        <f t="shared" si="66"/>
        <v>1256</v>
      </c>
      <c r="J105" s="3">
        <f t="shared" si="66"/>
        <v>1562</v>
      </c>
      <c r="K105" s="3">
        <f t="shared" si="66"/>
        <v>1514</v>
      </c>
      <c r="L105" s="3">
        <f t="shared" si="66"/>
        <v>1398</v>
      </c>
      <c r="M105" s="3">
        <f t="shared" si="66"/>
        <v>1723</v>
      </c>
      <c r="N105" s="3">
        <f t="shared" si="66"/>
        <v>1186</v>
      </c>
      <c r="O105" s="3">
        <f t="shared" si="66"/>
        <v>788</v>
      </c>
      <c r="P105" s="3">
        <f t="shared" si="66"/>
        <v>3405</v>
      </c>
      <c r="Q105" s="3">
        <f t="shared" si="66"/>
        <v>3408</v>
      </c>
      <c r="R105" s="3">
        <f t="shared" si="66"/>
        <v>3224</v>
      </c>
      <c r="S105" s="3">
        <f t="shared" si="66"/>
        <v>2722</v>
      </c>
      <c r="T105" s="3">
        <f t="shared" si="66"/>
        <v>2170</v>
      </c>
      <c r="U105" s="3">
        <f t="shared" si="66"/>
        <v>1647</v>
      </c>
      <c r="V105" s="3">
        <f t="shared" si="66"/>
        <v>748</v>
      </c>
      <c r="W105" s="3">
        <f t="shared" si="66"/>
        <v>2332</v>
      </c>
      <c r="X105" s="3">
        <f t="shared" si="66"/>
        <v>2417</v>
      </c>
      <c r="Y105" s="3">
        <f t="shared" si="66"/>
        <v>1650</v>
      </c>
      <c r="Z105" s="3">
        <f t="shared" si="66"/>
        <v>1358</v>
      </c>
      <c r="AA105" s="3">
        <f t="shared" si="66"/>
        <v>1456</v>
      </c>
      <c r="AB105" s="3">
        <f t="shared" si="66"/>
        <v>947</v>
      </c>
      <c r="AC105" s="3">
        <f t="shared" si="66"/>
        <v>829</v>
      </c>
      <c r="AD105" s="3">
        <f t="shared" si="66"/>
        <v>2066</v>
      </c>
      <c r="AE105" s="3">
        <f t="shared" si="66"/>
        <v>1861</v>
      </c>
      <c r="AF105" s="3">
        <f t="shared" si="66"/>
        <v>1962</v>
      </c>
      <c r="AG105" s="3">
        <f t="shared" si="66"/>
        <v>1833</v>
      </c>
      <c r="AH105" s="3">
        <f t="shared" si="66"/>
        <v>1800</v>
      </c>
      <c r="AI105" s="3">
        <f t="shared" si="66"/>
        <v>1093</v>
      </c>
      <c r="AJ105" s="3">
        <f t="shared" si="66"/>
        <v>924</v>
      </c>
      <c r="AK105" s="3">
        <f t="shared" si="66"/>
        <v>2576</v>
      </c>
      <c r="AL105" s="3">
        <f t="shared" si="66"/>
        <v>2207</v>
      </c>
      <c r="AM105" s="3">
        <f t="shared" si="66"/>
        <v>1906</v>
      </c>
      <c r="AN105" s="3">
        <f t="shared" si="66"/>
        <v>1623</v>
      </c>
      <c r="AO105" s="3">
        <f t="shared" si="66"/>
        <v>1496</v>
      </c>
      <c r="AP105" s="3">
        <f t="shared" si="66"/>
        <v>949</v>
      </c>
      <c r="AQ105" s="3">
        <f t="shared" si="66"/>
        <v>482</v>
      </c>
      <c r="AR105" s="3">
        <f t="shared" si="66"/>
        <v>463</v>
      </c>
      <c r="AS105" s="3">
        <f t="shared" si="66"/>
        <v>1921</v>
      </c>
      <c r="AT105" s="3">
        <f t="shared" si="66"/>
        <v>1400</v>
      </c>
      <c r="AU105" s="3">
        <f t="shared" si="66"/>
        <v>1612</v>
      </c>
      <c r="AV105" s="3">
        <f t="shared" si="66"/>
        <v>1199</v>
      </c>
      <c r="AW105" s="3">
        <f t="shared" si="66"/>
        <v>797</v>
      </c>
      <c r="AX105" s="3">
        <f t="shared" si="66"/>
        <v>372</v>
      </c>
      <c r="AY105" s="3">
        <f t="shared" si="66"/>
        <v>345</v>
      </c>
      <c r="AZ105" s="3">
        <f t="shared" si="66"/>
        <v>1831</v>
      </c>
      <c r="BA105" s="3">
        <f t="shared" si="66"/>
        <v>1711</v>
      </c>
      <c r="BB105" s="3">
        <f t="shared" si="66"/>
        <v>1593</v>
      </c>
      <c r="BC105" s="3">
        <f t="shared" si="66"/>
        <v>1570</v>
      </c>
      <c r="BD105" s="3">
        <f t="shared" si="66"/>
        <v>939</v>
      </c>
      <c r="BE105" s="3">
        <f t="shared" si="66"/>
        <v>609</v>
      </c>
      <c r="BF105" s="3">
        <f t="shared" si="66"/>
        <v>1764</v>
      </c>
      <c r="BG105" s="3">
        <f t="shared" si="66"/>
        <v>1929</v>
      </c>
      <c r="BH105" s="3">
        <f t="shared" si="66"/>
        <v>2221</v>
      </c>
      <c r="BI105" s="3">
        <f t="shared" si="66"/>
        <v>2167</v>
      </c>
      <c r="BJ105" s="3">
        <f t="shared" si="66"/>
        <v>1904</v>
      </c>
      <c r="BK105" s="3">
        <f t="shared" si="66"/>
        <v>925</v>
      </c>
      <c r="BL105" s="3">
        <f t="shared" si="66"/>
        <v>585</v>
      </c>
      <c r="BM105" s="3">
        <f t="shared" si="66"/>
        <v>2882</v>
      </c>
      <c r="BN105" s="3">
        <f t="shared" si="66"/>
        <v>2666</v>
      </c>
      <c r="BO105" s="3">
        <f t="shared" si="66"/>
        <v>2316</v>
      </c>
      <c r="BP105" s="3">
        <f t="shared" si="66"/>
        <v>1844</v>
      </c>
      <c r="BQ105" s="3">
        <f t="shared" si="66"/>
        <v>1582</v>
      </c>
      <c r="BR105" s="3">
        <f t="shared" ref="BR105:DD106" si="67">BR11-BR54</f>
        <v>740</v>
      </c>
      <c r="BS105" s="3">
        <f t="shared" si="67"/>
        <v>474</v>
      </c>
      <c r="BT105" s="3">
        <f t="shared" si="67"/>
        <v>2163</v>
      </c>
      <c r="BU105" s="3">
        <f t="shared" si="67"/>
        <v>1935</v>
      </c>
      <c r="BV105" s="3">
        <f t="shared" si="67"/>
        <v>1124</v>
      </c>
      <c r="BW105" s="3">
        <f t="shared" si="67"/>
        <v>1106</v>
      </c>
      <c r="BX105" s="3">
        <f t="shared" si="67"/>
        <v>728</v>
      </c>
      <c r="BY105" s="3">
        <f t="shared" si="67"/>
        <v>369</v>
      </c>
      <c r="BZ105" s="3">
        <f t="shared" si="67"/>
        <v>275</v>
      </c>
      <c r="CA105" s="3">
        <f t="shared" si="67"/>
        <v>985</v>
      </c>
      <c r="CB105" s="3">
        <f t="shared" si="67"/>
        <v>948</v>
      </c>
      <c r="CC105" s="3">
        <f t="shared" si="67"/>
        <v>974</v>
      </c>
      <c r="CD105" s="3">
        <f t="shared" si="67"/>
        <v>830</v>
      </c>
      <c r="CE105" s="3">
        <f t="shared" si="67"/>
        <v>675</v>
      </c>
      <c r="CF105" s="3">
        <f t="shared" si="67"/>
        <v>396</v>
      </c>
      <c r="CG105" s="3">
        <f t="shared" si="67"/>
        <v>310</v>
      </c>
      <c r="CH105" s="3">
        <f t="shared" si="67"/>
        <v>445</v>
      </c>
      <c r="CI105" s="3">
        <f t="shared" si="67"/>
        <v>826</v>
      </c>
      <c r="CJ105" s="3">
        <f t="shared" si="67"/>
        <v>721</v>
      </c>
      <c r="CK105" s="3">
        <f t="shared" si="67"/>
        <v>771</v>
      </c>
      <c r="CL105" s="3">
        <f t="shared" si="67"/>
        <v>633</v>
      </c>
      <c r="CM105" s="3">
        <f t="shared" si="67"/>
        <v>399</v>
      </c>
      <c r="CN105" s="3">
        <f t="shared" si="67"/>
        <v>254</v>
      </c>
      <c r="CO105" s="3">
        <f t="shared" si="67"/>
        <v>746</v>
      </c>
      <c r="CP105" s="3">
        <f t="shared" si="67"/>
        <v>788</v>
      </c>
      <c r="CQ105" s="3">
        <f t="shared" si="67"/>
        <v>591</v>
      </c>
      <c r="CR105" s="3">
        <f t="shared" si="67"/>
        <v>704</v>
      </c>
      <c r="CS105" s="3">
        <f t="shared" si="67"/>
        <v>629</v>
      </c>
      <c r="CT105" s="3">
        <f t="shared" si="67"/>
        <v>349</v>
      </c>
      <c r="CU105" s="3">
        <f t="shared" si="67"/>
        <v>261</v>
      </c>
      <c r="CV105" s="3">
        <f t="shared" si="67"/>
        <v>760</v>
      </c>
      <c r="CW105" s="3">
        <f t="shared" si="67"/>
        <v>796</v>
      </c>
      <c r="CX105" s="3">
        <f t="shared" si="67"/>
        <v>692</v>
      </c>
      <c r="CY105" s="3">
        <f t="shared" si="67"/>
        <v>0</v>
      </c>
      <c r="CZ105" s="3">
        <f t="shared" si="67"/>
        <v>0</v>
      </c>
      <c r="DA105" s="3">
        <f t="shared" si="67"/>
        <v>0</v>
      </c>
      <c r="DB105" s="3">
        <f t="shared" si="67"/>
        <v>0</v>
      </c>
      <c r="DC105" s="3">
        <f t="shared" si="67"/>
        <v>0</v>
      </c>
      <c r="DD105" s="3">
        <f t="shared" si="67"/>
        <v>0</v>
      </c>
      <c r="DE105" s="29">
        <f>SUM(F105:DD105)</f>
        <v>126403</v>
      </c>
    </row>
    <row r="106" spans="1:110" x14ac:dyDescent="0.3">
      <c r="B106" s="75"/>
      <c r="E106" s="16" t="s">
        <v>2</v>
      </c>
      <c r="F106" s="18">
        <v>1196</v>
      </c>
      <c r="G106" s="17">
        <v>607</v>
      </c>
      <c r="H106" s="17">
        <v>527</v>
      </c>
      <c r="I106" s="18">
        <v>1196</v>
      </c>
      <c r="J106" s="18">
        <v>1196</v>
      </c>
      <c r="K106" s="18">
        <v>1196</v>
      </c>
      <c r="L106" s="18">
        <v>1196</v>
      </c>
      <c r="M106" s="18">
        <v>1196</v>
      </c>
      <c r="N106" s="17">
        <v>638</v>
      </c>
      <c r="O106" s="17">
        <v>527</v>
      </c>
      <c r="P106" s="18">
        <v>1196</v>
      </c>
      <c r="Q106" s="18">
        <v>1044</v>
      </c>
      <c r="R106" s="18">
        <v>1080</v>
      </c>
      <c r="S106" s="18">
        <v>1170</v>
      </c>
      <c r="T106" s="18">
        <v>1170</v>
      </c>
      <c r="U106" s="18">
        <v>643</v>
      </c>
      <c r="V106" s="18">
        <v>643</v>
      </c>
      <c r="W106" s="18">
        <v>1170</v>
      </c>
      <c r="X106" s="18">
        <v>1170</v>
      </c>
      <c r="Y106" s="18">
        <v>1170</v>
      </c>
      <c r="Z106" s="18">
        <v>1728</v>
      </c>
      <c r="AA106" s="18">
        <f>Z106</f>
        <v>1728</v>
      </c>
      <c r="AB106" s="18">
        <v>955</v>
      </c>
      <c r="AC106" s="18">
        <f>AC12-AC55</f>
        <v>890</v>
      </c>
      <c r="AD106" s="18">
        <f>AA106</f>
        <v>1728</v>
      </c>
      <c r="AE106" s="18">
        <f t="shared" ref="AE106:AH106" si="68">AD106</f>
        <v>1728</v>
      </c>
      <c r="AF106" s="18">
        <f t="shared" si="68"/>
        <v>1728</v>
      </c>
      <c r="AG106" s="18">
        <f t="shared" si="68"/>
        <v>1728</v>
      </c>
      <c r="AH106" s="18">
        <f t="shared" si="68"/>
        <v>1728</v>
      </c>
      <c r="AI106" s="18">
        <v>917</v>
      </c>
      <c r="AJ106" s="18">
        <v>689</v>
      </c>
      <c r="AK106" s="18">
        <f>AK12-AK55</f>
        <v>1909</v>
      </c>
      <c r="AL106" s="18">
        <f t="shared" ref="AL106" si="69">AK106</f>
        <v>1909</v>
      </c>
      <c r="AM106" s="18">
        <v>1766</v>
      </c>
      <c r="AN106" s="18">
        <f t="shared" ref="AN106:AO106" si="70">AM106</f>
        <v>1766</v>
      </c>
      <c r="AO106" s="18">
        <f t="shared" si="70"/>
        <v>1766</v>
      </c>
      <c r="AP106" s="18">
        <f t="shared" si="66"/>
        <v>791.125</v>
      </c>
      <c r="AQ106" s="18">
        <f t="shared" si="66"/>
        <v>750</v>
      </c>
      <c r="AR106" s="18">
        <f t="shared" si="66"/>
        <v>1125.25</v>
      </c>
      <c r="AS106" s="18">
        <f>AO106</f>
        <v>1766</v>
      </c>
      <c r="AT106" s="18">
        <f t="shared" ref="AT106:AV106" si="71">AS106</f>
        <v>1766</v>
      </c>
      <c r="AU106" s="18">
        <f t="shared" si="71"/>
        <v>1766</v>
      </c>
      <c r="AV106" s="18">
        <f t="shared" si="71"/>
        <v>1766</v>
      </c>
      <c r="AW106" s="18">
        <f t="shared" si="66"/>
        <v>941</v>
      </c>
      <c r="AX106" s="18">
        <f t="shared" si="66"/>
        <v>892</v>
      </c>
      <c r="AY106" s="18">
        <f t="shared" si="66"/>
        <v>1329</v>
      </c>
      <c r="AZ106" s="18">
        <f t="shared" si="66"/>
        <v>1547</v>
      </c>
      <c r="BA106" s="18">
        <f t="shared" si="66"/>
        <v>1547</v>
      </c>
      <c r="BB106" s="18">
        <f t="shared" si="66"/>
        <v>1547</v>
      </c>
      <c r="BC106" s="18">
        <f t="shared" si="66"/>
        <v>1547</v>
      </c>
      <c r="BD106" s="18">
        <f t="shared" si="66"/>
        <v>737</v>
      </c>
      <c r="BE106" s="18">
        <f t="shared" si="66"/>
        <v>673</v>
      </c>
      <c r="BF106" s="18">
        <f t="shared" si="66"/>
        <v>1547</v>
      </c>
      <c r="BG106" s="18">
        <f t="shared" si="66"/>
        <v>1508</v>
      </c>
      <c r="BH106" s="18">
        <f t="shared" si="66"/>
        <v>1508</v>
      </c>
      <c r="BI106" s="18">
        <f t="shared" si="66"/>
        <v>1508</v>
      </c>
      <c r="BJ106" s="18">
        <f t="shared" si="66"/>
        <v>1508</v>
      </c>
      <c r="BK106" s="18">
        <f t="shared" si="66"/>
        <v>736</v>
      </c>
      <c r="BL106" s="18">
        <f t="shared" si="66"/>
        <v>611</v>
      </c>
      <c r="BM106" s="18">
        <f t="shared" si="66"/>
        <v>1508</v>
      </c>
      <c r="BN106" s="18">
        <f t="shared" si="66"/>
        <v>1454</v>
      </c>
      <c r="BO106" s="18">
        <f t="shared" si="66"/>
        <v>1598</v>
      </c>
      <c r="BP106" s="18">
        <f t="shared" si="66"/>
        <v>1598</v>
      </c>
      <c r="BQ106" s="18">
        <f t="shared" si="66"/>
        <v>1598</v>
      </c>
      <c r="BR106" s="18">
        <f t="shared" si="67"/>
        <v>755</v>
      </c>
      <c r="BS106" s="18">
        <f t="shared" si="67"/>
        <v>689</v>
      </c>
      <c r="BT106" s="18">
        <f t="shared" si="67"/>
        <v>1598</v>
      </c>
      <c r="BU106" s="18">
        <f t="shared" si="67"/>
        <v>1598</v>
      </c>
      <c r="BV106" s="18">
        <f t="shared" si="67"/>
        <v>1598</v>
      </c>
      <c r="BW106" s="18">
        <f t="shared" si="67"/>
        <v>1598</v>
      </c>
      <c r="BX106" s="18">
        <f t="shared" si="67"/>
        <v>1598</v>
      </c>
      <c r="BY106" s="18">
        <f t="shared" si="67"/>
        <v>789</v>
      </c>
      <c r="BZ106" s="18">
        <f t="shared" si="67"/>
        <v>746</v>
      </c>
      <c r="CA106" s="18">
        <f t="shared" si="67"/>
        <v>1598</v>
      </c>
      <c r="CB106" s="18">
        <f t="shared" si="67"/>
        <v>1598</v>
      </c>
      <c r="CC106" s="18">
        <f t="shared" si="67"/>
        <v>1598</v>
      </c>
      <c r="CD106" s="18">
        <f t="shared" si="67"/>
        <v>1598</v>
      </c>
      <c r="CE106" s="18">
        <f t="shared" si="67"/>
        <v>1598</v>
      </c>
      <c r="CF106" s="18">
        <f t="shared" si="67"/>
        <v>760</v>
      </c>
      <c r="CG106" s="18">
        <f t="shared" si="67"/>
        <v>591</v>
      </c>
      <c r="CH106" s="18">
        <f t="shared" si="67"/>
        <v>550</v>
      </c>
      <c r="CI106" s="18">
        <f t="shared" si="67"/>
        <v>1406</v>
      </c>
      <c r="CJ106" s="18">
        <f t="shared" si="67"/>
        <v>1406</v>
      </c>
      <c r="CK106" s="18">
        <f t="shared" si="67"/>
        <v>1406</v>
      </c>
      <c r="CL106" s="18">
        <f t="shared" si="67"/>
        <v>1406</v>
      </c>
      <c r="CM106" s="18">
        <f t="shared" si="67"/>
        <v>760</v>
      </c>
      <c r="CN106" s="18">
        <f t="shared" si="67"/>
        <v>558</v>
      </c>
      <c r="CO106" s="18">
        <f t="shared" si="67"/>
        <v>1406</v>
      </c>
      <c r="CP106" s="18">
        <f t="shared" si="67"/>
        <v>1406</v>
      </c>
      <c r="CQ106" s="18">
        <f t="shared" si="67"/>
        <v>1256</v>
      </c>
      <c r="CR106" s="18">
        <f t="shared" si="67"/>
        <v>1256</v>
      </c>
      <c r="CS106" s="18">
        <f t="shared" si="67"/>
        <v>1256</v>
      </c>
      <c r="CT106" s="18">
        <f t="shared" si="67"/>
        <v>613</v>
      </c>
      <c r="CU106" s="18">
        <f t="shared" si="67"/>
        <v>479</v>
      </c>
      <c r="CV106" s="18">
        <f t="shared" si="67"/>
        <v>1256</v>
      </c>
      <c r="CW106" s="18">
        <f t="shared" si="67"/>
        <v>1256</v>
      </c>
      <c r="CX106" s="18">
        <f t="shared" si="67"/>
        <v>1256</v>
      </c>
      <c r="CY106" s="18">
        <f t="shared" si="67"/>
        <v>1256</v>
      </c>
      <c r="CZ106" s="18">
        <f t="shared" si="67"/>
        <v>1256</v>
      </c>
      <c r="DA106" s="18">
        <f t="shared" si="67"/>
        <v>1256</v>
      </c>
      <c r="DB106" s="18">
        <f t="shared" si="67"/>
        <v>1256</v>
      </c>
      <c r="DC106" s="18">
        <f t="shared" si="67"/>
        <v>1256</v>
      </c>
      <c r="DD106" s="18">
        <f t="shared" si="67"/>
        <v>1256</v>
      </c>
      <c r="DE106" s="30">
        <f>SUM(F106:DD106)</f>
        <v>128544.375</v>
      </c>
    </row>
    <row r="107" spans="1:110" x14ac:dyDescent="0.3">
      <c r="B107" s="75"/>
      <c r="E107" s="16" t="s">
        <v>3</v>
      </c>
      <c r="F107" s="31">
        <f t="shared" ref="F107:BQ107" si="72">IFERROR((F106-F105)/F105,"")</f>
        <v>0.35141242937853107</v>
      </c>
      <c r="G107" s="31">
        <f t="shared" si="72"/>
        <v>-0.17414965986394557</v>
      </c>
      <c r="H107" s="31">
        <f t="shared" si="72"/>
        <v>-0.26907073509015256</v>
      </c>
      <c r="I107" s="31">
        <f t="shared" si="72"/>
        <v>-4.7770700636942678E-2</v>
      </c>
      <c r="J107" s="31">
        <f t="shared" si="72"/>
        <v>-0.23431498079385404</v>
      </c>
      <c r="K107" s="31">
        <f t="shared" si="72"/>
        <v>-0.21003963011889035</v>
      </c>
      <c r="L107" s="31">
        <f t="shared" si="72"/>
        <v>-0.14449213161659513</v>
      </c>
      <c r="M107" s="31">
        <f t="shared" si="72"/>
        <v>-0.30586186883343008</v>
      </c>
      <c r="N107" s="31">
        <f t="shared" si="72"/>
        <v>-0.46205733558178752</v>
      </c>
      <c r="O107" s="31">
        <f t="shared" si="72"/>
        <v>-0.33121827411167515</v>
      </c>
      <c r="P107" s="31">
        <f t="shared" si="72"/>
        <v>-0.64875183553597648</v>
      </c>
      <c r="Q107" s="31">
        <f t="shared" si="72"/>
        <v>-0.69366197183098588</v>
      </c>
      <c r="R107" s="31">
        <f t="shared" si="72"/>
        <v>-0.66501240694789077</v>
      </c>
      <c r="S107" s="31">
        <f t="shared" si="72"/>
        <v>-0.57016899338721527</v>
      </c>
      <c r="T107" s="31">
        <f t="shared" si="72"/>
        <v>-0.46082949308755761</v>
      </c>
      <c r="U107" s="31">
        <f t="shared" si="72"/>
        <v>-0.60959319975713422</v>
      </c>
      <c r="V107" s="31">
        <f t="shared" si="72"/>
        <v>-0.14037433155080214</v>
      </c>
      <c r="W107" s="31">
        <f t="shared" si="72"/>
        <v>-0.49828473413379076</v>
      </c>
      <c r="X107" s="31">
        <f t="shared" si="72"/>
        <v>-0.51592883740173767</v>
      </c>
      <c r="Y107" s="31">
        <f t="shared" si="72"/>
        <v>-0.29090909090909089</v>
      </c>
      <c r="Z107" s="31">
        <f t="shared" si="72"/>
        <v>0.27245949926362295</v>
      </c>
      <c r="AA107" s="31">
        <f t="shared" si="72"/>
        <v>0.18681318681318682</v>
      </c>
      <c r="AB107" s="31">
        <f t="shared" si="72"/>
        <v>8.4477296726504746E-3</v>
      </c>
      <c r="AC107" s="31">
        <f t="shared" si="72"/>
        <v>7.3582629674306399E-2</v>
      </c>
      <c r="AD107" s="31">
        <f t="shared" si="72"/>
        <v>-0.16360116166505323</v>
      </c>
      <c r="AE107" s="31">
        <f t="shared" si="72"/>
        <v>-7.1466953250940352E-2</v>
      </c>
      <c r="AF107" s="31">
        <f t="shared" si="72"/>
        <v>-0.11926605504587157</v>
      </c>
      <c r="AG107" s="31">
        <f t="shared" si="72"/>
        <v>-5.7283142389525366E-2</v>
      </c>
      <c r="AH107" s="31">
        <f t="shared" si="72"/>
        <v>-0.04</v>
      </c>
      <c r="AI107" s="31">
        <f t="shared" si="72"/>
        <v>-0.16102470265324795</v>
      </c>
      <c r="AJ107" s="31">
        <f t="shared" si="72"/>
        <v>-0.25432900432900435</v>
      </c>
      <c r="AK107" s="31">
        <f t="shared" si="72"/>
        <v>-0.25892857142857145</v>
      </c>
      <c r="AL107" s="31">
        <f t="shared" si="72"/>
        <v>-0.13502492070684186</v>
      </c>
      <c r="AM107" s="31">
        <f t="shared" si="72"/>
        <v>-7.3452256033578175E-2</v>
      </c>
      <c r="AN107" s="31">
        <f t="shared" si="72"/>
        <v>8.8108441158348733E-2</v>
      </c>
      <c r="AO107" s="31">
        <f t="shared" si="72"/>
        <v>0.18048128342245989</v>
      </c>
      <c r="AP107" s="31">
        <f t="shared" si="72"/>
        <v>-0.16635932560590094</v>
      </c>
      <c r="AQ107" s="31">
        <f t="shared" si="72"/>
        <v>0.55601659751037347</v>
      </c>
      <c r="AR107" s="31">
        <f t="shared" si="72"/>
        <v>1.4303455723542116</v>
      </c>
      <c r="AS107" s="31">
        <f t="shared" si="72"/>
        <v>-8.068714211348256E-2</v>
      </c>
      <c r="AT107" s="31">
        <f t="shared" si="72"/>
        <v>0.26142857142857145</v>
      </c>
      <c r="AU107" s="31">
        <f t="shared" si="72"/>
        <v>9.553349875930521E-2</v>
      </c>
      <c r="AV107" s="31">
        <f t="shared" si="72"/>
        <v>0.47289407839866554</v>
      </c>
      <c r="AW107" s="31">
        <f t="shared" si="72"/>
        <v>0.1806775407779172</v>
      </c>
      <c r="AX107" s="31">
        <f t="shared" si="72"/>
        <v>1.3978494623655915</v>
      </c>
      <c r="AY107" s="31">
        <f t="shared" si="72"/>
        <v>2.8521739130434782</v>
      </c>
      <c r="AZ107" s="31">
        <f t="shared" si="72"/>
        <v>-0.15510649918077554</v>
      </c>
      <c r="BA107" s="31">
        <f t="shared" si="72"/>
        <v>-9.585037989479836E-2</v>
      </c>
      <c r="BB107" s="31">
        <f>IFERROR((BB106-BB105)/BB105,"")</f>
        <v>-2.8876333961079723E-2</v>
      </c>
      <c r="BC107" s="31">
        <f t="shared" ref="BC107" si="73">IFERROR((BC106-BC105)/BC105,"")</f>
        <v>-1.4649681528662421E-2</v>
      </c>
      <c r="BD107" s="31">
        <f t="shared" si="72"/>
        <v>-0.21512247071352503</v>
      </c>
      <c r="BE107" s="31">
        <f t="shared" si="72"/>
        <v>0.10509031198686371</v>
      </c>
      <c r="BF107" s="31">
        <f t="shared" si="72"/>
        <v>-0.12301587301587301</v>
      </c>
      <c r="BG107" s="31">
        <f t="shared" si="72"/>
        <v>-0.21824779678589942</v>
      </c>
      <c r="BH107" s="31">
        <f t="shared" si="72"/>
        <v>-0.3210265646105358</v>
      </c>
      <c r="BI107" s="31">
        <f t="shared" si="72"/>
        <v>-0.30410706045223812</v>
      </c>
      <c r="BJ107" s="31">
        <f t="shared" si="72"/>
        <v>-0.20798319327731093</v>
      </c>
      <c r="BK107" s="31">
        <f t="shared" si="72"/>
        <v>-0.20432432432432432</v>
      </c>
      <c r="BL107" s="31">
        <f t="shared" si="72"/>
        <v>4.4444444444444446E-2</v>
      </c>
      <c r="BM107" s="31">
        <f t="shared" si="72"/>
        <v>-0.47675225537820959</v>
      </c>
      <c r="BN107" s="31">
        <f t="shared" si="72"/>
        <v>-0.45461365341335336</v>
      </c>
      <c r="BO107" s="31">
        <f t="shared" si="72"/>
        <v>-0.31001727115716754</v>
      </c>
      <c r="BP107" s="31">
        <f t="shared" si="72"/>
        <v>-0.13340563991323209</v>
      </c>
      <c r="BQ107" s="31">
        <f t="shared" si="72"/>
        <v>1.0113780025284451E-2</v>
      </c>
      <c r="BR107" s="31">
        <f t="shared" ref="BR107:DD107" si="74">IFERROR((BR106-BR105)/BR105,"")</f>
        <v>2.0270270270270271E-2</v>
      </c>
      <c r="BS107" s="31">
        <f t="shared" si="74"/>
        <v>0.45358649789029537</v>
      </c>
      <c r="BT107" s="31">
        <f t="shared" si="74"/>
        <v>-0.26121128062875637</v>
      </c>
      <c r="BU107" s="31">
        <f t="shared" si="74"/>
        <v>-0.17416020671834626</v>
      </c>
      <c r="BV107" s="31">
        <f t="shared" si="74"/>
        <v>0.42170818505338076</v>
      </c>
      <c r="BW107" s="31">
        <f t="shared" si="74"/>
        <v>0.44484629294755879</v>
      </c>
      <c r="BX107" s="31">
        <f t="shared" si="74"/>
        <v>1.195054945054945</v>
      </c>
      <c r="BY107" s="31">
        <f t="shared" si="74"/>
        <v>1.1382113821138211</v>
      </c>
      <c r="BZ107" s="31">
        <f t="shared" si="74"/>
        <v>1.7127272727272727</v>
      </c>
      <c r="CA107" s="31">
        <f t="shared" si="74"/>
        <v>0.62233502538071062</v>
      </c>
      <c r="CB107" s="31">
        <f t="shared" si="74"/>
        <v>0.68565400843881852</v>
      </c>
      <c r="CC107" s="31">
        <f t="shared" si="74"/>
        <v>0.64065708418891165</v>
      </c>
      <c r="CD107" s="31">
        <f t="shared" si="74"/>
        <v>0.92530120481927713</v>
      </c>
      <c r="CE107" s="31">
        <f t="shared" si="74"/>
        <v>1.3674074074074074</v>
      </c>
      <c r="CF107" s="31">
        <f t="shared" si="74"/>
        <v>0.91919191919191923</v>
      </c>
      <c r="CG107" s="31">
        <f t="shared" si="74"/>
        <v>0.90645161290322585</v>
      </c>
      <c r="CH107" s="31">
        <f t="shared" si="74"/>
        <v>0.23595505617977527</v>
      </c>
      <c r="CI107" s="31">
        <f t="shared" si="74"/>
        <v>0.70217917675544794</v>
      </c>
      <c r="CJ107" s="31">
        <f t="shared" si="74"/>
        <v>0.95006934812760058</v>
      </c>
      <c r="CK107" s="31">
        <f t="shared" si="74"/>
        <v>0.82360570687418933</v>
      </c>
      <c r="CL107" s="31">
        <f t="shared" si="74"/>
        <v>1.221169036334913</v>
      </c>
      <c r="CM107" s="31">
        <f t="shared" si="74"/>
        <v>0.90476190476190477</v>
      </c>
      <c r="CN107" s="31">
        <f t="shared" si="74"/>
        <v>1.1968503937007875</v>
      </c>
      <c r="CO107" s="31">
        <f t="shared" si="74"/>
        <v>0.88471849865951746</v>
      </c>
      <c r="CP107" s="31">
        <f t="shared" si="74"/>
        <v>0.78426395939086291</v>
      </c>
      <c r="CQ107" s="31">
        <f t="shared" si="74"/>
        <v>1.1252115059221659</v>
      </c>
      <c r="CR107" s="31">
        <f t="shared" si="74"/>
        <v>0.78409090909090906</v>
      </c>
      <c r="CS107" s="31">
        <f t="shared" si="74"/>
        <v>0.99682034976152623</v>
      </c>
      <c r="CT107" s="31">
        <f t="shared" si="74"/>
        <v>0.7564469914040115</v>
      </c>
      <c r="CU107" s="31">
        <f t="shared" si="74"/>
        <v>0.83524904214559392</v>
      </c>
      <c r="CV107" s="31">
        <f t="shared" si="74"/>
        <v>0.65263157894736845</v>
      </c>
      <c r="CW107" s="31">
        <f t="shared" si="74"/>
        <v>0.57788944723618085</v>
      </c>
      <c r="CX107" s="31">
        <f t="shared" si="74"/>
        <v>0.81502890173410403</v>
      </c>
      <c r="CY107" s="31" t="str">
        <f t="shared" si="74"/>
        <v/>
      </c>
      <c r="CZ107" s="31" t="str">
        <f t="shared" si="74"/>
        <v/>
      </c>
      <c r="DA107" s="31" t="str">
        <f t="shared" si="74"/>
        <v/>
      </c>
      <c r="DB107" s="31" t="str">
        <f t="shared" si="74"/>
        <v/>
      </c>
      <c r="DC107" s="31" t="str">
        <f t="shared" si="74"/>
        <v/>
      </c>
      <c r="DD107" s="31" t="str">
        <f t="shared" si="74"/>
        <v/>
      </c>
    </row>
    <row r="108" spans="1:110" x14ac:dyDescent="0.3">
      <c r="B108" s="75"/>
      <c r="E108" s="16" t="s">
        <v>4</v>
      </c>
      <c r="F108" s="5">
        <f t="shared" ref="F108:BQ108" si="75">F106-F105</f>
        <v>311</v>
      </c>
      <c r="G108" s="5">
        <f t="shared" si="75"/>
        <v>-128</v>
      </c>
      <c r="H108" s="5">
        <f t="shared" si="75"/>
        <v>-194</v>
      </c>
      <c r="I108" s="5">
        <f t="shared" si="75"/>
        <v>-60</v>
      </c>
      <c r="J108" s="5">
        <f t="shared" si="75"/>
        <v>-366</v>
      </c>
      <c r="K108" s="5">
        <f t="shared" si="75"/>
        <v>-318</v>
      </c>
      <c r="L108" s="5">
        <f t="shared" si="75"/>
        <v>-202</v>
      </c>
      <c r="M108" s="5">
        <f t="shared" si="75"/>
        <v>-527</v>
      </c>
      <c r="N108" s="5">
        <f t="shared" si="75"/>
        <v>-548</v>
      </c>
      <c r="O108" s="5">
        <f t="shared" si="75"/>
        <v>-261</v>
      </c>
      <c r="P108" s="5">
        <f t="shared" si="75"/>
        <v>-2209</v>
      </c>
      <c r="Q108" s="5">
        <f t="shared" si="75"/>
        <v>-2364</v>
      </c>
      <c r="R108" s="5">
        <f t="shared" si="75"/>
        <v>-2144</v>
      </c>
      <c r="S108" s="5">
        <f t="shared" si="75"/>
        <v>-1552</v>
      </c>
      <c r="T108" s="5">
        <f t="shared" si="75"/>
        <v>-1000</v>
      </c>
      <c r="U108" s="5">
        <f t="shared" si="75"/>
        <v>-1004</v>
      </c>
      <c r="V108" s="5">
        <f t="shared" si="75"/>
        <v>-105</v>
      </c>
      <c r="W108" s="5">
        <f t="shared" si="75"/>
        <v>-1162</v>
      </c>
      <c r="X108" s="5">
        <f t="shared" si="75"/>
        <v>-1247</v>
      </c>
      <c r="Y108" s="5">
        <f t="shared" si="75"/>
        <v>-480</v>
      </c>
      <c r="Z108" s="5">
        <f t="shared" si="75"/>
        <v>370</v>
      </c>
      <c r="AA108" s="5">
        <f t="shared" si="75"/>
        <v>272</v>
      </c>
      <c r="AB108" s="5">
        <f t="shared" si="75"/>
        <v>8</v>
      </c>
      <c r="AC108" s="5">
        <f t="shared" si="75"/>
        <v>61</v>
      </c>
      <c r="AD108" s="5">
        <f t="shared" si="75"/>
        <v>-338</v>
      </c>
      <c r="AE108" s="5">
        <f t="shared" si="75"/>
        <v>-133</v>
      </c>
      <c r="AF108" s="5">
        <f t="shared" si="75"/>
        <v>-234</v>
      </c>
      <c r="AG108" s="5">
        <f t="shared" si="75"/>
        <v>-105</v>
      </c>
      <c r="AH108" s="5">
        <f t="shared" si="75"/>
        <v>-72</v>
      </c>
      <c r="AI108" s="5">
        <f t="shared" si="75"/>
        <v>-176</v>
      </c>
      <c r="AJ108" s="5">
        <f t="shared" si="75"/>
        <v>-235</v>
      </c>
      <c r="AK108" s="5">
        <f t="shared" si="75"/>
        <v>-667</v>
      </c>
      <c r="AL108" s="5">
        <f t="shared" si="75"/>
        <v>-298</v>
      </c>
      <c r="AM108" s="5">
        <f t="shared" si="75"/>
        <v>-140</v>
      </c>
      <c r="AN108" s="5">
        <f t="shared" si="75"/>
        <v>143</v>
      </c>
      <c r="AO108" s="5">
        <f t="shared" si="75"/>
        <v>270</v>
      </c>
      <c r="AP108" s="5">
        <f t="shared" si="75"/>
        <v>-157.875</v>
      </c>
      <c r="AQ108" s="5">
        <f t="shared" si="75"/>
        <v>268</v>
      </c>
      <c r="AR108" s="5">
        <f t="shared" si="75"/>
        <v>662.25</v>
      </c>
      <c r="AS108" s="5">
        <f t="shared" si="75"/>
        <v>-155</v>
      </c>
      <c r="AT108" s="5">
        <f t="shared" si="75"/>
        <v>366</v>
      </c>
      <c r="AU108" s="5">
        <f t="shared" si="75"/>
        <v>154</v>
      </c>
      <c r="AV108" s="5">
        <f t="shared" si="75"/>
        <v>567</v>
      </c>
      <c r="AW108" s="5">
        <f t="shared" si="75"/>
        <v>144</v>
      </c>
      <c r="AX108" s="5">
        <f t="shared" si="75"/>
        <v>520</v>
      </c>
      <c r="AY108" s="5">
        <f t="shared" si="75"/>
        <v>984</v>
      </c>
      <c r="AZ108" s="5">
        <f t="shared" si="75"/>
        <v>-284</v>
      </c>
      <c r="BA108" s="5">
        <f t="shared" si="75"/>
        <v>-164</v>
      </c>
      <c r="BB108" s="5">
        <f t="shared" si="75"/>
        <v>-46</v>
      </c>
      <c r="BC108" s="5">
        <f t="shared" si="75"/>
        <v>-23</v>
      </c>
      <c r="BD108" s="5">
        <f t="shared" si="75"/>
        <v>-202</v>
      </c>
      <c r="BE108" s="5">
        <f t="shared" si="75"/>
        <v>64</v>
      </c>
      <c r="BF108" s="5">
        <f t="shared" si="75"/>
        <v>-217</v>
      </c>
      <c r="BG108" s="5">
        <f t="shared" si="75"/>
        <v>-421</v>
      </c>
      <c r="BH108" s="5">
        <f t="shared" si="75"/>
        <v>-713</v>
      </c>
      <c r="BI108" s="5">
        <f t="shared" si="75"/>
        <v>-659</v>
      </c>
      <c r="BJ108" s="5">
        <f t="shared" si="75"/>
        <v>-396</v>
      </c>
      <c r="BK108" s="5">
        <f t="shared" si="75"/>
        <v>-189</v>
      </c>
      <c r="BL108" s="5">
        <f t="shared" si="75"/>
        <v>26</v>
      </c>
      <c r="BM108" s="5">
        <f t="shared" si="75"/>
        <v>-1374</v>
      </c>
      <c r="BN108" s="5">
        <f t="shared" si="75"/>
        <v>-1212</v>
      </c>
      <c r="BO108" s="5">
        <f t="shared" si="75"/>
        <v>-718</v>
      </c>
      <c r="BP108" s="5">
        <f t="shared" si="75"/>
        <v>-246</v>
      </c>
      <c r="BQ108" s="5">
        <f t="shared" si="75"/>
        <v>16</v>
      </c>
      <c r="BR108" s="5">
        <f t="shared" ref="BR108:DD108" si="76">BR106-BR105</f>
        <v>15</v>
      </c>
      <c r="BS108" s="5">
        <f t="shared" si="76"/>
        <v>215</v>
      </c>
      <c r="BT108" s="5">
        <f t="shared" si="76"/>
        <v>-565</v>
      </c>
      <c r="BU108" s="5">
        <f t="shared" si="76"/>
        <v>-337</v>
      </c>
      <c r="BV108" s="5">
        <f t="shared" si="76"/>
        <v>474</v>
      </c>
      <c r="BW108" s="5">
        <f t="shared" si="76"/>
        <v>492</v>
      </c>
      <c r="BX108" s="5">
        <f t="shared" si="76"/>
        <v>870</v>
      </c>
      <c r="BY108" s="5">
        <f t="shared" si="76"/>
        <v>420</v>
      </c>
      <c r="BZ108" s="5">
        <f t="shared" si="76"/>
        <v>471</v>
      </c>
      <c r="CA108" s="5">
        <f t="shared" si="76"/>
        <v>613</v>
      </c>
      <c r="CB108" s="5">
        <f t="shared" si="76"/>
        <v>650</v>
      </c>
      <c r="CC108" s="5">
        <f t="shared" si="76"/>
        <v>624</v>
      </c>
      <c r="CD108" s="5">
        <f t="shared" si="76"/>
        <v>768</v>
      </c>
      <c r="CE108" s="5">
        <f t="shared" si="76"/>
        <v>923</v>
      </c>
      <c r="CF108" s="5">
        <f t="shared" si="76"/>
        <v>364</v>
      </c>
      <c r="CG108" s="5">
        <f t="shared" si="76"/>
        <v>281</v>
      </c>
      <c r="CH108" s="5">
        <f t="shared" si="76"/>
        <v>105</v>
      </c>
      <c r="CI108" s="5">
        <f t="shared" si="76"/>
        <v>580</v>
      </c>
      <c r="CJ108" s="5">
        <f t="shared" si="76"/>
        <v>685</v>
      </c>
      <c r="CK108" s="5">
        <f t="shared" si="76"/>
        <v>635</v>
      </c>
      <c r="CL108" s="5">
        <f t="shared" si="76"/>
        <v>773</v>
      </c>
      <c r="CM108" s="5">
        <f t="shared" si="76"/>
        <v>361</v>
      </c>
      <c r="CN108" s="5">
        <f t="shared" si="76"/>
        <v>304</v>
      </c>
      <c r="CO108" s="5">
        <f t="shared" si="76"/>
        <v>660</v>
      </c>
      <c r="CP108" s="5">
        <f t="shared" si="76"/>
        <v>618</v>
      </c>
      <c r="CQ108" s="5">
        <f t="shared" si="76"/>
        <v>665</v>
      </c>
      <c r="CR108" s="5">
        <f t="shared" si="76"/>
        <v>552</v>
      </c>
      <c r="CS108" s="5">
        <f t="shared" si="76"/>
        <v>627</v>
      </c>
      <c r="CT108" s="5">
        <f t="shared" si="76"/>
        <v>264</v>
      </c>
      <c r="CU108" s="5">
        <f t="shared" si="76"/>
        <v>218</v>
      </c>
      <c r="CV108" s="5">
        <f t="shared" si="76"/>
        <v>496</v>
      </c>
      <c r="CW108" s="5">
        <f t="shared" si="76"/>
        <v>460</v>
      </c>
      <c r="CX108" s="5">
        <f t="shared" si="76"/>
        <v>564</v>
      </c>
      <c r="CY108" s="5">
        <f t="shared" si="76"/>
        <v>1256</v>
      </c>
      <c r="CZ108" s="5">
        <f t="shared" si="76"/>
        <v>1256</v>
      </c>
      <c r="DA108" s="5">
        <f t="shared" si="76"/>
        <v>1256</v>
      </c>
      <c r="DB108" s="5">
        <f t="shared" si="76"/>
        <v>1256</v>
      </c>
      <c r="DC108" s="5">
        <f t="shared" si="76"/>
        <v>1256</v>
      </c>
      <c r="DD108" s="5">
        <f t="shared" si="76"/>
        <v>1256</v>
      </c>
    </row>
    <row r="109" spans="1:110" x14ac:dyDescent="0.3">
      <c r="B109" s="75"/>
      <c r="E109" s="50" t="s">
        <v>66</v>
      </c>
      <c r="F109" s="3">
        <f t="shared" ref="F109:BQ109" si="77">F15-F58</f>
        <v>0</v>
      </c>
      <c r="G109" s="3">
        <f t="shared" si="77"/>
        <v>0</v>
      </c>
      <c r="H109" s="3">
        <f t="shared" si="77"/>
        <v>0</v>
      </c>
      <c r="I109" s="3">
        <f t="shared" si="77"/>
        <v>0</v>
      </c>
      <c r="J109" s="3">
        <f t="shared" si="77"/>
        <v>0</v>
      </c>
      <c r="K109" s="56">
        <f t="shared" si="77"/>
        <v>447</v>
      </c>
      <c r="L109" s="56">
        <f t="shared" si="77"/>
        <v>553</v>
      </c>
      <c r="M109" s="56">
        <f t="shared" si="77"/>
        <v>600</v>
      </c>
      <c r="N109" s="56">
        <f t="shared" si="77"/>
        <v>920</v>
      </c>
      <c r="O109" s="56">
        <f t="shared" si="77"/>
        <v>1101</v>
      </c>
      <c r="P109" s="56">
        <f t="shared" si="77"/>
        <v>1317</v>
      </c>
      <c r="Q109" s="56">
        <f t="shared" si="77"/>
        <v>2097</v>
      </c>
      <c r="R109" s="56">
        <f t="shared" si="77"/>
        <v>1707</v>
      </c>
      <c r="S109" s="56">
        <f t="shared" si="77"/>
        <v>2256</v>
      </c>
      <c r="T109" s="56">
        <f t="shared" si="77"/>
        <v>2424</v>
      </c>
      <c r="U109" s="56">
        <f t="shared" si="77"/>
        <v>2848</v>
      </c>
      <c r="V109" s="56">
        <f t="shared" si="77"/>
        <v>3365</v>
      </c>
      <c r="W109" s="56">
        <f t="shared" si="77"/>
        <v>3267</v>
      </c>
      <c r="X109" s="56">
        <f t="shared" si="77"/>
        <v>3081</v>
      </c>
      <c r="Y109" s="56">
        <f t="shared" si="77"/>
        <v>2873</v>
      </c>
      <c r="Z109" s="56">
        <f t="shared" si="77"/>
        <v>2944</v>
      </c>
      <c r="AA109" s="56">
        <f t="shared" si="77"/>
        <v>2669</v>
      </c>
      <c r="AB109" s="56">
        <f t="shared" si="77"/>
        <v>2324</v>
      </c>
      <c r="AC109" s="56">
        <f t="shared" si="77"/>
        <v>2524</v>
      </c>
      <c r="AD109" s="56">
        <f t="shared" si="77"/>
        <v>2048</v>
      </c>
      <c r="AE109" s="56">
        <f t="shared" si="77"/>
        <v>2200</v>
      </c>
      <c r="AF109" s="56">
        <f t="shared" si="77"/>
        <v>2182</v>
      </c>
      <c r="AG109" s="56">
        <f t="shared" si="77"/>
        <v>2290</v>
      </c>
      <c r="AH109" s="56">
        <f t="shared" si="77"/>
        <v>2069</v>
      </c>
      <c r="AI109" s="56">
        <f t="shared" si="77"/>
        <v>2261</v>
      </c>
      <c r="AJ109" s="56">
        <f t="shared" si="77"/>
        <v>2421</v>
      </c>
      <c r="AK109" s="3">
        <f t="shared" si="77"/>
        <v>3200</v>
      </c>
      <c r="AL109" s="3">
        <f t="shared" si="77"/>
        <v>3871</v>
      </c>
      <c r="AM109" s="3">
        <f t="shared" si="77"/>
        <v>3893</v>
      </c>
      <c r="AN109" s="3">
        <f t="shared" si="77"/>
        <v>3518</v>
      </c>
      <c r="AO109" s="3">
        <f t="shared" si="77"/>
        <v>3644</v>
      </c>
      <c r="AP109" s="3">
        <f t="shared" si="77"/>
        <v>3646</v>
      </c>
      <c r="AQ109" s="3">
        <f t="shared" si="77"/>
        <v>3568</v>
      </c>
      <c r="AR109" s="3">
        <f t="shared" si="77"/>
        <v>3364</v>
      </c>
      <c r="AS109" s="3">
        <f t="shared" si="77"/>
        <v>2768</v>
      </c>
      <c r="AT109" s="3">
        <f t="shared" si="77"/>
        <v>2945</v>
      </c>
      <c r="AU109" s="3">
        <f t="shared" si="77"/>
        <v>2188</v>
      </c>
      <c r="AV109" s="3">
        <f t="shared" si="77"/>
        <v>1551</v>
      </c>
      <c r="AW109" s="3">
        <f t="shared" si="77"/>
        <v>1295</v>
      </c>
      <c r="AX109" s="3">
        <f t="shared" si="77"/>
        <v>1224</v>
      </c>
      <c r="AY109" s="3">
        <f t="shared" si="77"/>
        <v>616</v>
      </c>
      <c r="AZ109" s="3">
        <f t="shared" si="77"/>
        <v>261</v>
      </c>
      <c r="BA109" s="3">
        <f t="shared" si="77"/>
        <v>606</v>
      </c>
      <c r="BB109" s="3">
        <f t="shared" si="77"/>
        <v>777</v>
      </c>
      <c r="BC109" s="3">
        <f t="shared" si="77"/>
        <v>886</v>
      </c>
      <c r="BD109" s="3">
        <f t="shared" si="77"/>
        <v>1107</v>
      </c>
      <c r="BE109" s="3">
        <f t="shared" si="77"/>
        <v>1256</v>
      </c>
      <c r="BF109" s="3">
        <f t="shared" si="77"/>
        <v>1010</v>
      </c>
      <c r="BG109" s="3">
        <f t="shared" si="77"/>
        <v>1208</v>
      </c>
      <c r="BH109" s="3">
        <f t="shared" si="77"/>
        <v>1447</v>
      </c>
      <c r="BI109" s="3">
        <f t="shared" si="77"/>
        <v>1647</v>
      </c>
      <c r="BJ109" s="3">
        <f t="shared" si="77"/>
        <v>1793</v>
      </c>
      <c r="BK109" s="3">
        <f t="shared" si="77"/>
        <v>1562</v>
      </c>
      <c r="BL109" s="3">
        <f t="shared" si="77"/>
        <v>1700</v>
      </c>
      <c r="BM109" s="3">
        <f t="shared" si="77"/>
        <v>1784</v>
      </c>
      <c r="BN109" s="3">
        <f t="shared" si="77"/>
        <v>2016</v>
      </c>
      <c r="BO109" s="3">
        <f t="shared" si="77"/>
        <v>1989</v>
      </c>
      <c r="BP109" s="3">
        <f t="shared" si="77"/>
        <v>1823</v>
      </c>
      <c r="BQ109" s="3">
        <f t="shared" si="77"/>
        <v>1400</v>
      </c>
      <c r="BR109" s="3">
        <f t="shared" ref="BR109:DD109" si="78">BR15-BR58</f>
        <v>1046</v>
      </c>
      <c r="BS109" s="3">
        <f t="shared" si="78"/>
        <v>779</v>
      </c>
      <c r="BT109" s="3">
        <f t="shared" si="78"/>
        <v>640</v>
      </c>
      <c r="BU109" s="3">
        <f t="shared" si="78"/>
        <v>342</v>
      </c>
      <c r="BV109" s="3">
        <f t="shared" si="78"/>
        <v>102</v>
      </c>
      <c r="BW109" s="3">
        <f t="shared" si="78"/>
        <v>179</v>
      </c>
      <c r="BX109" s="3">
        <f t="shared" si="78"/>
        <v>201</v>
      </c>
      <c r="BY109" s="3">
        <f t="shared" si="78"/>
        <v>203</v>
      </c>
      <c r="BZ109" s="3">
        <f t="shared" si="78"/>
        <v>324</v>
      </c>
      <c r="CA109" s="3">
        <f t="shared" si="78"/>
        <v>179</v>
      </c>
      <c r="CB109" s="3">
        <f t="shared" si="78"/>
        <v>169</v>
      </c>
      <c r="CC109" s="3">
        <f t="shared" si="78"/>
        <v>179</v>
      </c>
      <c r="CD109" s="3">
        <f t="shared" si="78"/>
        <v>163</v>
      </c>
      <c r="CE109" s="3">
        <f t="shared" si="78"/>
        <v>58</v>
      </c>
      <c r="CF109" s="3">
        <f t="shared" si="78"/>
        <v>67</v>
      </c>
      <c r="CG109" s="3">
        <f t="shared" si="78"/>
        <v>41</v>
      </c>
      <c r="CH109" s="3">
        <f t="shared" si="78"/>
        <v>80</v>
      </c>
      <c r="CI109" s="3">
        <f t="shared" si="78"/>
        <v>99</v>
      </c>
      <c r="CJ109" s="3">
        <f t="shared" si="78"/>
        <v>165</v>
      </c>
      <c r="CK109" s="3">
        <f t="shared" si="78"/>
        <v>33</v>
      </c>
      <c r="CL109" s="3">
        <f t="shared" si="78"/>
        <v>84</v>
      </c>
      <c r="CM109" s="3">
        <f t="shared" si="78"/>
        <v>19</v>
      </c>
      <c r="CN109" s="3">
        <f t="shared" si="78"/>
        <v>43</v>
      </c>
      <c r="CO109" s="3">
        <f t="shared" si="78"/>
        <v>16</v>
      </c>
      <c r="CP109" s="3">
        <f t="shared" si="78"/>
        <v>70</v>
      </c>
      <c r="CQ109" s="3">
        <f t="shared" si="78"/>
        <v>93</v>
      </c>
      <c r="CR109" s="3">
        <f t="shared" si="78"/>
        <v>35</v>
      </c>
      <c r="CS109" s="3">
        <f t="shared" si="78"/>
        <v>71</v>
      </c>
      <c r="CT109" s="3">
        <f t="shared" si="78"/>
        <v>71</v>
      </c>
      <c r="CU109" s="3">
        <f t="shared" si="78"/>
        <v>39</v>
      </c>
      <c r="CV109" s="3">
        <f t="shared" si="78"/>
        <v>48</v>
      </c>
      <c r="CW109" s="3">
        <f t="shared" si="78"/>
        <v>80</v>
      </c>
      <c r="CX109" s="3">
        <f t="shared" si="78"/>
        <v>184</v>
      </c>
      <c r="CY109" s="3">
        <f t="shared" si="78"/>
        <v>194</v>
      </c>
      <c r="CZ109" s="3">
        <f t="shared" si="78"/>
        <v>0</v>
      </c>
      <c r="DA109" s="3">
        <f t="shared" si="78"/>
        <v>0</v>
      </c>
      <c r="DB109" s="3">
        <f t="shared" si="78"/>
        <v>0</v>
      </c>
      <c r="DC109" s="3">
        <f t="shared" si="78"/>
        <v>0</v>
      </c>
      <c r="DD109" s="3">
        <f t="shared" si="78"/>
        <v>0</v>
      </c>
    </row>
    <row r="110" spans="1:110" x14ac:dyDescent="0.3">
      <c r="B110" s="75"/>
      <c r="E110" s="50" t="s">
        <v>67</v>
      </c>
      <c r="F110" s="49"/>
      <c r="G110" s="49" t="str">
        <f t="shared" ref="G110:AU110" si="79">IFERROR((G109-F109)/F109,"")</f>
        <v/>
      </c>
      <c r="H110" s="49" t="str">
        <f t="shared" si="79"/>
        <v/>
      </c>
      <c r="I110" s="49" t="str">
        <f t="shared" si="79"/>
        <v/>
      </c>
      <c r="J110" s="49" t="str">
        <f t="shared" si="79"/>
        <v/>
      </c>
      <c r="K110" s="49" t="str">
        <f t="shared" si="79"/>
        <v/>
      </c>
      <c r="L110" s="49">
        <f t="shared" si="79"/>
        <v>0.23713646532438479</v>
      </c>
      <c r="M110" s="49">
        <f t="shared" si="79"/>
        <v>8.4990958408679929E-2</v>
      </c>
      <c r="N110" s="49">
        <f t="shared" si="79"/>
        <v>0.53333333333333333</v>
      </c>
      <c r="O110" s="49">
        <f t="shared" si="79"/>
        <v>0.19673913043478261</v>
      </c>
      <c r="P110" s="49">
        <f t="shared" si="79"/>
        <v>0.19618528610354224</v>
      </c>
      <c r="Q110" s="49">
        <f t="shared" si="79"/>
        <v>0.592255125284738</v>
      </c>
      <c r="R110" s="49">
        <f t="shared" si="79"/>
        <v>-0.1859799713876967</v>
      </c>
      <c r="S110" s="49">
        <f t="shared" si="79"/>
        <v>0.32161687170474518</v>
      </c>
      <c r="T110" s="49">
        <f t="shared" si="79"/>
        <v>7.4468085106382975E-2</v>
      </c>
      <c r="U110" s="49">
        <f t="shared" si="79"/>
        <v>0.17491749174917492</v>
      </c>
      <c r="V110" s="49">
        <f t="shared" si="79"/>
        <v>0.1815308988764045</v>
      </c>
      <c r="W110" s="49">
        <f t="shared" si="79"/>
        <v>-2.912332838038633E-2</v>
      </c>
      <c r="X110" s="49">
        <f t="shared" si="79"/>
        <v>-5.6932966023875112E-2</v>
      </c>
      <c r="Y110" s="49">
        <f t="shared" si="79"/>
        <v>-6.7510548523206745E-2</v>
      </c>
      <c r="Z110" s="49">
        <f t="shared" si="79"/>
        <v>2.4712843717368604E-2</v>
      </c>
      <c r="AA110" s="49">
        <f t="shared" si="79"/>
        <v>-9.3410326086956527E-2</v>
      </c>
      <c r="AB110" s="49">
        <f t="shared" si="79"/>
        <v>-0.12926189584113901</v>
      </c>
      <c r="AC110" s="49">
        <f t="shared" si="79"/>
        <v>8.6058519793459548E-2</v>
      </c>
      <c r="AD110" s="49">
        <f t="shared" si="79"/>
        <v>-0.18858954041204437</v>
      </c>
      <c r="AE110" s="49">
        <f t="shared" si="79"/>
        <v>7.421875E-2</v>
      </c>
      <c r="AF110" s="49">
        <f t="shared" si="79"/>
        <v>-8.1818181818181825E-3</v>
      </c>
      <c r="AG110" s="49">
        <f t="shared" si="79"/>
        <v>4.9495875343721359E-2</v>
      </c>
      <c r="AH110" s="49">
        <f t="shared" si="79"/>
        <v>-9.6506550218340606E-2</v>
      </c>
      <c r="AI110" s="49">
        <f t="shared" si="79"/>
        <v>9.2798453359110675E-2</v>
      </c>
      <c r="AJ110" s="49">
        <f t="shared" si="79"/>
        <v>7.0765148164528974E-2</v>
      </c>
      <c r="AK110" s="49">
        <f t="shared" si="79"/>
        <v>0.32176786451879391</v>
      </c>
      <c r="AL110" s="49">
        <f t="shared" si="79"/>
        <v>0.2096875</v>
      </c>
      <c r="AM110" s="49">
        <f t="shared" si="79"/>
        <v>5.6832859726168947E-3</v>
      </c>
      <c r="AN110" s="49">
        <f t="shared" si="79"/>
        <v>-9.6326740303108144E-2</v>
      </c>
      <c r="AO110" s="49">
        <f t="shared" si="79"/>
        <v>3.5815804434337691E-2</v>
      </c>
      <c r="AP110" s="49">
        <f t="shared" si="79"/>
        <v>5.4884742041712406E-4</v>
      </c>
      <c r="AQ110" s="49">
        <f t="shared" si="79"/>
        <v>-2.1393307734503566E-2</v>
      </c>
      <c r="AR110" s="49">
        <f t="shared" si="79"/>
        <v>-5.717488789237668E-2</v>
      </c>
      <c r="AS110" s="49">
        <f t="shared" si="79"/>
        <v>-0.17717003567181927</v>
      </c>
      <c r="AT110" s="49">
        <f t="shared" si="79"/>
        <v>6.3945086705202311E-2</v>
      </c>
      <c r="AU110" s="49">
        <f t="shared" si="79"/>
        <v>-0.25704584040747031</v>
      </c>
      <c r="AV110" s="49">
        <f>IFERROR((AV109-AR109)/AR109,"")</f>
        <v>-0.53894173602853745</v>
      </c>
      <c r="AW110" s="49">
        <f>IFERROR((AW109-AS109)/AS109,"")</f>
        <v>-0.53215317919075145</v>
      </c>
      <c r="AX110" s="49">
        <f>IFERROR((AX109-AT109)/AT109,"")</f>
        <v>-0.58438030560271648</v>
      </c>
      <c r="AY110" s="49">
        <f>IFERROR((AY109-AR109)/AR109,"")</f>
        <v>-0.81688466111771696</v>
      </c>
      <c r="AZ110" s="49">
        <f>IFERROR((AZ109-AS109)/AS109,"")</f>
        <v>-0.90570809248554918</v>
      </c>
      <c r="BA110" s="49">
        <f>IFERROR((BA109-AT109)/AT109,"")</f>
        <v>-0.79422750424448219</v>
      </c>
      <c r="BB110" s="49">
        <f>IFERROR((BB109-AR109)/AR109,"")</f>
        <v>-0.76902497027348393</v>
      </c>
      <c r="BC110" s="49">
        <f>IFERROR((BC109-AS109)/AS109,"")</f>
        <v>-0.67991329479768781</v>
      </c>
      <c r="BD110" s="49">
        <f>IFERROR((BD109-AT109)/AT109,"")</f>
        <v>-0.6241086587436333</v>
      </c>
      <c r="BE110" s="49">
        <f>IFERROR((BE109-AS109)/AS109,"")</f>
        <v>-0.54624277456647397</v>
      </c>
      <c r="BF110" s="49">
        <f>IFERROR((BF109-AT109)/AT109,"")</f>
        <v>-0.65704584040747027</v>
      </c>
      <c r="BG110" s="49">
        <f>IFERROR((BG109-AS109)/AS109,"")</f>
        <v>-0.56358381502890176</v>
      </c>
      <c r="BH110" s="49">
        <f>IFERROR((BH109-AT109)/AT109,"")</f>
        <v>-0.50865874363327679</v>
      </c>
      <c r="BI110" s="49">
        <f>IFERROR((BI109-AS109)/AS109,"")</f>
        <v>-0.40498554913294799</v>
      </c>
      <c r="BJ110" s="49">
        <f>IFERROR((BJ109-AT109)/AT109,"")</f>
        <v>-0.39117147707979627</v>
      </c>
      <c r="BK110" s="49">
        <f t="shared" ref="BK110:BO110" si="80">IFERROR((BK109-AP109)/AP109,"")</f>
        <v>-0.57158529895776189</v>
      </c>
      <c r="BL110" s="49">
        <f t="shared" si="80"/>
        <v>-0.523542600896861</v>
      </c>
      <c r="BM110" s="49">
        <f t="shared" si="80"/>
        <v>-0.46967895362663498</v>
      </c>
      <c r="BN110" s="49">
        <f t="shared" si="80"/>
        <v>-0.27167630057803466</v>
      </c>
      <c r="BO110" s="49">
        <f t="shared" si="80"/>
        <v>-0.32461799660441426</v>
      </c>
      <c r="BP110" s="49">
        <f>IFERROR((BP109-AS109)/AS109,"")</f>
        <v>-0.34140173410404623</v>
      </c>
      <c r="BQ110" s="49">
        <f>IFERROR((BQ109-AT109)/AT109,"")</f>
        <v>-0.52461799660441422</v>
      </c>
      <c r="BR110" s="49">
        <f>IFERROR((BR109-AS109)/AS109,"")</f>
        <v>-0.62210982658959535</v>
      </c>
      <c r="BS110" s="49">
        <f>IFERROR((BS109-AT109)/AT109,"")</f>
        <v>-0.73548387096774193</v>
      </c>
      <c r="BT110" s="49">
        <f>IFERROR((BT109-AT109)/AT109,"")</f>
        <v>-0.78268251273344647</v>
      </c>
      <c r="BU110" s="49">
        <f>IFERROR((BU109-AR109)/AR109,"")</f>
        <v>-0.89833531510107012</v>
      </c>
      <c r="BV110" s="49">
        <f>IFERROR((BV109-AS109)/AS109,"")</f>
        <v>-0.96315028901734101</v>
      </c>
      <c r="BW110" s="49">
        <f>IFERROR((BW109-AT109)/AT109,"")</f>
        <v>-0.93921901528013585</v>
      </c>
      <c r="BX110" s="49">
        <f>IFERROR((BX109-AT109)/AT109,"")</f>
        <v>-0.93174872665534803</v>
      </c>
      <c r="BY110" s="49">
        <f>IFERROR((BY109-AR109)/AR109,"")</f>
        <v>-0.93965517241379315</v>
      </c>
      <c r="BZ110" s="49">
        <f>IFERROR((BZ109-AS109)/AS109,"")</f>
        <v>-0.88294797687861271</v>
      </c>
      <c r="CA110" s="49">
        <f>IFERROR((CA109-AT109)/AT109,"")</f>
        <v>-0.93921901528013585</v>
      </c>
      <c r="CB110" s="49">
        <f>IFERROR((CB109-AT109)/AT109,"")</f>
        <v>-0.94261460101867567</v>
      </c>
      <c r="CC110" s="49">
        <f>IFERROR((CC109-AS109)/AS109,"")</f>
        <v>-0.93533236994219648</v>
      </c>
      <c r="CD110" s="49">
        <f>IFERROR((CD109-AT109)/AT109,"")</f>
        <v>-0.94465195246179967</v>
      </c>
      <c r="CE110" s="49">
        <f>IFERROR((CE109-AR109)/AR109,"")</f>
        <v>-0.98275862068965514</v>
      </c>
      <c r="CF110" s="49">
        <f>IFERROR((CF109-AS109)/AS109,"")</f>
        <v>-0.97579479768786126</v>
      </c>
      <c r="CG110" s="49">
        <f>IFERROR((CG109-AT109)/AT109,"")</f>
        <v>-0.98607809847198646</v>
      </c>
      <c r="CH110" s="49">
        <f>IFERROR((CH109-AR109)/AR109,"")</f>
        <v>-0.97621878715814503</v>
      </c>
      <c r="CI110" s="49">
        <f>IFERROR((CI109-AS109)/AS109,"")</f>
        <v>-0.96423410404624277</v>
      </c>
      <c r="CJ110" s="49">
        <f>IFERROR((CJ109-AT109)/AT109,"")</f>
        <v>-0.94397283531409171</v>
      </c>
      <c r="CK110" s="49">
        <f>IFERROR((CK109-AT109)/AT109,"")</f>
        <v>-0.98879456706281832</v>
      </c>
      <c r="CL110" s="49">
        <f>IFERROR((CL109-AS109)/AS109,"")</f>
        <v>-0.96965317919075145</v>
      </c>
      <c r="CM110" s="49">
        <f>IFERROR((CM109-AT109)/AT109,"")</f>
        <v>-0.99354838709677418</v>
      </c>
      <c r="CN110" s="49">
        <f>IFERROR((CN109-AU109)/AU109,"")</f>
        <v>-0.98034734917733091</v>
      </c>
      <c r="CO110" s="49">
        <f t="shared" ref="CO110" si="81">IFERROR((CO109-CM109)/CM109,"")</f>
        <v>-0.15789473684210525</v>
      </c>
      <c r="CP110" s="49">
        <f>IFERROR((CP109-CK109)/CK109,"")</f>
        <v>1.1212121212121211</v>
      </c>
      <c r="CQ110" s="49">
        <f>IFERROR((CQ109-CL109)/CL109,"")</f>
        <v>0.10714285714285714</v>
      </c>
      <c r="CR110" s="49">
        <f>IFERROR((CR109-CK109)/CK109,"")</f>
        <v>6.0606060606060608E-2</v>
      </c>
      <c r="CS110" s="49">
        <f>IFERROR((CS109-CL109)/CL109,"")</f>
        <v>-0.15476190476190477</v>
      </c>
      <c r="CT110" s="49">
        <f>IFERROR((CT109-CK109)/CK109,"")</f>
        <v>1.1515151515151516</v>
      </c>
      <c r="CU110" s="49">
        <f>IFERROR((CU109-CL109)/CL109,"")</f>
        <v>-0.5357142857142857</v>
      </c>
      <c r="CV110" s="49">
        <f>IFERROR((CV109-CK109)/CK109,"")</f>
        <v>0.45454545454545453</v>
      </c>
      <c r="CW110" s="49">
        <f>IFERROR((CW109-CL109)/CL109,"")</f>
        <v>-4.7619047619047616E-2</v>
      </c>
      <c r="CX110" s="49">
        <f>IFERROR((CX109-CK109)/CK109,"")</f>
        <v>4.5757575757575761</v>
      </c>
      <c r="CY110" s="49">
        <f>IFERROR((CY109-CL109)/CL109,"")</f>
        <v>1.3095238095238095</v>
      </c>
      <c r="CZ110" s="49">
        <f>IFERROR((CZ109-CJ109)/CJ109,"")</f>
        <v>-1</v>
      </c>
      <c r="DA110" s="49">
        <f>IFERROR((DA109-CK109)/CK109,"")</f>
        <v>-1</v>
      </c>
      <c r="DB110" s="49">
        <f>IFERROR((DB109-CL109)/CL109,"")</f>
        <v>-1</v>
      </c>
      <c r="DC110" s="49">
        <f>IFERROR((DC109-CM109)/CM109,"")</f>
        <v>-1</v>
      </c>
      <c r="DD110" s="49">
        <f>IFERROR((DD109-CN109)/CN109,"")</f>
        <v>-1</v>
      </c>
    </row>
    <row r="111" spans="1:110" x14ac:dyDescent="0.3">
      <c r="B111" s="75"/>
      <c r="E111" s="52" t="s">
        <v>69</v>
      </c>
      <c r="F111" s="53">
        <f t="shared" ref="F111:AW111" si="82">F17-F60</f>
        <v>964</v>
      </c>
      <c r="G111" s="53">
        <f t="shared" si="82"/>
        <v>685</v>
      </c>
      <c r="H111" s="53">
        <f t="shared" si="82"/>
        <v>647</v>
      </c>
      <c r="I111" s="53">
        <f t="shared" si="82"/>
        <v>1247</v>
      </c>
      <c r="J111" s="53">
        <f t="shared" si="82"/>
        <v>1691</v>
      </c>
      <c r="K111" s="53">
        <f t="shared" si="82"/>
        <v>1684</v>
      </c>
      <c r="L111" s="53">
        <f t="shared" si="82"/>
        <v>1488</v>
      </c>
      <c r="M111" s="53">
        <f t="shared" si="82"/>
        <v>1666</v>
      </c>
      <c r="N111" s="53">
        <f t="shared" si="82"/>
        <v>1209</v>
      </c>
      <c r="O111" s="53">
        <f t="shared" si="82"/>
        <v>781</v>
      </c>
      <c r="P111" s="53">
        <f t="shared" si="82"/>
        <v>3558</v>
      </c>
      <c r="Q111" s="53">
        <f t="shared" si="82"/>
        <v>3124</v>
      </c>
      <c r="R111" s="53">
        <f t="shared" si="82"/>
        <v>3237</v>
      </c>
      <c r="S111" s="53">
        <f t="shared" si="82"/>
        <v>2599</v>
      </c>
      <c r="T111" s="53">
        <f t="shared" si="82"/>
        <v>2239</v>
      </c>
      <c r="U111" s="53">
        <f t="shared" si="82"/>
        <v>1439</v>
      </c>
      <c r="V111" s="53">
        <f t="shared" si="82"/>
        <v>469</v>
      </c>
      <c r="W111" s="53">
        <f t="shared" si="82"/>
        <v>1555</v>
      </c>
      <c r="X111" s="53">
        <f t="shared" si="82"/>
        <v>1539</v>
      </c>
      <c r="Y111" s="53">
        <f t="shared" si="82"/>
        <v>1592</v>
      </c>
      <c r="Z111" s="53">
        <f t="shared" si="82"/>
        <v>1519</v>
      </c>
      <c r="AA111" s="53">
        <f t="shared" si="82"/>
        <v>1577</v>
      </c>
      <c r="AB111" s="53">
        <f t="shared" si="82"/>
        <v>1073</v>
      </c>
      <c r="AC111" s="53">
        <f t="shared" si="82"/>
        <v>821</v>
      </c>
      <c r="AD111" s="53">
        <f t="shared" si="82"/>
        <v>1049</v>
      </c>
      <c r="AE111" s="53">
        <f t="shared" si="82"/>
        <v>1016</v>
      </c>
      <c r="AF111" s="53">
        <f t="shared" si="82"/>
        <v>1722</v>
      </c>
      <c r="AG111" s="53">
        <f t="shared" si="82"/>
        <v>1708</v>
      </c>
      <c r="AH111" s="53">
        <f t="shared" si="82"/>
        <v>1636</v>
      </c>
      <c r="AI111" s="53">
        <f t="shared" si="82"/>
        <v>1056</v>
      </c>
      <c r="AJ111" s="53">
        <f t="shared" si="82"/>
        <v>845</v>
      </c>
      <c r="AK111" s="53">
        <f t="shared" si="82"/>
        <v>2042</v>
      </c>
      <c r="AL111" s="53">
        <f t="shared" si="82"/>
        <v>2441</v>
      </c>
      <c r="AM111" s="53">
        <f t="shared" si="82"/>
        <v>2165</v>
      </c>
      <c r="AN111" s="53">
        <f t="shared" si="82"/>
        <v>1997</v>
      </c>
      <c r="AO111" s="53">
        <f t="shared" si="82"/>
        <v>1799</v>
      </c>
      <c r="AP111" s="53">
        <f t="shared" si="82"/>
        <v>923</v>
      </c>
      <c r="AQ111" s="53">
        <f t="shared" si="82"/>
        <v>520</v>
      </c>
      <c r="AR111" s="53">
        <f t="shared" si="82"/>
        <v>527</v>
      </c>
      <c r="AS111" s="53">
        <f t="shared" si="82"/>
        <v>1707</v>
      </c>
      <c r="AT111" s="53">
        <f t="shared" si="82"/>
        <v>1448</v>
      </c>
      <c r="AU111" s="53">
        <f t="shared" si="82"/>
        <v>1381</v>
      </c>
      <c r="AV111" s="53">
        <f t="shared" si="82"/>
        <v>1288</v>
      </c>
      <c r="AW111" s="53">
        <f t="shared" si="82"/>
        <v>759</v>
      </c>
      <c r="AX111" s="53">
        <f>AX17-AX60</f>
        <v>411</v>
      </c>
      <c r="AY111" s="53">
        <f>AY17-AY60</f>
        <v>346</v>
      </c>
      <c r="AZ111" s="53">
        <f>AZ17-AZ60</f>
        <v>2169</v>
      </c>
      <c r="BA111" s="53">
        <f>BA17-BA60</f>
        <v>1887</v>
      </c>
      <c r="BB111" s="53">
        <f>BB17-BB60</f>
        <v>1602</v>
      </c>
      <c r="BC111" s="53">
        <f t="shared" ref="BC111:DD111" si="83">BC17-BC60</f>
        <v>1462</v>
      </c>
      <c r="BD111" s="53">
        <f t="shared" si="83"/>
        <v>902</v>
      </c>
      <c r="BE111" s="53">
        <f t="shared" si="83"/>
        <v>479</v>
      </c>
      <c r="BF111" s="53">
        <f t="shared" si="83"/>
        <v>1879</v>
      </c>
      <c r="BG111" s="53">
        <f t="shared" si="83"/>
        <v>1541</v>
      </c>
      <c r="BH111" s="53">
        <f t="shared" si="83"/>
        <v>2065</v>
      </c>
      <c r="BI111" s="53">
        <f t="shared" si="83"/>
        <v>2042</v>
      </c>
      <c r="BJ111" s="53">
        <f t="shared" si="83"/>
        <v>1962</v>
      </c>
      <c r="BK111" s="53">
        <f t="shared" si="83"/>
        <v>1101</v>
      </c>
      <c r="BL111" s="53">
        <f t="shared" si="83"/>
        <v>696</v>
      </c>
      <c r="BM111" s="53">
        <f t="shared" si="83"/>
        <v>2230</v>
      </c>
      <c r="BN111" s="53">
        <f t="shared" si="83"/>
        <v>2097</v>
      </c>
      <c r="BO111" s="53">
        <f t="shared" si="83"/>
        <v>2339</v>
      </c>
      <c r="BP111" s="53">
        <f t="shared" si="83"/>
        <v>2042</v>
      </c>
      <c r="BQ111" s="53">
        <f t="shared" si="83"/>
        <v>2023</v>
      </c>
      <c r="BR111" s="53">
        <f t="shared" si="83"/>
        <v>1201</v>
      </c>
      <c r="BS111" s="53">
        <f t="shared" si="83"/>
        <v>727</v>
      </c>
      <c r="BT111" s="53">
        <f t="shared" si="83"/>
        <v>2603</v>
      </c>
      <c r="BU111" s="53">
        <f t="shared" si="83"/>
        <v>2227</v>
      </c>
      <c r="BV111" s="53">
        <f t="shared" si="83"/>
        <v>1673</v>
      </c>
      <c r="BW111" s="53">
        <f t="shared" si="83"/>
        <v>1578</v>
      </c>
      <c r="BX111" s="53">
        <f t="shared" si="83"/>
        <v>1414</v>
      </c>
      <c r="BY111" s="53">
        <f t="shared" si="83"/>
        <v>695</v>
      </c>
      <c r="BZ111" s="53">
        <f t="shared" si="83"/>
        <v>485</v>
      </c>
      <c r="CA111" s="53">
        <f t="shared" si="83"/>
        <v>1343</v>
      </c>
      <c r="CB111" s="53">
        <f t="shared" si="83"/>
        <v>1268</v>
      </c>
      <c r="CC111" s="53">
        <f t="shared" si="83"/>
        <v>1118</v>
      </c>
      <c r="CD111" s="53">
        <f t="shared" si="83"/>
        <v>1032</v>
      </c>
      <c r="CE111" s="53">
        <f t="shared" si="83"/>
        <v>943</v>
      </c>
      <c r="CF111" s="53">
        <f t="shared" si="83"/>
        <v>508</v>
      </c>
      <c r="CG111" s="53">
        <f t="shared" si="83"/>
        <v>346</v>
      </c>
      <c r="CH111" s="53">
        <f t="shared" si="83"/>
        <v>404</v>
      </c>
      <c r="CI111" s="53">
        <f t="shared" si="83"/>
        <v>948</v>
      </c>
      <c r="CJ111" s="53">
        <f t="shared" si="83"/>
        <v>827</v>
      </c>
      <c r="CK111" s="53">
        <f t="shared" si="83"/>
        <v>777</v>
      </c>
      <c r="CL111" s="53">
        <f t="shared" si="83"/>
        <v>726</v>
      </c>
      <c r="CM111" s="53">
        <f t="shared" si="83"/>
        <v>420</v>
      </c>
      <c r="CN111" s="53">
        <f t="shared" si="83"/>
        <v>272</v>
      </c>
      <c r="CO111" s="53">
        <f t="shared" si="83"/>
        <v>834</v>
      </c>
      <c r="CP111" s="53">
        <f t="shared" si="83"/>
        <v>743</v>
      </c>
      <c r="CQ111" s="53">
        <f t="shared" si="83"/>
        <v>706</v>
      </c>
      <c r="CR111" s="53">
        <f t="shared" si="83"/>
        <v>664</v>
      </c>
      <c r="CS111" s="53">
        <f t="shared" si="83"/>
        <v>584</v>
      </c>
      <c r="CT111" s="53">
        <f t="shared" si="83"/>
        <v>368</v>
      </c>
      <c r="CU111" s="53">
        <f t="shared" si="83"/>
        <v>230</v>
      </c>
      <c r="CV111" s="53">
        <f t="shared" si="83"/>
        <v>764</v>
      </c>
      <c r="CW111" s="53">
        <f t="shared" si="83"/>
        <v>703</v>
      </c>
      <c r="CX111" s="53">
        <f t="shared" si="83"/>
        <v>692</v>
      </c>
      <c r="CY111" s="53">
        <f t="shared" si="83"/>
        <v>656</v>
      </c>
      <c r="CZ111" s="53">
        <f t="shared" si="83"/>
        <v>555</v>
      </c>
      <c r="DA111" s="53">
        <f t="shared" si="83"/>
        <v>346</v>
      </c>
      <c r="DB111" s="53">
        <f t="shared" si="83"/>
        <v>241</v>
      </c>
      <c r="DC111" s="53">
        <f t="shared" si="83"/>
        <v>0</v>
      </c>
      <c r="DD111" s="53">
        <f t="shared" si="83"/>
        <v>0</v>
      </c>
    </row>
    <row r="112" spans="1:110" x14ac:dyDescent="0.3">
      <c r="B112" s="75"/>
      <c r="E112" s="51" t="s">
        <v>68</v>
      </c>
      <c r="F112" s="3">
        <f t="shared" ref="F112:BQ112" si="84">F111+F109</f>
        <v>964</v>
      </c>
      <c r="G112" s="3">
        <f t="shared" si="84"/>
        <v>685</v>
      </c>
      <c r="H112" s="3">
        <f t="shared" si="84"/>
        <v>647</v>
      </c>
      <c r="I112" s="3">
        <f t="shared" si="84"/>
        <v>1247</v>
      </c>
      <c r="J112" s="3">
        <f t="shared" si="84"/>
        <v>1691</v>
      </c>
      <c r="K112" s="3">
        <f t="shared" si="84"/>
        <v>2131</v>
      </c>
      <c r="L112" s="3">
        <f t="shared" si="84"/>
        <v>2041</v>
      </c>
      <c r="M112" s="3">
        <f t="shared" si="84"/>
        <v>2266</v>
      </c>
      <c r="N112" s="3">
        <f t="shared" si="84"/>
        <v>2129</v>
      </c>
      <c r="O112" s="3">
        <f t="shared" si="84"/>
        <v>1882</v>
      </c>
      <c r="P112" s="3">
        <f t="shared" si="84"/>
        <v>4875</v>
      </c>
      <c r="Q112" s="3">
        <f t="shared" si="84"/>
        <v>5221</v>
      </c>
      <c r="R112" s="3">
        <f t="shared" si="84"/>
        <v>4944</v>
      </c>
      <c r="S112" s="3">
        <f t="shared" si="84"/>
        <v>4855</v>
      </c>
      <c r="T112" s="3">
        <f t="shared" si="84"/>
        <v>4663</v>
      </c>
      <c r="U112" s="3">
        <f t="shared" si="84"/>
        <v>4287</v>
      </c>
      <c r="V112" s="3">
        <f t="shared" si="84"/>
        <v>3834</v>
      </c>
      <c r="W112" s="3">
        <f t="shared" si="84"/>
        <v>4822</v>
      </c>
      <c r="X112" s="3">
        <f t="shared" si="84"/>
        <v>4620</v>
      </c>
      <c r="Y112" s="3">
        <f t="shared" si="84"/>
        <v>4465</v>
      </c>
      <c r="Z112" s="3">
        <f t="shared" si="84"/>
        <v>4463</v>
      </c>
      <c r="AA112" s="3">
        <f t="shared" si="84"/>
        <v>4246</v>
      </c>
      <c r="AB112" s="3">
        <f t="shared" si="84"/>
        <v>3397</v>
      </c>
      <c r="AC112" s="3">
        <f t="shared" si="84"/>
        <v>3345</v>
      </c>
      <c r="AD112" s="3">
        <f t="shared" si="84"/>
        <v>3097</v>
      </c>
      <c r="AE112" s="3">
        <f t="shared" si="84"/>
        <v>3216</v>
      </c>
      <c r="AF112" s="3">
        <f t="shared" si="84"/>
        <v>3904</v>
      </c>
      <c r="AG112" s="3">
        <f t="shared" si="84"/>
        <v>3998</v>
      </c>
      <c r="AH112" s="3">
        <f t="shared" si="84"/>
        <v>3705</v>
      </c>
      <c r="AI112" s="3">
        <f t="shared" si="84"/>
        <v>3317</v>
      </c>
      <c r="AJ112" s="3">
        <f t="shared" si="84"/>
        <v>3266</v>
      </c>
      <c r="AK112" s="3">
        <f t="shared" si="84"/>
        <v>5242</v>
      </c>
      <c r="AL112" s="3">
        <f t="shared" si="84"/>
        <v>6312</v>
      </c>
      <c r="AM112" s="3">
        <f t="shared" si="84"/>
        <v>6058</v>
      </c>
      <c r="AN112" s="3">
        <f t="shared" si="84"/>
        <v>5515</v>
      </c>
      <c r="AO112" s="3">
        <f t="shared" si="84"/>
        <v>5443</v>
      </c>
      <c r="AP112" s="3">
        <f t="shared" si="84"/>
        <v>4569</v>
      </c>
      <c r="AQ112" s="3">
        <f t="shared" si="84"/>
        <v>4088</v>
      </c>
      <c r="AR112" s="3">
        <f t="shared" si="84"/>
        <v>3891</v>
      </c>
      <c r="AS112" s="3">
        <f t="shared" si="84"/>
        <v>4475</v>
      </c>
      <c r="AT112" s="3">
        <f t="shared" si="84"/>
        <v>4393</v>
      </c>
      <c r="AU112" s="3">
        <f t="shared" si="84"/>
        <v>3569</v>
      </c>
      <c r="AV112" s="3">
        <f t="shared" si="84"/>
        <v>2839</v>
      </c>
      <c r="AW112" s="3">
        <f t="shared" si="84"/>
        <v>2054</v>
      </c>
      <c r="AX112" s="3">
        <f t="shared" si="84"/>
        <v>1635</v>
      </c>
      <c r="AY112" s="3">
        <f t="shared" si="84"/>
        <v>962</v>
      </c>
      <c r="AZ112" s="3">
        <f t="shared" si="84"/>
        <v>2430</v>
      </c>
      <c r="BA112" s="3">
        <f t="shared" si="84"/>
        <v>2493</v>
      </c>
      <c r="BB112" s="3">
        <f t="shared" si="84"/>
        <v>2379</v>
      </c>
      <c r="BC112" s="3">
        <f t="shared" si="84"/>
        <v>2348</v>
      </c>
      <c r="BD112" s="3">
        <f t="shared" si="84"/>
        <v>2009</v>
      </c>
      <c r="BE112" s="3">
        <f t="shared" si="84"/>
        <v>1735</v>
      </c>
      <c r="BF112" s="3">
        <f t="shared" si="84"/>
        <v>2889</v>
      </c>
      <c r="BG112" s="3">
        <f t="shared" si="84"/>
        <v>2749</v>
      </c>
      <c r="BH112" s="3">
        <f t="shared" si="84"/>
        <v>3512</v>
      </c>
      <c r="BI112" s="3">
        <f t="shared" si="84"/>
        <v>3689</v>
      </c>
      <c r="BJ112" s="3">
        <f t="shared" si="84"/>
        <v>3755</v>
      </c>
      <c r="BK112" s="3">
        <f t="shared" si="84"/>
        <v>2663</v>
      </c>
      <c r="BL112" s="3">
        <f t="shared" si="84"/>
        <v>2396</v>
      </c>
      <c r="BM112" s="3">
        <f t="shared" si="84"/>
        <v>4014</v>
      </c>
      <c r="BN112" s="3">
        <f t="shared" si="84"/>
        <v>4113</v>
      </c>
      <c r="BO112" s="3">
        <f t="shared" si="84"/>
        <v>4328</v>
      </c>
      <c r="BP112" s="3">
        <f t="shared" si="84"/>
        <v>3865</v>
      </c>
      <c r="BQ112" s="3">
        <f t="shared" si="84"/>
        <v>3423</v>
      </c>
      <c r="BR112" s="3">
        <f t="shared" ref="BR112:CG112" si="85">BR111+BR109</f>
        <v>2247</v>
      </c>
      <c r="BS112" s="3">
        <f t="shared" si="85"/>
        <v>1506</v>
      </c>
      <c r="BT112" s="3">
        <f t="shared" si="85"/>
        <v>3243</v>
      </c>
      <c r="BU112" s="3">
        <f t="shared" si="85"/>
        <v>2569</v>
      </c>
      <c r="BV112" s="3">
        <f t="shared" si="85"/>
        <v>1775</v>
      </c>
      <c r="BW112" s="3">
        <f t="shared" si="85"/>
        <v>1757</v>
      </c>
      <c r="BX112" s="3">
        <f t="shared" si="85"/>
        <v>1615</v>
      </c>
      <c r="BY112" s="3">
        <f t="shared" si="85"/>
        <v>898</v>
      </c>
      <c r="BZ112" s="3">
        <f t="shared" si="85"/>
        <v>809</v>
      </c>
      <c r="CA112" s="3">
        <f t="shared" si="85"/>
        <v>1522</v>
      </c>
      <c r="CB112" s="3">
        <f t="shared" si="85"/>
        <v>1437</v>
      </c>
      <c r="CC112" s="3">
        <f t="shared" si="85"/>
        <v>1297</v>
      </c>
      <c r="CD112" s="3">
        <f t="shared" si="85"/>
        <v>1195</v>
      </c>
      <c r="CE112" s="3">
        <f t="shared" si="85"/>
        <v>1001</v>
      </c>
      <c r="CF112" s="3">
        <f t="shared" si="85"/>
        <v>575</v>
      </c>
      <c r="CG112" s="3">
        <f t="shared" si="85"/>
        <v>387</v>
      </c>
      <c r="CH112" s="3">
        <f t="shared" ref="CH112:DD112" si="86">CH105+CH109</f>
        <v>525</v>
      </c>
      <c r="CI112" s="3">
        <f t="shared" si="86"/>
        <v>925</v>
      </c>
      <c r="CJ112" s="3">
        <f t="shared" si="86"/>
        <v>886</v>
      </c>
      <c r="CK112" s="3">
        <f t="shared" si="86"/>
        <v>804</v>
      </c>
      <c r="CL112" s="3">
        <f t="shared" si="86"/>
        <v>717</v>
      </c>
      <c r="CM112" s="3">
        <f t="shared" si="86"/>
        <v>418</v>
      </c>
      <c r="CN112" s="3">
        <f t="shared" si="86"/>
        <v>297</v>
      </c>
      <c r="CO112" s="3">
        <f t="shared" si="86"/>
        <v>762</v>
      </c>
      <c r="CP112" s="3">
        <f t="shared" si="86"/>
        <v>858</v>
      </c>
      <c r="CQ112" s="3">
        <f t="shared" si="86"/>
        <v>684</v>
      </c>
      <c r="CR112" s="3">
        <f t="shared" si="86"/>
        <v>739</v>
      </c>
      <c r="CS112" s="3">
        <f t="shared" si="86"/>
        <v>700</v>
      </c>
      <c r="CT112" s="3">
        <f t="shared" si="86"/>
        <v>420</v>
      </c>
      <c r="CU112" s="3">
        <f t="shared" si="86"/>
        <v>300</v>
      </c>
      <c r="CV112" s="3">
        <f t="shared" si="86"/>
        <v>808</v>
      </c>
      <c r="CW112" s="3">
        <f t="shared" si="86"/>
        <v>876</v>
      </c>
      <c r="CX112" s="3">
        <f t="shared" si="86"/>
        <v>876</v>
      </c>
      <c r="CY112" s="3">
        <f t="shared" si="86"/>
        <v>194</v>
      </c>
      <c r="CZ112" s="3">
        <f t="shared" si="86"/>
        <v>0</v>
      </c>
      <c r="DA112" s="3">
        <f t="shared" si="86"/>
        <v>0</v>
      </c>
      <c r="DB112" s="3">
        <f t="shared" si="86"/>
        <v>0</v>
      </c>
      <c r="DC112" s="3">
        <f t="shared" si="86"/>
        <v>0</v>
      </c>
      <c r="DD112" s="3">
        <f t="shared" si="86"/>
        <v>0</v>
      </c>
    </row>
    <row r="113" spans="2:111" ht="15" thickBot="1" x14ac:dyDescent="0.35">
      <c r="B113" s="75"/>
      <c r="C113" s="32"/>
      <c r="D113" s="32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48"/>
      <c r="CI113" s="48"/>
      <c r="CJ113" s="48"/>
      <c r="CK113" s="48"/>
      <c r="CL113" s="48"/>
      <c r="CM113" s="48"/>
      <c r="CN113" s="48"/>
      <c r="CO113" s="48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</row>
    <row r="114" spans="2:111" ht="15" thickBot="1" x14ac:dyDescent="0.35">
      <c r="B114" s="75"/>
      <c r="E114" s="23" t="s">
        <v>5</v>
      </c>
      <c r="F114" s="8">
        <v>320</v>
      </c>
      <c r="G114" s="8">
        <v>588</v>
      </c>
      <c r="H114" s="8">
        <v>603</v>
      </c>
      <c r="I114" s="8">
        <v>918</v>
      </c>
      <c r="J114" s="8">
        <v>1169</v>
      </c>
      <c r="K114" s="8">
        <v>1191</v>
      </c>
      <c r="L114" s="8">
        <v>1298</v>
      </c>
      <c r="M114" s="8">
        <v>1369</v>
      </c>
      <c r="N114" s="8">
        <v>1000</v>
      </c>
      <c r="O114" s="8">
        <v>463</v>
      </c>
      <c r="P114" s="8">
        <v>1214</v>
      </c>
      <c r="Q114" s="8">
        <v>1097</v>
      </c>
      <c r="R114" s="8">
        <v>1187</v>
      </c>
      <c r="S114" s="8">
        <v>1164</v>
      </c>
      <c r="T114" s="8">
        <v>957</v>
      </c>
      <c r="U114" s="8">
        <v>473</v>
      </c>
      <c r="V114" s="8">
        <v>692</v>
      </c>
      <c r="W114" s="8">
        <v>1210</v>
      </c>
      <c r="X114" s="8">
        <v>1143</v>
      </c>
      <c r="Y114" s="8">
        <v>1137</v>
      </c>
      <c r="Z114" s="8">
        <v>1598</v>
      </c>
      <c r="AA114" s="8">
        <v>1759</v>
      </c>
      <c r="AB114" s="8">
        <f t="shared" ref="AB114:CM114" si="87">AB20-AB63</f>
        <v>766</v>
      </c>
      <c r="AC114" s="8">
        <f t="shared" si="87"/>
        <v>1121</v>
      </c>
      <c r="AD114" s="8">
        <f t="shared" si="87"/>
        <v>1808</v>
      </c>
      <c r="AE114" s="8">
        <f t="shared" si="87"/>
        <v>1759</v>
      </c>
      <c r="AF114" s="8">
        <f t="shared" si="87"/>
        <v>1943</v>
      </c>
      <c r="AG114" s="8">
        <f t="shared" si="87"/>
        <v>1790</v>
      </c>
      <c r="AH114" s="8">
        <f t="shared" si="87"/>
        <v>1658</v>
      </c>
      <c r="AI114" s="8">
        <f t="shared" si="87"/>
        <v>906</v>
      </c>
      <c r="AJ114" s="8">
        <f t="shared" si="87"/>
        <v>647</v>
      </c>
      <c r="AK114" s="8">
        <f t="shared" si="87"/>
        <v>1642</v>
      </c>
      <c r="AL114" s="8">
        <f t="shared" si="87"/>
        <v>1627</v>
      </c>
      <c r="AM114" s="8">
        <f t="shared" si="87"/>
        <v>1415</v>
      </c>
      <c r="AN114" s="8">
        <f t="shared" si="87"/>
        <v>1626</v>
      </c>
      <c r="AO114" s="8">
        <f t="shared" si="87"/>
        <v>1636</v>
      </c>
      <c r="AP114" s="8">
        <f t="shared" si="87"/>
        <v>813</v>
      </c>
      <c r="AQ114" s="8">
        <f t="shared" si="87"/>
        <v>834</v>
      </c>
      <c r="AR114" s="8">
        <f t="shared" si="87"/>
        <v>1102</v>
      </c>
      <c r="AS114" s="8">
        <f t="shared" si="87"/>
        <v>1657</v>
      </c>
      <c r="AT114" s="8">
        <f t="shared" si="87"/>
        <v>1870</v>
      </c>
      <c r="AU114" s="8">
        <f t="shared" si="87"/>
        <v>1858</v>
      </c>
      <c r="AV114" s="8">
        <f t="shared" si="87"/>
        <v>1961</v>
      </c>
      <c r="AW114" s="8">
        <f t="shared" si="87"/>
        <v>1008</v>
      </c>
      <c r="AX114" s="8">
        <f t="shared" si="87"/>
        <v>999</v>
      </c>
      <c r="AY114" s="8">
        <f t="shared" si="87"/>
        <v>861</v>
      </c>
      <c r="AZ114" s="8">
        <f t="shared" si="87"/>
        <v>1643</v>
      </c>
      <c r="BA114" s="8">
        <f t="shared" si="87"/>
        <v>1661</v>
      </c>
      <c r="BB114" s="8">
        <f t="shared" si="87"/>
        <v>1578</v>
      </c>
      <c r="BC114" s="8">
        <f t="shared" si="87"/>
        <v>1666</v>
      </c>
      <c r="BD114" s="8">
        <f t="shared" si="87"/>
        <v>841</v>
      </c>
      <c r="BE114" s="8">
        <f t="shared" si="87"/>
        <v>664</v>
      </c>
      <c r="BF114" s="8">
        <f t="shared" si="87"/>
        <v>1636</v>
      </c>
      <c r="BG114" s="8">
        <f t="shared" si="87"/>
        <v>1607</v>
      </c>
      <c r="BH114" s="8">
        <f t="shared" si="87"/>
        <v>1583</v>
      </c>
      <c r="BI114" s="8">
        <f t="shared" si="87"/>
        <v>1661</v>
      </c>
      <c r="BJ114" s="8">
        <f t="shared" si="87"/>
        <v>1454</v>
      </c>
      <c r="BK114" s="8">
        <f t="shared" si="87"/>
        <v>776</v>
      </c>
      <c r="BL114" s="8">
        <f t="shared" si="87"/>
        <v>591</v>
      </c>
      <c r="BM114" s="8">
        <f t="shared" si="87"/>
        <v>1431</v>
      </c>
      <c r="BN114" s="8">
        <f t="shared" si="87"/>
        <v>1476</v>
      </c>
      <c r="BO114" s="8">
        <f t="shared" si="87"/>
        <v>1467</v>
      </c>
      <c r="BP114" s="8">
        <f t="shared" si="87"/>
        <v>1627</v>
      </c>
      <c r="BQ114" s="8">
        <f t="shared" si="87"/>
        <v>1620</v>
      </c>
      <c r="BR114" s="8">
        <f t="shared" si="87"/>
        <v>995</v>
      </c>
      <c r="BS114" s="8">
        <f t="shared" si="87"/>
        <v>624</v>
      </c>
      <c r="BT114" s="8">
        <f t="shared" si="87"/>
        <v>1707</v>
      </c>
      <c r="BU114" s="8">
        <f t="shared" si="87"/>
        <v>1707</v>
      </c>
      <c r="BV114" s="8">
        <f t="shared" si="87"/>
        <v>1509</v>
      </c>
      <c r="BW114" s="8">
        <f t="shared" si="87"/>
        <v>1180</v>
      </c>
      <c r="BX114" s="8">
        <f t="shared" si="87"/>
        <v>1505</v>
      </c>
      <c r="BY114" s="8">
        <f t="shared" si="87"/>
        <v>514</v>
      </c>
      <c r="BZ114" s="8">
        <f t="shared" si="87"/>
        <v>599</v>
      </c>
      <c r="CA114" s="8">
        <f t="shared" si="87"/>
        <v>1243</v>
      </c>
      <c r="CB114" s="8">
        <f t="shared" si="87"/>
        <v>1349</v>
      </c>
      <c r="CC114" s="8">
        <f t="shared" si="87"/>
        <v>1577</v>
      </c>
      <c r="CD114" s="8">
        <f t="shared" si="87"/>
        <v>1275</v>
      </c>
      <c r="CE114" s="8">
        <f t="shared" si="87"/>
        <v>1085</v>
      </c>
      <c r="CF114" s="8">
        <f t="shared" si="87"/>
        <v>645</v>
      </c>
      <c r="CG114" s="8">
        <f t="shared" si="87"/>
        <v>431</v>
      </c>
      <c r="CH114" s="8">
        <f t="shared" si="87"/>
        <v>593</v>
      </c>
      <c r="CI114" s="8">
        <f t="shared" si="87"/>
        <v>1645</v>
      </c>
      <c r="CJ114" s="8">
        <f t="shared" si="87"/>
        <v>1260</v>
      </c>
      <c r="CK114" s="8">
        <f t="shared" si="87"/>
        <v>1358</v>
      </c>
      <c r="CL114" s="8">
        <f t="shared" si="87"/>
        <v>1142</v>
      </c>
      <c r="CM114" s="8">
        <f t="shared" si="87"/>
        <v>664</v>
      </c>
      <c r="CN114" s="8">
        <f t="shared" ref="CN114:DD114" si="88">CN20-CN63</f>
        <v>540</v>
      </c>
      <c r="CO114" s="9">
        <f t="shared" si="88"/>
        <v>1269</v>
      </c>
      <c r="CP114" s="9">
        <f t="shared" si="88"/>
        <v>1329</v>
      </c>
      <c r="CQ114" s="9">
        <f t="shared" si="88"/>
        <v>1311</v>
      </c>
      <c r="CR114" s="9">
        <f t="shared" si="88"/>
        <v>1129</v>
      </c>
      <c r="CS114" s="9">
        <f t="shared" si="88"/>
        <v>1138</v>
      </c>
      <c r="CT114" s="9">
        <f t="shared" si="88"/>
        <v>580</v>
      </c>
      <c r="CU114" s="9">
        <f t="shared" si="88"/>
        <v>611</v>
      </c>
      <c r="CV114" s="9">
        <f t="shared" si="88"/>
        <v>1282</v>
      </c>
      <c r="CW114" s="9">
        <f t="shared" si="88"/>
        <v>1304</v>
      </c>
      <c r="CX114" s="9">
        <f t="shared" si="88"/>
        <v>1438</v>
      </c>
      <c r="CY114" s="9">
        <f t="shared" si="88"/>
        <v>0</v>
      </c>
      <c r="CZ114" s="9">
        <f t="shared" si="88"/>
        <v>0</v>
      </c>
      <c r="DA114" s="9">
        <f t="shared" si="88"/>
        <v>0</v>
      </c>
      <c r="DB114" s="9">
        <f t="shared" si="88"/>
        <v>0</v>
      </c>
      <c r="DC114" s="9">
        <f t="shared" si="88"/>
        <v>0</v>
      </c>
      <c r="DD114" s="9">
        <f t="shared" si="88"/>
        <v>0</v>
      </c>
      <c r="DE114" s="29">
        <f>SUM(F114:DD114)</f>
        <v>117377</v>
      </c>
      <c r="DF114" s="33">
        <f>DE114-DE105</f>
        <v>-9026</v>
      </c>
    </row>
    <row r="115" spans="2:111" x14ac:dyDescent="0.3">
      <c r="B115" s="75"/>
      <c r="I115" s="22"/>
      <c r="J115" s="22"/>
      <c r="K115" s="22"/>
      <c r="L115" s="22"/>
      <c r="M115" s="22"/>
      <c r="N115" s="22"/>
      <c r="O115" s="22"/>
    </row>
    <row r="116" spans="2:111" x14ac:dyDescent="0.3">
      <c r="B116" s="75"/>
      <c r="E116" s="37" t="s">
        <v>17</v>
      </c>
      <c r="I116" s="22"/>
      <c r="J116" s="22"/>
      <c r="K116" s="22"/>
      <c r="L116" s="22"/>
      <c r="M116" s="22"/>
      <c r="N116" s="22"/>
      <c r="O116" s="22"/>
      <c r="DE116" s="76" t="s">
        <v>34</v>
      </c>
      <c r="DF116" s="76"/>
      <c r="DG116" s="76"/>
    </row>
    <row r="117" spans="2:111" ht="20.399999999999999" customHeight="1" outlineLevel="1" x14ac:dyDescent="0.3">
      <c r="B117" s="75"/>
      <c r="E117" s="38" t="s">
        <v>24</v>
      </c>
      <c r="F117" s="39">
        <v>102</v>
      </c>
      <c r="G117" s="39">
        <v>98</v>
      </c>
      <c r="H117" s="39">
        <v>72</v>
      </c>
      <c r="I117" s="39">
        <v>81</v>
      </c>
      <c r="J117" s="39">
        <v>96</v>
      </c>
      <c r="K117" s="39">
        <v>79</v>
      </c>
      <c r="L117" s="39">
        <v>87</v>
      </c>
      <c r="M117" s="39">
        <v>119</v>
      </c>
      <c r="N117" s="39">
        <v>95</v>
      </c>
      <c r="O117" s="39">
        <v>61</v>
      </c>
      <c r="P117" s="39">
        <v>374</v>
      </c>
      <c r="Q117" s="39">
        <v>262</v>
      </c>
      <c r="R117" s="39">
        <v>345</v>
      </c>
      <c r="S117" s="39">
        <v>401</v>
      </c>
      <c r="T117" s="39">
        <v>290</v>
      </c>
      <c r="U117" s="39">
        <v>177</v>
      </c>
      <c r="V117" s="39">
        <v>78</v>
      </c>
      <c r="W117" s="39">
        <v>290</v>
      </c>
      <c r="X117" s="39">
        <v>332</v>
      </c>
      <c r="Y117" s="39">
        <v>194</v>
      </c>
      <c r="Z117" s="39">
        <v>148</v>
      </c>
      <c r="AA117" s="39">
        <v>148</v>
      </c>
      <c r="AB117" s="39">
        <v>116</v>
      </c>
      <c r="AC117" s="39">
        <v>98</v>
      </c>
      <c r="AD117" s="39">
        <v>133</v>
      </c>
      <c r="AE117" s="39">
        <v>170</v>
      </c>
      <c r="AF117" s="39">
        <v>154</v>
      </c>
      <c r="AG117" s="39">
        <v>147</v>
      </c>
      <c r="AH117" s="39">
        <v>157</v>
      </c>
      <c r="AI117" s="39">
        <v>106</v>
      </c>
      <c r="AJ117" s="39">
        <v>93</v>
      </c>
      <c r="AK117" s="39">
        <v>223</v>
      </c>
      <c r="AL117" s="39">
        <v>216</v>
      </c>
      <c r="AM117" s="39">
        <v>237</v>
      </c>
      <c r="AN117" s="39">
        <v>218</v>
      </c>
      <c r="AO117" s="39">
        <v>156</v>
      </c>
      <c r="AP117" s="39">
        <v>136</v>
      </c>
      <c r="AQ117" s="39">
        <v>35</v>
      </c>
      <c r="AR117" s="39">
        <v>40</v>
      </c>
      <c r="AS117" s="39">
        <v>154</v>
      </c>
      <c r="AT117" s="39">
        <v>163</v>
      </c>
      <c r="AU117" s="39">
        <v>171</v>
      </c>
      <c r="AV117" s="39">
        <v>133</v>
      </c>
      <c r="AW117" s="39">
        <v>94</v>
      </c>
      <c r="AX117" s="39">
        <v>27</v>
      </c>
      <c r="AY117" s="39">
        <v>29</v>
      </c>
      <c r="AZ117" s="39">
        <v>116</v>
      </c>
      <c r="BA117" s="39">
        <v>98</v>
      </c>
      <c r="BB117" s="39">
        <v>130</v>
      </c>
      <c r="BC117" s="39">
        <v>78</v>
      </c>
      <c r="BD117" s="39">
        <v>64</v>
      </c>
      <c r="BE117" s="39">
        <v>36</v>
      </c>
      <c r="BF117" s="39">
        <v>90</v>
      </c>
      <c r="BG117" s="39">
        <v>92</v>
      </c>
      <c r="BH117" s="39">
        <v>78</v>
      </c>
      <c r="BI117" s="39">
        <v>61</v>
      </c>
      <c r="BJ117" s="39">
        <v>69</v>
      </c>
      <c r="BK117" s="39">
        <v>44</v>
      </c>
      <c r="BL117" s="39">
        <v>22</v>
      </c>
      <c r="BM117" s="39">
        <v>93</v>
      </c>
      <c r="BN117" s="39">
        <v>104</v>
      </c>
      <c r="BO117" s="39">
        <v>67</v>
      </c>
      <c r="BP117" s="39">
        <v>72</v>
      </c>
      <c r="BQ117" s="39">
        <v>79</v>
      </c>
      <c r="BR117" s="39">
        <v>23</v>
      </c>
      <c r="BS117" s="39">
        <v>20</v>
      </c>
      <c r="BT117" s="39">
        <v>74</v>
      </c>
      <c r="BU117" s="39">
        <v>75</v>
      </c>
      <c r="BV117" s="39">
        <v>62</v>
      </c>
      <c r="BW117" s="39">
        <v>43</v>
      </c>
      <c r="BX117" s="39">
        <v>43</v>
      </c>
      <c r="BY117" s="39">
        <v>31</v>
      </c>
      <c r="BZ117" s="39">
        <v>13</v>
      </c>
      <c r="CA117" s="39">
        <v>48</v>
      </c>
      <c r="CB117" s="39">
        <v>57</v>
      </c>
      <c r="CC117" s="39">
        <v>54</v>
      </c>
      <c r="CD117" s="39">
        <v>41</v>
      </c>
      <c r="CE117" s="39">
        <v>26</v>
      </c>
      <c r="CF117" s="39">
        <v>25</v>
      </c>
      <c r="CG117" s="39">
        <v>7</v>
      </c>
      <c r="CH117" s="39">
        <v>15</v>
      </c>
      <c r="CI117" s="39">
        <v>72</v>
      </c>
      <c r="CJ117" s="39">
        <v>35</v>
      </c>
      <c r="CK117" s="39">
        <v>39</v>
      </c>
      <c r="CL117" s="39">
        <v>36</v>
      </c>
      <c r="CM117" s="39">
        <v>21</v>
      </c>
      <c r="CN117" s="39">
        <v>25</v>
      </c>
      <c r="CO117" s="39">
        <v>49</v>
      </c>
      <c r="CP117" s="39">
        <v>36</v>
      </c>
      <c r="CQ117" s="39">
        <v>39</v>
      </c>
      <c r="CR117" s="39">
        <v>42</v>
      </c>
      <c r="CS117" s="39">
        <v>19</v>
      </c>
      <c r="CT117" s="39">
        <v>12</v>
      </c>
      <c r="CU117" s="39">
        <v>13</v>
      </c>
      <c r="CV117" s="39">
        <v>33</v>
      </c>
      <c r="CW117" s="39">
        <v>29</v>
      </c>
      <c r="CX117" s="39">
        <v>35</v>
      </c>
      <c r="CY117" s="39"/>
      <c r="CZ117" s="39"/>
      <c r="DA117" s="39"/>
      <c r="DB117" s="39"/>
      <c r="DC117" s="39"/>
      <c r="DD117" s="39"/>
      <c r="DE117" s="84"/>
      <c r="DF117" s="84"/>
      <c r="DG117" s="84"/>
    </row>
    <row r="118" spans="2:111" ht="20.399999999999999" customHeight="1" outlineLevel="1" x14ac:dyDescent="0.3">
      <c r="B118" s="75"/>
      <c r="E118" s="43" t="s">
        <v>25</v>
      </c>
      <c r="F118" s="44">
        <v>188</v>
      </c>
      <c r="G118" s="44">
        <v>148</v>
      </c>
      <c r="H118" s="44">
        <v>150</v>
      </c>
      <c r="I118" s="44">
        <v>141</v>
      </c>
      <c r="J118" s="44">
        <v>196</v>
      </c>
      <c r="K118" s="44">
        <v>173</v>
      </c>
      <c r="L118" s="44">
        <v>248</v>
      </c>
      <c r="M118" s="44">
        <v>220</v>
      </c>
      <c r="N118" s="44">
        <v>179</v>
      </c>
      <c r="O118" s="44">
        <v>150</v>
      </c>
      <c r="P118" s="44">
        <v>690</v>
      </c>
      <c r="Q118" s="44">
        <v>429</v>
      </c>
      <c r="R118" s="44">
        <v>474</v>
      </c>
      <c r="S118" s="44">
        <v>356</v>
      </c>
      <c r="T118" s="44">
        <v>314</v>
      </c>
      <c r="U118" s="44">
        <v>588</v>
      </c>
      <c r="V118" s="44">
        <v>215</v>
      </c>
      <c r="W118" s="44">
        <v>500</v>
      </c>
      <c r="X118" s="44">
        <v>516</v>
      </c>
      <c r="Y118" s="44">
        <v>427</v>
      </c>
      <c r="Z118" s="44">
        <v>353</v>
      </c>
      <c r="AA118" s="44">
        <v>469</v>
      </c>
      <c r="AB118" s="44">
        <v>302</v>
      </c>
      <c r="AC118" s="44">
        <v>321</v>
      </c>
      <c r="AD118" s="44">
        <v>696</v>
      </c>
      <c r="AE118" s="44">
        <v>614</v>
      </c>
      <c r="AF118" s="44">
        <v>746</v>
      </c>
      <c r="AG118" s="44">
        <v>570</v>
      </c>
      <c r="AH118" s="44">
        <v>447</v>
      </c>
      <c r="AI118" s="44">
        <v>210</v>
      </c>
      <c r="AJ118" s="44">
        <v>204</v>
      </c>
      <c r="AK118" s="44">
        <v>604</v>
      </c>
      <c r="AL118" s="44">
        <v>413</v>
      </c>
      <c r="AM118" s="44">
        <v>412</v>
      </c>
      <c r="AN118" s="44">
        <v>395</v>
      </c>
      <c r="AO118" s="44">
        <v>324</v>
      </c>
      <c r="AP118" s="44">
        <v>185</v>
      </c>
      <c r="AQ118" s="44">
        <v>105</v>
      </c>
      <c r="AR118" s="44">
        <v>93</v>
      </c>
      <c r="AS118" s="44">
        <v>608</v>
      </c>
      <c r="AT118" s="44">
        <v>296</v>
      </c>
      <c r="AU118" s="44">
        <v>423</v>
      </c>
      <c r="AV118" s="44">
        <v>293</v>
      </c>
      <c r="AW118" s="44">
        <v>239</v>
      </c>
      <c r="AX118" s="44">
        <v>112</v>
      </c>
      <c r="AY118" s="44">
        <v>105</v>
      </c>
      <c r="AZ118" s="44">
        <v>288</v>
      </c>
      <c r="BA118" s="44">
        <v>317</v>
      </c>
      <c r="BB118" s="44">
        <v>264</v>
      </c>
      <c r="BC118" s="44">
        <v>261</v>
      </c>
      <c r="BD118" s="44">
        <v>150</v>
      </c>
      <c r="BE118" s="44">
        <v>120</v>
      </c>
      <c r="BF118" s="44">
        <v>286</v>
      </c>
      <c r="BG118" s="44">
        <v>399</v>
      </c>
      <c r="BH118" s="44">
        <v>557</v>
      </c>
      <c r="BI118" s="44">
        <v>528</v>
      </c>
      <c r="BJ118" s="44">
        <v>409</v>
      </c>
      <c r="BK118" s="44">
        <v>243</v>
      </c>
      <c r="BL118" s="44">
        <v>140</v>
      </c>
      <c r="BM118" s="44">
        <v>483</v>
      </c>
      <c r="BN118" s="44">
        <v>437</v>
      </c>
      <c r="BO118" s="44">
        <v>353</v>
      </c>
      <c r="BP118" s="44">
        <v>305</v>
      </c>
      <c r="BQ118" s="44">
        <v>223</v>
      </c>
      <c r="BR118" s="44">
        <v>134</v>
      </c>
      <c r="BS118" s="44">
        <v>100</v>
      </c>
      <c r="BT118" s="44">
        <v>232</v>
      </c>
      <c r="BU118" s="44">
        <v>254</v>
      </c>
      <c r="BV118" s="44">
        <v>147</v>
      </c>
      <c r="BW118" s="44">
        <v>144</v>
      </c>
      <c r="BX118" s="44">
        <v>121</v>
      </c>
      <c r="BY118" s="44">
        <v>101</v>
      </c>
      <c r="BZ118" s="44">
        <v>72</v>
      </c>
      <c r="CA118" s="44">
        <v>104</v>
      </c>
      <c r="CB118" s="44">
        <v>102</v>
      </c>
      <c r="CC118" s="44">
        <v>110</v>
      </c>
      <c r="CD118" s="44">
        <v>85</v>
      </c>
      <c r="CE118" s="44">
        <v>75</v>
      </c>
      <c r="CF118" s="44">
        <v>43</v>
      </c>
      <c r="CG118" s="44">
        <v>31</v>
      </c>
      <c r="CH118" s="44">
        <v>24</v>
      </c>
      <c r="CI118" s="44">
        <v>58</v>
      </c>
      <c r="CJ118" s="44">
        <v>52</v>
      </c>
      <c r="CK118" s="44">
        <v>52</v>
      </c>
      <c r="CL118" s="44">
        <v>32</v>
      </c>
      <c r="CM118" s="44">
        <v>33</v>
      </c>
      <c r="CN118" s="44">
        <v>16</v>
      </c>
      <c r="CO118" s="44">
        <v>46</v>
      </c>
      <c r="CP118" s="44">
        <v>42</v>
      </c>
      <c r="CQ118" s="44">
        <v>25</v>
      </c>
      <c r="CR118" s="44">
        <v>42</v>
      </c>
      <c r="CS118" s="44">
        <v>37</v>
      </c>
      <c r="CT118" s="44">
        <v>57</v>
      </c>
      <c r="CU118" s="44">
        <v>42</v>
      </c>
      <c r="CV118" s="44">
        <v>65</v>
      </c>
      <c r="CW118" s="44">
        <v>57</v>
      </c>
      <c r="CX118" s="44">
        <v>65</v>
      </c>
      <c r="CY118" s="44"/>
      <c r="CZ118" s="44"/>
      <c r="DA118" s="44"/>
      <c r="DB118" s="44"/>
      <c r="DC118" s="44"/>
      <c r="DD118" s="44"/>
      <c r="DE118" s="82"/>
      <c r="DF118" s="82"/>
      <c r="DG118" s="82"/>
    </row>
    <row r="119" spans="2:111" ht="20.399999999999999" customHeight="1" outlineLevel="1" x14ac:dyDescent="0.3">
      <c r="B119" s="75"/>
      <c r="E119" s="38" t="s">
        <v>26</v>
      </c>
      <c r="F119" s="39">
        <v>133</v>
      </c>
      <c r="G119" s="39">
        <v>110</v>
      </c>
      <c r="H119" s="39">
        <v>80</v>
      </c>
      <c r="I119" s="39">
        <v>86</v>
      </c>
      <c r="J119" s="39">
        <v>90</v>
      </c>
      <c r="K119" s="39">
        <v>111</v>
      </c>
      <c r="L119" s="39">
        <v>86</v>
      </c>
      <c r="M119" s="39">
        <v>159</v>
      </c>
      <c r="N119" s="39">
        <v>87</v>
      </c>
      <c r="O119" s="39">
        <v>75</v>
      </c>
      <c r="P119" s="39">
        <v>551</v>
      </c>
      <c r="Q119" s="39">
        <v>555</v>
      </c>
      <c r="R119" s="39">
        <v>493</v>
      </c>
      <c r="S119" s="39">
        <v>341</v>
      </c>
      <c r="T119" s="39">
        <v>247</v>
      </c>
      <c r="U119" s="39">
        <v>120</v>
      </c>
      <c r="V119" s="39">
        <v>87</v>
      </c>
      <c r="W119" s="39">
        <v>281</v>
      </c>
      <c r="X119" s="39">
        <v>241</v>
      </c>
      <c r="Y119" s="39">
        <v>116</v>
      </c>
      <c r="Z119" s="39">
        <v>76</v>
      </c>
      <c r="AA119" s="39">
        <v>82</v>
      </c>
      <c r="AB119" s="39">
        <v>64</v>
      </c>
      <c r="AC119" s="39">
        <v>49</v>
      </c>
      <c r="AD119" s="39">
        <v>130</v>
      </c>
      <c r="AE119" s="39">
        <v>133</v>
      </c>
      <c r="AF119" s="39">
        <v>144</v>
      </c>
      <c r="AG119" s="39">
        <v>220</v>
      </c>
      <c r="AH119" s="39">
        <v>373</v>
      </c>
      <c r="AI119" s="39">
        <v>225</v>
      </c>
      <c r="AJ119" s="39">
        <v>227</v>
      </c>
      <c r="AK119" s="39">
        <v>506</v>
      </c>
      <c r="AL119" s="39">
        <v>490</v>
      </c>
      <c r="AM119" s="39">
        <v>372</v>
      </c>
      <c r="AN119" s="39">
        <v>235</v>
      </c>
      <c r="AO119" s="39">
        <v>192</v>
      </c>
      <c r="AP119" s="39">
        <v>132</v>
      </c>
      <c r="AQ119" s="39">
        <v>65</v>
      </c>
      <c r="AR119" s="39">
        <v>54</v>
      </c>
      <c r="AS119" s="39">
        <v>258</v>
      </c>
      <c r="AT119" s="39">
        <v>224</v>
      </c>
      <c r="AU119" s="39">
        <v>218</v>
      </c>
      <c r="AV119" s="39">
        <v>179</v>
      </c>
      <c r="AW119" s="39">
        <v>100</v>
      </c>
      <c r="AX119" s="39">
        <v>62</v>
      </c>
      <c r="AY119" s="39">
        <v>45</v>
      </c>
      <c r="AZ119" s="39">
        <v>228</v>
      </c>
      <c r="BA119" s="39">
        <v>213</v>
      </c>
      <c r="BB119" s="39">
        <v>179</v>
      </c>
      <c r="BC119" s="39">
        <v>181</v>
      </c>
      <c r="BD119" s="39">
        <v>81</v>
      </c>
      <c r="BE119" s="39">
        <v>95</v>
      </c>
      <c r="BF119" s="39">
        <v>241</v>
      </c>
      <c r="BG119" s="39">
        <v>175</v>
      </c>
      <c r="BH119" s="39">
        <v>157</v>
      </c>
      <c r="BI119" s="39">
        <v>170</v>
      </c>
      <c r="BJ119" s="39">
        <v>142</v>
      </c>
      <c r="BK119" s="39">
        <v>93</v>
      </c>
      <c r="BL119" s="39">
        <v>83</v>
      </c>
      <c r="BM119" s="39">
        <v>216</v>
      </c>
      <c r="BN119" s="39">
        <v>201</v>
      </c>
      <c r="BO119" s="39">
        <v>206</v>
      </c>
      <c r="BP119" s="39">
        <v>205</v>
      </c>
      <c r="BQ119" s="39">
        <v>200</v>
      </c>
      <c r="BR119" s="39">
        <v>117</v>
      </c>
      <c r="BS119" s="39">
        <v>89</v>
      </c>
      <c r="BT119" s="39">
        <v>260</v>
      </c>
      <c r="BU119" s="39">
        <v>204</v>
      </c>
      <c r="BV119" s="39">
        <v>196</v>
      </c>
      <c r="BW119" s="39">
        <v>201</v>
      </c>
      <c r="BX119" s="39">
        <v>173</v>
      </c>
      <c r="BY119" s="39">
        <v>117</v>
      </c>
      <c r="BZ119" s="39">
        <v>58</v>
      </c>
      <c r="CA119" s="39">
        <v>136</v>
      </c>
      <c r="CB119" s="39">
        <v>160</v>
      </c>
      <c r="CC119" s="39">
        <v>123</v>
      </c>
      <c r="CD119" s="39">
        <v>147</v>
      </c>
      <c r="CE119" s="39">
        <v>81</v>
      </c>
      <c r="CF119" s="39">
        <v>68</v>
      </c>
      <c r="CG119" s="39">
        <v>58</v>
      </c>
      <c r="CH119" s="39">
        <v>63</v>
      </c>
      <c r="CI119" s="39">
        <v>93</v>
      </c>
      <c r="CJ119" s="39">
        <v>71</v>
      </c>
      <c r="CK119" s="39">
        <v>96</v>
      </c>
      <c r="CL119" s="39">
        <v>67</v>
      </c>
      <c r="CM119" s="39">
        <v>53</v>
      </c>
      <c r="CN119" s="39">
        <v>41</v>
      </c>
      <c r="CO119" s="39">
        <v>69</v>
      </c>
      <c r="CP119" s="39">
        <v>112</v>
      </c>
      <c r="CQ119" s="39">
        <v>53</v>
      </c>
      <c r="CR119" s="39">
        <v>75</v>
      </c>
      <c r="CS119" s="39">
        <v>82</v>
      </c>
      <c r="CT119" s="39">
        <v>28</v>
      </c>
      <c r="CU119" s="39">
        <v>27</v>
      </c>
      <c r="CV119" s="39">
        <v>64</v>
      </c>
      <c r="CW119" s="39">
        <v>79</v>
      </c>
      <c r="CX119" s="39">
        <v>70</v>
      </c>
      <c r="CY119" s="39"/>
      <c r="CZ119" s="39"/>
      <c r="DA119" s="39"/>
      <c r="DB119" s="39"/>
      <c r="DC119" s="39"/>
      <c r="DD119" s="39"/>
      <c r="DE119" s="82"/>
      <c r="DF119" s="82"/>
      <c r="DG119" s="82"/>
    </row>
    <row r="120" spans="2:111" ht="20.399999999999999" customHeight="1" outlineLevel="1" x14ac:dyDescent="0.3">
      <c r="B120" s="75"/>
      <c r="E120" s="43" t="s">
        <v>27</v>
      </c>
      <c r="F120" s="44">
        <v>145</v>
      </c>
      <c r="G120" s="44">
        <v>103</v>
      </c>
      <c r="H120" s="44">
        <v>168</v>
      </c>
      <c r="I120" s="44">
        <v>173</v>
      </c>
      <c r="J120" s="44">
        <v>198</v>
      </c>
      <c r="K120" s="44">
        <v>199</v>
      </c>
      <c r="L120" s="44">
        <v>251</v>
      </c>
      <c r="M120" s="44">
        <v>297</v>
      </c>
      <c r="N120" s="44">
        <v>175</v>
      </c>
      <c r="O120" s="44">
        <v>142</v>
      </c>
      <c r="P120" s="44">
        <v>851</v>
      </c>
      <c r="Q120" s="44">
        <v>668</v>
      </c>
      <c r="R120" s="44">
        <v>654</v>
      </c>
      <c r="S120" s="44">
        <v>511</v>
      </c>
      <c r="T120" s="44">
        <v>530</v>
      </c>
      <c r="U120" s="44">
        <v>345</v>
      </c>
      <c r="V120" s="44">
        <v>168</v>
      </c>
      <c r="W120" s="44">
        <v>443</v>
      </c>
      <c r="X120" s="44">
        <v>504</v>
      </c>
      <c r="Y120" s="44">
        <v>442</v>
      </c>
      <c r="Z120" s="44">
        <v>326</v>
      </c>
      <c r="AA120" s="44">
        <v>300</v>
      </c>
      <c r="AB120" s="44">
        <v>176</v>
      </c>
      <c r="AC120" s="44">
        <v>129</v>
      </c>
      <c r="AD120" s="44">
        <v>459</v>
      </c>
      <c r="AE120" s="44">
        <v>424</v>
      </c>
      <c r="AF120" s="44">
        <v>343</v>
      </c>
      <c r="AG120" s="44">
        <v>397</v>
      </c>
      <c r="AH120" s="44">
        <v>338</v>
      </c>
      <c r="AI120" s="44">
        <v>219</v>
      </c>
      <c r="AJ120" s="44">
        <v>150</v>
      </c>
      <c r="AK120" s="44">
        <v>511</v>
      </c>
      <c r="AL120" s="44">
        <v>430</v>
      </c>
      <c r="AM120" s="44">
        <v>305</v>
      </c>
      <c r="AN120" s="44">
        <v>264</v>
      </c>
      <c r="AO120" s="44">
        <v>301</v>
      </c>
      <c r="AP120" s="44">
        <v>173</v>
      </c>
      <c r="AQ120" s="44">
        <v>110</v>
      </c>
      <c r="AR120" s="44">
        <v>107</v>
      </c>
      <c r="AS120" s="44">
        <v>294</v>
      </c>
      <c r="AT120" s="44">
        <v>253</v>
      </c>
      <c r="AU120" s="44">
        <v>247</v>
      </c>
      <c r="AV120" s="44">
        <v>186</v>
      </c>
      <c r="AW120" s="44">
        <v>114</v>
      </c>
      <c r="AX120" s="44">
        <v>66</v>
      </c>
      <c r="AY120" s="44">
        <v>48</v>
      </c>
      <c r="AZ120" s="44">
        <v>245</v>
      </c>
      <c r="BA120" s="44">
        <v>229</v>
      </c>
      <c r="BB120" s="44">
        <v>211</v>
      </c>
      <c r="BC120" s="44">
        <v>218</v>
      </c>
      <c r="BD120" s="44">
        <v>120</v>
      </c>
      <c r="BE120" s="44">
        <v>101</v>
      </c>
      <c r="BF120" s="44">
        <v>234</v>
      </c>
      <c r="BG120" s="44">
        <v>183</v>
      </c>
      <c r="BH120" s="44">
        <v>244</v>
      </c>
      <c r="BI120" s="44">
        <v>238</v>
      </c>
      <c r="BJ120" s="44">
        <v>157</v>
      </c>
      <c r="BK120" s="44">
        <v>105</v>
      </c>
      <c r="BL120" s="44">
        <v>78</v>
      </c>
      <c r="BM120" s="44">
        <v>194</v>
      </c>
      <c r="BN120" s="44">
        <v>182</v>
      </c>
      <c r="BO120" s="44">
        <v>153</v>
      </c>
      <c r="BP120" s="44">
        <v>117</v>
      </c>
      <c r="BQ120" s="44">
        <v>99</v>
      </c>
      <c r="BR120" s="44">
        <v>74</v>
      </c>
      <c r="BS120" s="44">
        <v>53</v>
      </c>
      <c r="BT120" s="44">
        <v>132</v>
      </c>
      <c r="BU120" s="44">
        <v>132</v>
      </c>
      <c r="BV120" s="44">
        <v>86</v>
      </c>
      <c r="BW120" s="44">
        <v>131</v>
      </c>
      <c r="BX120" s="44">
        <v>63</v>
      </c>
      <c r="BY120" s="44">
        <v>46</v>
      </c>
      <c r="BZ120" s="44">
        <v>47</v>
      </c>
      <c r="CA120" s="44">
        <v>104</v>
      </c>
      <c r="CB120" s="44">
        <v>93</v>
      </c>
      <c r="CC120" s="44">
        <v>90</v>
      </c>
      <c r="CD120" s="44">
        <v>99</v>
      </c>
      <c r="CE120" s="44">
        <v>64</v>
      </c>
      <c r="CF120" s="44">
        <v>42</v>
      </c>
      <c r="CG120" s="44">
        <v>68</v>
      </c>
      <c r="CH120" s="44">
        <v>63</v>
      </c>
      <c r="CI120" s="44">
        <v>126</v>
      </c>
      <c r="CJ120" s="44">
        <v>124</v>
      </c>
      <c r="CK120" s="44">
        <v>120</v>
      </c>
      <c r="CL120" s="44">
        <v>91</v>
      </c>
      <c r="CM120" s="44">
        <v>66</v>
      </c>
      <c r="CN120" s="44">
        <v>45</v>
      </c>
      <c r="CO120" s="44">
        <v>94</v>
      </c>
      <c r="CP120" s="44">
        <v>108</v>
      </c>
      <c r="CQ120" s="44">
        <v>94</v>
      </c>
      <c r="CR120" s="44">
        <v>95</v>
      </c>
      <c r="CS120" s="44">
        <v>107</v>
      </c>
      <c r="CT120" s="44">
        <v>59</v>
      </c>
      <c r="CU120" s="44">
        <v>44</v>
      </c>
      <c r="CV120" s="44">
        <v>112</v>
      </c>
      <c r="CW120" s="44">
        <v>160</v>
      </c>
      <c r="CX120" s="44">
        <v>103</v>
      </c>
      <c r="CY120" s="44"/>
      <c r="CZ120" s="44"/>
      <c r="DA120" s="44"/>
      <c r="DB120" s="44"/>
      <c r="DC120" s="44"/>
      <c r="DD120" s="44"/>
      <c r="DE120" s="82"/>
      <c r="DF120" s="82"/>
      <c r="DG120" s="82"/>
    </row>
    <row r="121" spans="2:111" ht="20.399999999999999" customHeight="1" outlineLevel="1" x14ac:dyDescent="0.3">
      <c r="B121" s="75"/>
      <c r="E121" s="38" t="s">
        <v>28</v>
      </c>
      <c r="F121" s="39">
        <v>122</v>
      </c>
      <c r="G121" s="39">
        <v>92</v>
      </c>
      <c r="H121" s="39">
        <v>79</v>
      </c>
      <c r="I121" s="39">
        <v>120</v>
      </c>
      <c r="J121" s="39">
        <v>181</v>
      </c>
      <c r="K121" s="39">
        <v>147</v>
      </c>
      <c r="L121" s="39">
        <v>125</v>
      </c>
      <c r="M121" s="39">
        <v>149</v>
      </c>
      <c r="N121" s="39">
        <v>161</v>
      </c>
      <c r="O121" s="39">
        <v>115</v>
      </c>
      <c r="P121" s="39">
        <v>622</v>
      </c>
      <c r="Q121" s="39">
        <v>672</v>
      </c>
      <c r="R121" s="39">
        <v>576</v>
      </c>
      <c r="S121" s="39">
        <v>552</v>
      </c>
      <c r="T121" s="39">
        <v>461</v>
      </c>
      <c r="U121" s="39">
        <v>240</v>
      </c>
      <c r="V121" s="39">
        <v>109</v>
      </c>
      <c r="W121" s="39">
        <v>482</v>
      </c>
      <c r="X121" s="39">
        <v>417</v>
      </c>
      <c r="Y121" s="39">
        <v>258</v>
      </c>
      <c r="Z121" s="39">
        <v>247</v>
      </c>
      <c r="AA121" s="39">
        <v>240</v>
      </c>
      <c r="AB121" s="39">
        <v>170</v>
      </c>
      <c r="AC121" s="39">
        <v>118</v>
      </c>
      <c r="AD121" s="39">
        <v>360</v>
      </c>
      <c r="AE121" s="39">
        <v>286</v>
      </c>
      <c r="AF121" s="39">
        <v>342</v>
      </c>
      <c r="AG121" s="39">
        <v>276</v>
      </c>
      <c r="AH121" s="39">
        <v>279</v>
      </c>
      <c r="AI121" s="39">
        <v>185</v>
      </c>
      <c r="AJ121" s="39">
        <v>143</v>
      </c>
      <c r="AK121" s="39">
        <v>360</v>
      </c>
      <c r="AL121" s="39">
        <v>349</v>
      </c>
      <c r="AM121" s="39">
        <v>294</v>
      </c>
      <c r="AN121" s="39">
        <v>268</v>
      </c>
      <c r="AO121" s="39">
        <v>291</v>
      </c>
      <c r="AP121" s="39">
        <v>200</v>
      </c>
      <c r="AQ121" s="39">
        <v>99</v>
      </c>
      <c r="AR121" s="39">
        <v>99</v>
      </c>
      <c r="AS121" s="39">
        <v>284</v>
      </c>
      <c r="AT121" s="39">
        <v>210</v>
      </c>
      <c r="AU121" s="39">
        <v>283</v>
      </c>
      <c r="AV121" s="39">
        <v>192</v>
      </c>
      <c r="AW121" s="39">
        <v>139</v>
      </c>
      <c r="AX121" s="39">
        <v>56</v>
      </c>
      <c r="AY121" s="39">
        <v>67</v>
      </c>
      <c r="AZ121" s="39">
        <v>246</v>
      </c>
      <c r="BA121" s="39">
        <v>230</v>
      </c>
      <c r="BB121" s="39">
        <v>203</v>
      </c>
      <c r="BC121" s="39">
        <v>216</v>
      </c>
      <c r="BD121" s="39">
        <v>187</v>
      </c>
      <c r="BE121" s="39">
        <v>94</v>
      </c>
      <c r="BF121" s="39">
        <v>185</v>
      </c>
      <c r="BG121" s="39">
        <v>231</v>
      </c>
      <c r="BH121" s="39">
        <v>213</v>
      </c>
      <c r="BI121" s="39">
        <v>178</v>
      </c>
      <c r="BJ121" s="39">
        <v>149</v>
      </c>
      <c r="BK121" s="39">
        <v>77</v>
      </c>
      <c r="BL121" s="39">
        <v>80</v>
      </c>
      <c r="BM121" s="39">
        <v>252</v>
      </c>
      <c r="BN121" s="39">
        <v>204</v>
      </c>
      <c r="BO121" s="39">
        <v>165</v>
      </c>
      <c r="BP121" s="39">
        <v>156</v>
      </c>
      <c r="BQ121" s="39">
        <v>115</v>
      </c>
      <c r="BR121" s="39">
        <v>59</v>
      </c>
      <c r="BS121" s="39">
        <v>48</v>
      </c>
      <c r="BT121" s="39">
        <v>165</v>
      </c>
      <c r="BU121" s="39">
        <v>164</v>
      </c>
      <c r="BV121" s="39">
        <v>73</v>
      </c>
      <c r="BW121" s="39">
        <v>72</v>
      </c>
      <c r="BX121" s="39">
        <v>85</v>
      </c>
      <c r="BY121" s="39">
        <v>39</v>
      </c>
      <c r="BZ121" s="39">
        <v>48</v>
      </c>
      <c r="CA121" s="39">
        <v>90</v>
      </c>
      <c r="CB121" s="39">
        <v>75</v>
      </c>
      <c r="CC121" s="39">
        <v>76</v>
      </c>
      <c r="CD121" s="39">
        <v>74</v>
      </c>
      <c r="CE121" s="39">
        <v>78</v>
      </c>
      <c r="CF121" s="39">
        <v>45</v>
      </c>
      <c r="CG121" s="39">
        <v>44</v>
      </c>
      <c r="CH121" s="39">
        <v>56</v>
      </c>
      <c r="CI121" s="39">
        <v>96</v>
      </c>
      <c r="CJ121" s="39">
        <v>84</v>
      </c>
      <c r="CK121" s="39">
        <v>81</v>
      </c>
      <c r="CL121" s="39">
        <v>79</v>
      </c>
      <c r="CM121" s="39">
        <v>42</v>
      </c>
      <c r="CN121" s="39">
        <v>31</v>
      </c>
      <c r="CO121" s="39">
        <v>75</v>
      </c>
      <c r="CP121" s="39">
        <v>74</v>
      </c>
      <c r="CQ121" s="39">
        <v>64</v>
      </c>
      <c r="CR121" s="39">
        <v>77</v>
      </c>
      <c r="CS121" s="39">
        <v>61</v>
      </c>
      <c r="CT121" s="39">
        <v>55</v>
      </c>
      <c r="CU121" s="39">
        <v>33</v>
      </c>
      <c r="CV121" s="39">
        <v>73</v>
      </c>
      <c r="CW121" s="39">
        <v>70</v>
      </c>
      <c r="CX121" s="39">
        <v>68</v>
      </c>
      <c r="CY121" s="39"/>
      <c r="CZ121" s="39"/>
      <c r="DA121" s="39"/>
      <c r="DB121" s="39"/>
      <c r="DC121" s="39"/>
      <c r="DD121" s="39"/>
      <c r="DE121" s="82"/>
      <c r="DF121" s="82"/>
      <c r="DG121" s="82"/>
    </row>
    <row r="122" spans="2:111" ht="20.399999999999999" customHeight="1" outlineLevel="1" x14ac:dyDescent="0.3">
      <c r="B122" s="75"/>
      <c r="E122" s="43" t="s">
        <v>29</v>
      </c>
      <c r="F122" s="44">
        <v>144</v>
      </c>
      <c r="G122" s="44">
        <v>152</v>
      </c>
      <c r="H122" s="44">
        <v>133</v>
      </c>
      <c r="I122" s="44">
        <v>162</v>
      </c>
      <c r="J122" s="44">
        <v>132</v>
      </c>
      <c r="K122" s="44">
        <v>149</v>
      </c>
      <c r="L122" s="44">
        <v>136</v>
      </c>
      <c r="M122" s="44">
        <v>130</v>
      </c>
      <c r="N122" s="44">
        <v>103</v>
      </c>
      <c r="O122" s="44">
        <v>77</v>
      </c>
      <c r="P122" s="44">
        <v>402</v>
      </c>
      <c r="Q122" s="44">
        <v>458</v>
      </c>
      <c r="R122" s="44">
        <v>404</v>
      </c>
      <c r="S122" s="44">
        <v>306</v>
      </c>
      <c r="T122" s="44">
        <v>205</v>
      </c>
      <c r="U122" s="44">
        <v>127</v>
      </c>
      <c r="V122" s="44">
        <v>58</v>
      </c>
      <c r="W122" s="44">
        <v>196</v>
      </c>
      <c r="X122" s="44">
        <v>191</v>
      </c>
      <c r="Y122" s="44">
        <v>106</v>
      </c>
      <c r="Z122" s="44">
        <v>111</v>
      </c>
      <c r="AA122" s="44">
        <v>130</v>
      </c>
      <c r="AB122" s="44">
        <v>93</v>
      </c>
      <c r="AC122" s="44">
        <v>73</v>
      </c>
      <c r="AD122" s="44">
        <v>154</v>
      </c>
      <c r="AE122" s="44">
        <v>136</v>
      </c>
      <c r="AF122" s="44">
        <v>152</v>
      </c>
      <c r="AG122" s="44">
        <v>133</v>
      </c>
      <c r="AH122" s="44">
        <v>118</v>
      </c>
      <c r="AI122" s="44">
        <v>91</v>
      </c>
      <c r="AJ122" s="44">
        <v>65</v>
      </c>
      <c r="AK122" s="44">
        <v>224</v>
      </c>
      <c r="AL122" s="44">
        <v>182</v>
      </c>
      <c r="AM122" s="44">
        <v>194</v>
      </c>
      <c r="AN122" s="44">
        <v>162</v>
      </c>
      <c r="AO122" s="44">
        <v>157</v>
      </c>
      <c r="AP122" s="44">
        <v>92</v>
      </c>
      <c r="AQ122" s="44">
        <v>46</v>
      </c>
      <c r="AR122" s="44">
        <v>51</v>
      </c>
      <c r="AS122" s="44">
        <v>182</v>
      </c>
      <c r="AT122" s="44">
        <v>171</v>
      </c>
      <c r="AU122" s="44">
        <v>193</v>
      </c>
      <c r="AV122" s="44">
        <v>150</v>
      </c>
      <c r="AW122" s="44">
        <v>87</v>
      </c>
      <c r="AX122" s="44">
        <v>32</v>
      </c>
      <c r="AY122" s="44">
        <v>32</v>
      </c>
      <c r="AZ122" s="44">
        <v>148</v>
      </c>
      <c r="BA122" s="44">
        <v>110</v>
      </c>
      <c r="BB122" s="44">
        <v>157</v>
      </c>
      <c r="BC122" s="44">
        <v>110</v>
      </c>
      <c r="BD122" s="44">
        <v>104</v>
      </c>
      <c r="BE122" s="44">
        <v>54</v>
      </c>
      <c r="BF122" s="44">
        <v>124</v>
      </c>
      <c r="BG122" s="44">
        <v>146</v>
      </c>
      <c r="BH122" s="44">
        <v>151</v>
      </c>
      <c r="BI122" s="44">
        <v>130</v>
      </c>
      <c r="BJ122" s="44">
        <v>110</v>
      </c>
      <c r="BK122" s="44">
        <v>66</v>
      </c>
      <c r="BL122" s="44">
        <v>58</v>
      </c>
      <c r="BM122" s="44">
        <v>188</v>
      </c>
      <c r="BN122" s="44">
        <v>172</v>
      </c>
      <c r="BO122" s="44">
        <v>144</v>
      </c>
      <c r="BP122" s="44">
        <v>112</v>
      </c>
      <c r="BQ122" s="44">
        <v>104</v>
      </c>
      <c r="BR122" s="44">
        <v>60</v>
      </c>
      <c r="BS122" s="44">
        <v>52</v>
      </c>
      <c r="BT122" s="44">
        <v>120</v>
      </c>
      <c r="BU122" s="44">
        <v>123</v>
      </c>
      <c r="BV122" s="44">
        <v>99</v>
      </c>
      <c r="BW122" s="44">
        <v>85</v>
      </c>
      <c r="BX122" s="44">
        <v>78</v>
      </c>
      <c r="BY122" s="44">
        <v>37</v>
      </c>
      <c r="BZ122" s="44">
        <v>46</v>
      </c>
      <c r="CA122" s="44">
        <v>75</v>
      </c>
      <c r="CB122" s="44">
        <v>77</v>
      </c>
      <c r="CC122" s="44">
        <v>107</v>
      </c>
      <c r="CD122" s="44">
        <v>62</v>
      </c>
      <c r="CE122" s="44">
        <v>76</v>
      </c>
      <c r="CF122" s="44">
        <v>42</v>
      </c>
      <c r="CG122" s="44">
        <v>29</v>
      </c>
      <c r="CH122" s="44">
        <v>47</v>
      </c>
      <c r="CI122" s="44">
        <v>72</v>
      </c>
      <c r="CJ122" s="44">
        <v>75</v>
      </c>
      <c r="CK122" s="44">
        <v>76</v>
      </c>
      <c r="CL122" s="44">
        <v>72</v>
      </c>
      <c r="CM122" s="44">
        <v>43</v>
      </c>
      <c r="CN122" s="44">
        <v>29</v>
      </c>
      <c r="CO122" s="44">
        <v>81</v>
      </c>
      <c r="CP122" s="44">
        <v>81</v>
      </c>
      <c r="CQ122" s="44">
        <v>49</v>
      </c>
      <c r="CR122" s="44">
        <v>64</v>
      </c>
      <c r="CS122" s="44">
        <v>59</v>
      </c>
      <c r="CT122" s="44">
        <v>31</v>
      </c>
      <c r="CU122" s="44">
        <v>31</v>
      </c>
      <c r="CV122" s="44">
        <v>64</v>
      </c>
      <c r="CW122" s="44">
        <v>62</v>
      </c>
      <c r="CX122" s="44">
        <v>58</v>
      </c>
      <c r="CY122" s="44"/>
      <c r="CZ122" s="44"/>
      <c r="DA122" s="44"/>
      <c r="DB122" s="44"/>
      <c r="DC122" s="44"/>
      <c r="DD122" s="44"/>
      <c r="DE122" s="82"/>
      <c r="DF122" s="82"/>
      <c r="DG122" s="82"/>
    </row>
    <row r="123" spans="2:111" ht="20.399999999999999" customHeight="1" outlineLevel="1" x14ac:dyDescent="0.3">
      <c r="B123" s="75"/>
      <c r="E123" s="38" t="s">
        <v>30</v>
      </c>
      <c r="F123" s="39">
        <v>15</v>
      </c>
      <c r="G123" s="39">
        <v>6</v>
      </c>
      <c r="H123" s="39">
        <v>16</v>
      </c>
      <c r="I123" s="39">
        <v>16</v>
      </c>
      <c r="J123" s="39">
        <v>7</v>
      </c>
      <c r="K123" s="39">
        <v>2</v>
      </c>
      <c r="L123" s="39">
        <v>19</v>
      </c>
      <c r="M123" s="39">
        <v>8</v>
      </c>
      <c r="N123" s="39">
        <v>7</v>
      </c>
      <c r="O123" s="39">
        <v>4</v>
      </c>
      <c r="P123" s="39">
        <v>42</v>
      </c>
      <c r="Q123" s="39">
        <v>25</v>
      </c>
      <c r="R123" s="39">
        <v>23</v>
      </c>
      <c r="S123" s="39">
        <v>42</v>
      </c>
      <c r="T123" s="39">
        <v>42</v>
      </c>
      <c r="U123" s="39">
        <v>11</v>
      </c>
      <c r="V123" s="39">
        <v>8</v>
      </c>
      <c r="W123" s="39">
        <v>23</v>
      </c>
      <c r="X123" s="39">
        <v>36</v>
      </c>
      <c r="Y123" s="39">
        <v>17</v>
      </c>
      <c r="Z123" s="39">
        <v>12</v>
      </c>
      <c r="AA123" s="39">
        <v>19</v>
      </c>
      <c r="AB123" s="39">
        <v>3</v>
      </c>
      <c r="AC123" s="39">
        <v>2</v>
      </c>
      <c r="AD123" s="39">
        <v>23</v>
      </c>
      <c r="AE123" s="39">
        <v>7</v>
      </c>
      <c r="AF123" s="39">
        <v>17</v>
      </c>
      <c r="AG123" s="39">
        <v>13</v>
      </c>
      <c r="AH123" s="39">
        <v>10</v>
      </c>
      <c r="AI123" s="39">
        <v>1</v>
      </c>
      <c r="AJ123" s="39">
        <v>6</v>
      </c>
      <c r="AK123" s="39">
        <v>9</v>
      </c>
      <c r="AL123" s="39">
        <v>13</v>
      </c>
      <c r="AM123" s="39">
        <v>16</v>
      </c>
      <c r="AN123" s="39">
        <v>10</v>
      </c>
      <c r="AO123" s="39">
        <v>9</v>
      </c>
      <c r="AP123" s="39">
        <v>1</v>
      </c>
      <c r="AQ123" s="39">
        <v>2</v>
      </c>
      <c r="AR123" s="39">
        <v>4</v>
      </c>
      <c r="AS123" s="39">
        <v>19</v>
      </c>
      <c r="AT123" s="39">
        <v>17</v>
      </c>
      <c r="AU123" s="39">
        <v>15</v>
      </c>
      <c r="AV123" s="39">
        <v>17</v>
      </c>
      <c r="AW123" s="39">
        <v>6</v>
      </c>
      <c r="AX123" s="39">
        <v>1</v>
      </c>
      <c r="AY123" s="39">
        <v>6</v>
      </c>
      <c r="AZ123" s="39">
        <v>9</v>
      </c>
      <c r="BA123" s="39">
        <v>12</v>
      </c>
      <c r="BB123" s="39">
        <v>11</v>
      </c>
      <c r="BC123" s="39">
        <v>9</v>
      </c>
      <c r="BD123" s="39">
        <v>7</v>
      </c>
      <c r="BE123" s="39">
        <v>4</v>
      </c>
      <c r="BF123" s="39">
        <v>10</v>
      </c>
      <c r="BG123" s="39">
        <v>12</v>
      </c>
      <c r="BH123" s="39">
        <v>23</v>
      </c>
      <c r="BI123" s="39">
        <v>11</v>
      </c>
      <c r="BJ123" s="39">
        <v>6</v>
      </c>
      <c r="BK123" s="39">
        <v>3</v>
      </c>
      <c r="BL123" s="39">
        <v>6</v>
      </c>
      <c r="BM123" s="39">
        <v>11</v>
      </c>
      <c r="BN123" s="39">
        <v>3</v>
      </c>
      <c r="BO123" s="39">
        <v>9</v>
      </c>
      <c r="BP123" s="39">
        <v>15</v>
      </c>
      <c r="BQ123" s="39">
        <v>9</v>
      </c>
      <c r="BR123" s="39">
        <v>3</v>
      </c>
      <c r="BS123" s="39">
        <v>9</v>
      </c>
      <c r="BT123" s="39">
        <v>14</v>
      </c>
      <c r="BU123" s="39">
        <v>17</v>
      </c>
      <c r="BV123" s="39">
        <v>13</v>
      </c>
      <c r="BW123" s="39">
        <v>5</v>
      </c>
      <c r="BX123" s="39">
        <v>3</v>
      </c>
      <c r="BY123" s="39">
        <v>2</v>
      </c>
      <c r="BZ123" s="39">
        <v>4</v>
      </c>
      <c r="CA123" s="39">
        <v>3</v>
      </c>
      <c r="CB123" s="39">
        <v>6</v>
      </c>
      <c r="CC123" s="39">
        <v>8</v>
      </c>
      <c r="CD123" s="39">
        <v>4</v>
      </c>
      <c r="CE123" s="39">
        <v>0</v>
      </c>
      <c r="CF123" s="39">
        <v>4</v>
      </c>
      <c r="CG123" s="39">
        <v>2</v>
      </c>
      <c r="CH123" s="39">
        <v>0</v>
      </c>
      <c r="CI123" s="39">
        <v>3</v>
      </c>
      <c r="CJ123" s="39">
        <v>4</v>
      </c>
      <c r="CK123" s="39">
        <v>4</v>
      </c>
      <c r="CL123" s="39">
        <v>3</v>
      </c>
      <c r="CM123" s="39">
        <v>1</v>
      </c>
      <c r="CN123" s="39">
        <v>5</v>
      </c>
      <c r="CO123" s="39">
        <v>5</v>
      </c>
      <c r="CP123" s="39">
        <v>1</v>
      </c>
      <c r="CQ123" s="39">
        <v>4</v>
      </c>
      <c r="CR123" s="39">
        <v>1</v>
      </c>
      <c r="CS123" s="39">
        <v>4</v>
      </c>
      <c r="CT123" s="39">
        <v>5</v>
      </c>
      <c r="CU123" s="39">
        <v>4</v>
      </c>
      <c r="CV123" s="39">
        <v>4</v>
      </c>
      <c r="CW123" s="39">
        <v>4</v>
      </c>
      <c r="CX123" s="39">
        <v>2</v>
      </c>
      <c r="CY123" s="39"/>
      <c r="CZ123" s="39"/>
      <c r="DA123" s="39"/>
      <c r="DB123" s="39"/>
      <c r="DC123" s="39"/>
      <c r="DD123" s="39"/>
      <c r="DE123" s="82"/>
      <c r="DF123" s="82"/>
      <c r="DG123" s="82"/>
    </row>
    <row r="124" spans="2:111" ht="20.399999999999999" customHeight="1" outlineLevel="1" x14ac:dyDescent="0.3">
      <c r="B124" s="75"/>
      <c r="E124" s="43" t="s">
        <v>31</v>
      </c>
      <c r="F124" s="44">
        <v>11</v>
      </c>
      <c r="G124" s="44">
        <v>6</v>
      </c>
      <c r="H124" s="44">
        <v>1</v>
      </c>
      <c r="I124" s="44">
        <v>18</v>
      </c>
      <c r="J124" s="44">
        <v>12</v>
      </c>
      <c r="K124" s="44">
        <v>12</v>
      </c>
      <c r="L124" s="44">
        <v>4</v>
      </c>
      <c r="M124" s="44">
        <v>7</v>
      </c>
      <c r="N124" s="44">
        <v>7</v>
      </c>
      <c r="O124" s="44">
        <v>4</v>
      </c>
      <c r="P124" s="44">
        <v>23</v>
      </c>
      <c r="Q124" s="44">
        <v>22</v>
      </c>
      <c r="R124" s="44">
        <v>33</v>
      </c>
      <c r="S124" s="44">
        <v>17</v>
      </c>
      <c r="T124" s="44">
        <v>27</v>
      </c>
      <c r="U124" s="44">
        <v>13</v>
      </c>
      <c r="V124" s="44">
        <v>6</v>
      </c>
      <c r="W124" s="44">
        <v>40</v>
      </c>
      <c r="X124" s="44">
        <v>42</v>
      </c>
      <c r="Y124" s="44">
        <v>36</v>
      </c>
      <c r="Z124" s="44">
        <v>30</v>
      </c>
      <c r="AA124" s="44">
        <v>12</v>
      </c>
      <c r="AB124" s="44">
        <v>5</v>
      </c>
      <c r="AC124" s="44">
        <v>10</v>
      </c>
      <c r="AD124" s="44">
        <v>24</v>
      </c>
      <c r="AE124" s="44">
        <v>23</v>
      </c>
      <c r="AF124" s="44">
        <v>18</v>
      </c>
      <c r="AG124" s="44">
        <v>23</v>
      </c>
      <c r="AH124" s="44">
        <v>13</v>
      </c>
      <c r="AI124" s="44">
        <v>30</v>
      </c>
      <c r="AJ124" s="44">
        <v>15</v>
      </c>
      <c r="AK124" s="44">
        <v>40</v>
      </c>
      <c r="AL124" s="44">
        <v>24</v>
      </c>
      <c r="AM124" s="44">
        <v>12</v>
      </c>
      <c r="AN124" s="44">
        <v>14</v>
      </c>
      <c r="AO124" s="44">
        <v>13</v>
      </c>
      <c r="AP124" s="44">
        <v>6</v>
      </c>
      <c r="AQ124" s="44">
        <v>3</v>
      </c>
      <c r="AR124" s="44">
        <v>5</v>
      </c>
      <c r="AS124" s="44">
        <v>23</v>
      </c>
      <c r="AT124" s="44">
        <v>17</v>
      </c>
      <c r="AU124" s="44">
        <v>5</v>
      </c>
      <c r="AV124" s="44">
        <v>6</v>
      </c>
      <c r="AW124" s="44">
        <v>2</v>
      </c>
      <c r="AX124" s="44">
        <v>1</v>
      </c>
      <c r="AY124" s="44">
        <v>0</v>
      </c>
      <c r="AZ124" s="44">
        <v>13</v>
      </c>
      <c r="BA124" s="44">
        <v>20</v>
      </c>
      <c r="BB124" s="44">
        <v>6</v>
      </c>
      <c r="BC124" s="44">
        <v>7</v>
      </c>
      <c r="BD124" s="44">
        <v>0</v>
      </c>
      <c r="BE124" s="44">
        <v>2</v>
      </c>
      <c r="BF124" s="44">
        <v>6</v>
      </c>
      <c r="BG124" s="44">
        <v>6</v>
      </c>
      <c r="BH124" s="44">
        <v>2</v>
      </c>
      <c r="BI124" s="44">
        <v>4</v>
      </c>
      <c r="BJ124" s="44">
        <v>5</v>
      </c>
      <c r="BK124" s="44">
        <v>3</v>
      </c>
      <c r="BL124" s="44">
        <v>0</v>
      </c>
      <c r="BM124" s="44">
        <v>9</v>
      </c>
      <c r="BN124" s="44">
        <v>8</v>
      </c>
      <c r="BO124" s="44">
        <v>8</v>
      </c>
      <c r="BP124" s="44">
        <v>9</v>
      </c>
      <c r="BQ124" s="44">
        <v>12</v>
      </c>
      <c r="BR124" s="44">
        <v>4</v>
      </c>
      <c r="BS124" s="44">
        <v>6</v>
      </c>
      <c r="BT124" s="44">
        <v>9</v>
      </c>
      <c r="BU124" s="44">
        <v>12</v>
      </c>
      <c r="BV124" s="44">
        <v>4</v>
      </c>
      <c r="BW124" s="44">
        <v>5</v>
      </c>
      <c r="BX124" s="44">
        <v>6</v>
      </c>
      <c r="BY124" s="44">
        <v>5</v>
      </c>
      <c r="BZ124" s="44">
        <v>4</v>
      </c>
      <c r="CA124" s="44">
        <v>6</v>
      </c>
      <c r="CB124" s="44">
        <v>9</v>
      </c>
      <c r="CC124" s="44">
        <v>9</v>
      </c>
      <c r="CD124" s="44">
        <v>6</v>
      </c>
      <c r="CE124" s="44">
        <v>7</v>
      </c>
      <c r="CF124" s="44">
        <v>3</v>
      </c>
      <c r="CG124" s="44">
        <v>3</v>
      </c>
      <c r="CH124" s="44">
        <v>4</v>
      </c>
      <c r="CI124" s="44">
        <v>13</v>
      </c>
      <c r="CJ124" s="44">
        <v>11</v>
      </c>
      <c r="CK124" s="44">
        <v>3</v>
      </c>
      <c r="CL124" s="44">
        <v>7</v>
      </c>
      <c r="CM124" s="44">
        <v>0</v>
      </c>
      <c r="CN124" s="44">
        <v>3</v>
      </c>
      <c r="CO124" s="44">
        <v>11</v>
      </c>
      <c r="CP124" s="44">
        <v>2</v>
      </c>
      <c r="CQ124" s="44">
        <v>5</v>
      </c>
      <c r="CR124" s="44">
        <v>8</v>
      </c>
      <c r="CS124" s="44">
        <v>2</v>
      </c>
      <c r="CT124" s="44">
        <v>2</v>
      </c>
      <c r="CU124" s="44">
        <v>3</v>
      </c>
      <c r="CV124" s="44">
        <v>4</v>
      </c>
      <c r="CW124" s="44">
        <v>11</v>
      </c>
      <c r="CX124" s="44">
        <v>8</v>
      </c>
      <c r="CY124" s="44"/>
      <c r="CZ124" s="44"/>
      <c r="DA124" s="44"/>
      <c r="DB124" s="44"/>
      <c r="DC124" s="44"/>
      <c r="DD124" s="44"/>
      <c r="DE124" s="82"/>
      <c r="DF124" s="82"/>
      <c r="DG124" s="82"/>
    </row>
    <row r="125" spans="2:111" ht="20.399999999999999" customHeight="1" outlineLevel="1" x14ac:dyDescent="0.3">
      <c r="B125" s="75"/>
      <c r="E125" s="38" t="s">
        <v>32</v>
      </c>
      <c r="F125" s="39">
        <v>41</v>
      </c>
      <c r="G125" s="39">
        <v>17</v>
      </c>
      <c r="H125" s="39">
        <v>27</v>
      </c>
      <c r="I125" s="39">
        <v>22</v>
      </c>
      <c r="J125" s="39">
        <v>32</v>
      </c>
      <c r="K125" s="39">
        <v>20</v>
      </c>
      <c r="L125" s="39">
        <v>14</v>
      </c>
      <c r="M125" s="39">
        <v>8</v>
      </c>
      <c r="N125" s="39">
        <v>21</v>
      </c>
      <c r="O125" s="39">
        <v>3</v>
      </c>
      <c r="P125" s="39">
        <v>90</v>
      </c>
      <c r="Q125" s="39">
        <v>58</v>
      </c>
      <c r="R125" s="39">
        <v>62</v>
      </c>
      <c r="S125" s="39">
        <v>63</v>
      </c>
      <c r="T125" s="39">
        <v>24</v>
      </c>
      <c r="U125" s="39">
        <v>8</v>
      </c>
      <c r="V125" s="39">
        <v>10</v>
      </c>
      <c r="W125" s="39">
        <v>48</v>
      </c>
      <c r="X125" s="39">
        <v>84</v>
      </c>
      <c r="Y125" s="39">
        <v>32</v>
      </c>
      <c r="Z125" s="39">
        <v>29</v>
      </c>
      <c r="AA125" s="39">
        <v>22</v>
      </c>
      <c r="AB125" s="39">
        <v>9</v>
      </c>
      <c r="AC125" s="39">
        <v>7</v>
      </c>
      <c r="AD125" s="39">
        <v>38</v>
      </c>
      <c r="AE125" s="39">
        <v>35</v>
      </c>
      <c r="AF125" s="39">
        <v>40</v>
      </c>
      <c r="AG125" s="39">
        <v>35</v>
      </c>
      <c r="AH125" s="39">
        <v>47</v>
      </c>
      <c r="AI125" s="39">
        <v>19</v>
      </c>
      <c r="AJ125" s="39">
        <v>13</v>
      </c>
      <c r="AK125" s="39">
        <v>53</v>
      </c>
      <c r="AL125" s="39">
        <v>59</v>
      </c>
      <c r="AM125" s="39">
        <v>34</v>
      </c>
      <c r="AN125" s="39">
        <v>36</v>
      </c>
      <c r="AO125" s="39">
        <v>18</v>
      </c>
      <c r="AP125" s="39">
        <v>18</v>
      </c>
      <c r="AQ125" s="39">
        <v>11</v>
      </c>
      <c r="AR125" s="39">
        <v>8</v>
      </c>
      <c r="AS125" s="39">
        <v>76</v>
      </c>
      <c r="AT125" s="39">
        <v>37</v>
      </c>
      <c r="AU125" s="39">
        <v>26</v>
      </c>
      <c r="AV125" s="39">
        <v>28</v>
      </c>
      <c r="AW125" s="39">
        <v>12</v>
      </c>
      <c r="AX125" s="39">
        <v>12</v>
      </c>
      <c r="AY125" s="39">
        <v>13</v>
      </c>
      <c r="AZ125" s="39">
        <v>45</v>
      </c>
      <c r="BA125" s="39">
        <v>28</v>
      </c>
      <c r="BB125" s="39">
        <v>17</v>
      </c>
      <c r="BC125" s="39">
        <v>35</v>
      </c>
      <c r="BD125" s="39">
        <v>19</v>
      </c>
      <c r="BE125" s="39">
        <v>14</v>
      </c>
      <c r="BF125" s="39">
        <v>46</v>
      </c>
      <c r="BG125" s="39">
        <v>37</v>
      </c>
      <c r="BH125" s="39">
        <v>32</v>
      </c>
      <c r="BI125" s="39">
        <v>27</v>
      </c>
      <c r="BJ125" s="39">
        <v>40</v>
      </c>
      <c r="BK125" s="39">
        <v>15</v>
      </c>
      <c r="BL125" s="39">
        <v>2</v>
      </c>
      <c r="BM125" s="39">
        <v>41</v>
      </c>
      <c r="BN125" s="39">
        <v>27</v>
      </c>
      <c r="BO125" s="39">
        <v>20</v>
      </c>
      <c r="BP125" s="39">
        <v>22</v>
      </c>
      <c r="BQ125" s="39">
        <v>25</v>
      </c>
      <c r="BR125" s="39">
        <v>13</v>
      </c>
      <c r="BS125" s="39">
        <v>10</v>
      </c>
      <c r="BT125" s="39">
        <v>27</v>
      </c>
      <c r="BU125" s="39">
        <v>29</v>
      </c>
      <c r="BV125" s="39">
        <v>16</v>
      </c>
      <c r="BW125" s="39">
        <v>17</v>
      </c>
      <c r="BX125" s="39">
        <v>12</v>
      </c>
      <c r="BY125" s="39">
        <v>11</v>
      </c>
      <c r="BZ125" s="39">
        <v>6</v>
      </c>
      <c r="CA125" s="39">
        <v>23</v>
      </c>
      <c r="CB125" s="39">
        <v>12</v>
      </c>
      <c r="CC125" s="39">
        <v>22</v>
      </c>
      <c r="CD125" s="39">
        <v>14</v>
      </c>
      <c r="CE125" s="39">
        <v>12</v>
      </c>
      <c r="CF125" s="39">
        <v>5</v>
      </c>
      <c r="CG125" s="39">
        <v>6</v>
      </c>
      <c r="CH125" s="39">
        <v>14</v>
      </c>
      <c r="CI125" s="39">
        <v>19</v>
      </c>
      <c r="CJ125" s="39">
        <v>15</v>
      </c>
      <c r="CK125" s="39">
        <v>19</v>
      </c>
      <c r="CL125" s="39">
        <v>9</v>
      </c>
      <c r="CM125" s="39">
        <v>6</v>
      </c>
      <c r="CN125" s="39">
        <v>5</v>
      </c>
      <c r="CO125" s="39">
        <v>18</v>
      </c>
      <c r="CP125" s="39">
        <v>13</v>
      </c>
      <c r="CQ125" s="39">
        <v>5</v>
      </c>
      <c r="CR125" s="39">
        <v>13</v>
      </c>
      <c r="CS125" s="39">
        <v>8</v>
      </c>
      <c r="CT125" s="39">
        <v>7</v>
      </c>
      <c r="CU125" s="39">
        <v>5</v>
      </c>
      <c r="CV125" s="39">
        <v>12</v>
      </c>
      <c r="CW125" s="39">
        <v>22</v>
      </c>
      <c r="CX125" s="39">
        <v>14</v>
      </c>
      <c r="CY125" s="39"/>
      <c r="CZ125" s="39"/>
      <c r="DA125" s="39"/>
      <c r="DB125" s="39"/>
      <c r="DC125" s="39"/>
      <c r="DD125" s="39"/>
      <c r="DE125" s="82"/>
      <c r="DF125" s="82"/>
      <c r="DG125" s="82"/>
    </row>
    <row r="126" spans="2:111" ht="20.399999999999999" customHeight="1" outlineLevel="1" x14ac:dyDescent="0.3">
      <c r="B126" s="75"/>
      <c r="E126" s="43" t="s">
        <v>33</v>
      </c>
      <c r="F126" s="44">
        <v>8</v>
      </c>
      <c r="G126" s="44">
        <v>12</v>
      </c>
      <c r="H126" s="44">
        <v>7</v>
      </c>
      <c r="I126" s="44">
        <v>4</v>
      </c>
      <c r="J126" s="44">
        <v>13</v>
      </c>
      <c r="K126" s="44">
        <v>10</v>
      </c>
      <c r="L126" s="44">
        <v>11</v>
      </c>
      <c r="M126" s="44">
        <v>17</v>
      </c>
      <c r="N126" s="44">
        <v>7</v>
      </c>
      <c r="O126" s="44">
        <v>3</v>
      </c>
      <c r="P126" s="44">
        <v>60</v>
      </c>
      <c r="Q126" s="44">
        <v>39</v>
      </c>
      <c r="R126" s="44">
        <v>35</v>
      </c>
      <c r="S126" s="44">
        <v>27</v>
      </c>
      <c r="T126" s="44">
        <v>27</v>
      </c>
      <c r="U126" s="44">
        <v>11</v>
      </c>
      <c r="V126" s="44">
        <v>6</v>
      </c>
      <c r="W126" s="44">
        <v>24</v>
      </c>
      <c r="X126" s="44">
        <v>42</v>
      </c>
      <c r="Y126" s="44">
        <v>14</v>
      </c>
      <c r="Z126" s="44">
        <v>18</v>
      </c>
      <c r="AA126" s="44">
        <v>28</v>
      </c>
      <c r="AB126" s="44">
        <v>5</v>
      </c>
      <c r="AC126" s="44">
        <v>6</v>
      </c>
      <c r="AD126" s="44">
        <v>29</v>
      </c>
      <c r="AE126" s="44">
        <v>31</v>
      </c>
      <c r="AF126" s="44">
        <v>13</v>
      </c>
      <c r="AG126" s="44">
        <v>13</v>
      </c>
      <c r="AH126" s="44">
        <v>11</v>
      </c>
      <c r="AI126" s="44">
        <v>3</v>
      </c>
      <c r="AJ126" s="44">
        <v>6</v>
      </c>
      <c r="AK126" s="44">
        <v>35</v>
      </c>
      <c r="AL126" s="44">
        <v>22</v>
      </c>
      <c r="AM126" s="44">
        <v>21</v>
      </c>
      <c r="AN126" s="44">
        <v>14</v>
      </c>
      <c r="AO126" s="44">
        <v>19</v>
      </c>
      <c r="AP126" s="44">
        <v>1</v>
      </c>
      <c r="AQ126" s="44">
        <v>1</v>
      </c>
      <c r="AR126" s="44">
        <v>0</v>
      </c>
      <c r="AS126" s="44">
        <v>16</v>
      </c>
      <c r="AT126" s="44">
        <v>10</v>
      </c>
      <c r="AU126" s="44">
        <v>3</v>
      </c>
      <c r="AV126" s="44">
        <v>11</v>
      </c>
      <c r="AW126" s="44">
        <v>2</v>
      </c>
      <c r="AX126" s="44">
        <v>1</v>
      </c>
      <c r="AY126" s="44">
        <v>0</v>
      </c>
      <c r="AZ126" s="44">
        <v>11</v>
      </c>
      <c r="BA126" s="44">
        <v>7</v>
      </c>
      <c r="BB126" s="44">
        <v>1</v>
      </c>
      <c r="BC126" s="44">
        <v>4</v>
      </c>
      <c r="BD126" s="44">
        <v>3</v>
      </c>
      <c r="BE126" s="44">
        <v>5</v>
      </c>
      <c r="BF126" s="44">
        <v>6</v>
      </c>
      <c r="BG126" s="44">
        <v>9</v>
      </c>
      <c r="BH126" s="44">
        <v>9</v>
      </c>
      <c r="BI126" s="44">
        <v>2</v>
      </c>
      <c r="BJ126" s="44">
        <v>7</v>
      </c>
      <c r="BK126" s="44">
        <v>4</v>
      </c>
      <c r="BL126" s="44">
        <v>3</v>
      </c>
      <c r="BM126" s="44">
        <v>2</v>
      </c>
      <c r="BN126" s="44">
        <v>14</v>
      </c>
      <c r="BO126" s="44">
        <v>17</v>
      </c>
      <c r="BP126" s="44">
        <v>10</v>
      </c>
      <c r="BQ126" s="44">
        <v>8</v>
      </c>
      <c r="BR126" s="44">
        <v>2</v>
      </c>
      <c r="BS126" s="44">
        <v>2</v>
      </c>
      <c r="BT126" s="44">
        <v>28</v>
      </c>
      <c r="BU126" s="44">
        <v>10</v>
      </c>
      <c r="BV126" s="44">
        <v>5</v>
      </c>
      <c r="BW126" s="44">
        <v>7</v>
      </c>
      <c r="BX126" s="44">
        <v>2</v>
      </c>
      <c r="BY126" s="44">
        <v>3</v>
      </c>
      <c r="BZ126" s="44">
        <v>0</v>
      </c>
      <c r="CA126" s="44">
        <v>6</v>
      </c>
      <c r="CB126" s="44">
        <v>5</v>
      </c>
      <c r="CC126" s="44">
        <v>10</v>
      </c>
      <c r="CD126" s="44">
        <v>4</v>
      </c>
      <c r="CE126" s="44">
        <v>2</v>
      </c>
      <c r="CF126" s="44">
        <v>0</v>
      </c>
      <c r="CG126" s="44">
        <v>0</v>
      </c>
      <c r="CH126" s="44">
        <v>2</v>
      </c>
      <c r="CI126" s="44">
        <v>7</v>
      </c>
      <c r="CJ126" s="44">
        <v>2</v>
      </c>
      <c r="CK126" s="44">
        <v>2</v>
      </c>
      <c r="CL126" s="44">
        <v>4</v>
      </c>
      <c r="CM126" s="44">
        <v>2</v>
      </c>
      <c r="CN126" s="44">
        <v>2</v>
      </c>
      <c r="CO126" s="44">
        <v>4</v>
      </c>
      <c r="CP126" s="44">
        <v>2</v>
      </c>
      <c r="CQ126" s="44">
        <v>1</v>
      </c>
      <c r="CR126" s="44">
        <v>2</v>
      </c>
      <c r="CS126" s="44">
        <v>7</v>
      </c>
      <c r="CT126" s="44">
        <v>2</v>
      </c>
      <c r="CU126" s="44">
        <v>1</v>
      </c>
      <c r="CV126" s="44">
        <v>6</v>
      </c>
      <c r="CW126" s="44">
        <v>2</v>
      </c>
      <c r="CX126" s="44">
        <v>5</v>
      </c>
      <c r="CY126" s="44"/>
      <c r="CZ126" s="44"/>
      <c r="DA126" s="44"/>
      <c r="DB126" s="44"/>
      <c r="DC126" s="44"/>
      <c r="DD126" s="44"/>
      <c r="DE126" s="83"/>
      <c r="DF126" s="83"/>
      <c r="DG126" s="83"/>
    </row>
    <row r="127" spans="2:111" x14ac:dyDescent="0.3">
      <c r="B127" s="75"/>
      <c r="F127" s="34"/>
      <c r="G127" s="34"/>
      <c r="H127" s="34"/>
    </row>
    <row r="128" spans="2:111" x14ac:dyDescent="0.3">
      <c r="B128" s="75"/>
      <c r="F128" s="34"/>
      <c r="G128" s="34"/>
      <c r="H128" s="34"/>
    </row>
    <row r="151" spans="17:108" hidden="1" x14ac:dyDescent="0.3">
      <c r="R151" s="14">
        <f t="shared" ref="R151:CC151" si="89">R152</f>
        <v>45259</v>
      </c>
      <c r="S151" s="14">
        <f t="shared" si="89"/>
        <v>45260</v>
      </c>
      <c r="T151" s="14">
        <f t="shared" si="89"/>
        <v>45261</v>
      </c>
      <c r="U151" s="14">
        <f t="shared" si="89"/>
        <v>45262</v>
      </c>
      <c r="V151" s="14">
        <f t="shared" si="89"/>
        <v>45263</v>
      </c>
      <c r="W151" s="14">
        <f t="shared" si="89"/>
        <v>45264</v>
      </c>
      <c r="X151" s="14">
        <f t="shared" si="89"/>
        <v>45265</v>
      </c>
      <c r="Y151" s="14">
        <f t="shared" si="89"/>
        <v>45266</v>
      </c>
      <c r="Z151" s="14">
        <f t="shared" si="89"/>
        <v>45267</v>
      </c>
      <c r="AA151" s="14">
        <f t="shared" si="89"/>
        <v>45268</v>
      </c>
      <c r="AB151" s="14">
        <f t="shared" si="89"/>
        <v>45269</v>
      </c>
      <c r="AC151" s="14">
        <f t="shared" si="89"/>
        <v>45270</v>
      </c>
      <c r="AD151" s="14">
        <f t="shared" si="89"/>
        <v>45271</v>
      </c>
      <c r="AE151" s="14">
        <f t="shared" si="89"/>
        <v>45272</v>
      </c>
      <c r="AF151" s="14">
        <f t="shared" si="89"/>
        <v>45273</v>
      </c>
      <c r="AG151" s="14">
        <f t="shared" si="89"/>
        <v>45274</v>
      </c>
      <c r="AH151" s="14">
        <f t="shared" si="89"/>
        <v>45275</v>
      </c>
      <c r="AI151" s="14">
        <f t="shared" si="89"/>
        <v>45276</v>
      </c>
      <c r="AJ151" s="14">
        <f t="shared" si="89"/>
        <v>45277</v>
      </c>
      <c r="AK151" s="14">
        <f t="shared" si="89"/>
        <v>45278</v>
      </c>
      <c r="AL151" s="14">
        <f t="shared" si="89"/>
        <v>45279</v>
      </c>
      <c r="AM151" s="14">
        <f t="shared" si="89"/>
        <v>45280</v>
      </c>
      <c r="AN151" s="14">
        <f t="shared" si="89"/>
        <v>45281</v>
      </c>
      <c r="AO151" s="14">
        <f t="shared" si="89"/>
        <v>45282</v>
      </c>
      <c r="AP151" s="14">
        <f t="shared" si="89"/>
        <v>45283</v>
      </c>
      <c r="AQ151" s="14">
        <f t="shared" si="89"/>
        <v>45284</v>
      </c>
      <c r="AR151" s="14">
        <f t="shared" si="89"/>
        <v>45285</v>
      </c>
      <c r="AS151" s="14">
        <f t="shared" si="89"/>
        <v>45286</v>
      </c>
      <c r="AT151" s="14">
        <f t="shared" si="89"/>
        <v>45287</v>
      </c>
      <c r="AU151" s="14">
        <f t="shared" si="89"/>
        <v>45288</v>
      </c>
      <c r="AV151" s="14">
        <f t="shared" si="89"/>
        <v>45289</v>
      </c>
      <c r="AW151" s="14">
        <f t="shared" si="89"/>
        <v>45290</v>
      </c>
      <c r="AX151" s="14">
        <f t="shared" si="89"/>
        <v>45291</v>
      </c>
      <c r="AY151" s="14">
        <f t="shared" si="89"/>
        <v>45292</v>
      </c>
      <c r="AZ151" s="14">
        <f t="shared" si="89"/>
        <v>45293</v>
      </c>
      <c r="BA151" s="14">
        <f t="shared" si="89"/>
        <v>45294</v>
      </c>
      <c r="BB151" s="14">
        <f t="shared" si="89"/>
        <v>45295</v>
      </c>
      <c r="BC151" s="14">
        <f t="shared" si="89"/>
        <v>45296</v>
      </c>
      <c r="BD151" s="14">
        <f t="shared" si="89"/>
        <v>45297</v>
      </c>
      <c r="BE151" s="14">
        <f t="shared" si="89"/>
        <v>45296</v>
      </c>
      <c r="BF151" s="14">
        <f t="shared" si="89"/>
        <v>45297</v>
      </c>
      <c r="BG151" s="14">
        <f t="shared" si="89"/>
        <v>45296</v>
      </c>
      <c r="BH151" s="14">
        <f t="shared" si="89"/>
        <v>45297</v>
      </c>
      <c r="BI151" s="14">
        <f t="shared" si="89"/>
        <v>45296</v>
      </c>
      <c r="BJ151" s="14">
        <f t="shared" si="89"/>
        <v>45297</v>
      </c>
      <c r="BK151" s="14">
        <f t="shared" si="89"/>
        <v>45293</v>
      </c>
      <c r="BL151" s="14">
        <f t="shared" si="89"/>
        <v>45294</v>
      </c>
      <c r="BM151" s="14">
        <f t="shared" si="89"/>
        <v>45295</v>
      </c>
      <c r="BN151" s="14">
        <f t="shared" si="89"/>
        <v>45296</v>
      </c>
      <c r="BO151" s="14">
        <f t="shared" si="89"/>
        <v>45297</v>
      </c>
      <c r="BP151" s="14">
        <f t="shared" si="89"/>
        <v>45296</v>
      </c>
      <c r="BQ151" s="14">
        <f t="shared" si="89"/>
        <v>45297</v>
      </c>
      <c r="BR151" s="14">
        <f t="shared" si="89"/>
        <v>45296</v>
      </c>
      <c r="BS151" s="14">
        <f t="shared" si="89"/>
        <v>45297</v>
      </c>
      <c r="BT151" s="14">
        <f t="shared" si="89"/>
        <v>45297</v>
      </c>
      <c r="BU151" s="14">
        <f t="shared" si="89"/>
        <v>45295</v>
      </c>
      <c r="BV151" s="14">
        <f t="shared" si="89"/>
        <v>45296</v>
      </c>
      <c r="BW151" s="14">
        <f t="shared" si="89"/>
        <v>45297</v>
      </c>
      <c r="BX151" s="14">
        <f t="shared" si="89"/>
        <v>45297</v>
      </c>
      <c r="BY151" s="14">
        <f t="shared" si="89"/>
        <v>45295</v>
      </c>
      <c r="BZ151" s="14">
        <f t="shared" si="89"/>
        <v>45296</v>
      </c>
      <c r="CA151" s="14">
        <f t="shared" si="89"/>
        <v>45297</v>
      </c>
      <c r="CB151" s="14">
        <f t="shared" si="89"/>
        <v>45297</v>
      </c>
      <c r="CC151" s="14">
        <f t="shared" si="89"/>
        <v>45296</v>
      </c>
      <c r="CD151" s="14">
        <f t="shared" ref="CD151:DD151" si="90">CD152</f>
        <v>45297</v>
      </c>
      <c r="CE151" s="14">
        <f t="shared" si="90"/>
        <v>45295</v>
      </c>
      <c r="CF151" s="14">
        <f t="shared" si="90"/>
        <v>45296</v>
      </c>
      <c r="CG151" s="14">
        <f t="shared" si="90"/>
        <v>45297</v>
      </c>
      <c r="CH151" s="14">
        <f t="shared" si="90"/>
        <v>45295</v>
      </c>
      <c r="CI151" s="14">
        <f t="shared" si="90"/>
        <v>45296</v>
      </c>
      <c r="CJ151" s="14">
        <f t="shared" si="90"/>
        <v>45297</v>
      </c>
      <c r="CK151" s="14">
        <f t="shared" si="90"/>
        <v>45297</v>
      </c>
      <c r="CL151" s="14">
        <f t="shared" si="90"/>
        <v>45296</v>
      </c>
      <c r="CM151" s="14">
        <f t="shared" si="90"/>
        <v>45297</v>
      </c>
      <c r="CN151" s="14">
        <f t="shared" si="90"/>
        <v>45298</v>
      </c>
      <c r="CO151" s="14">
        <f t="shared" si="90"/>
        <v>45298</v>
      </c>
      <c r="CP151" s="14">
        <f t="shared" si="90"/>
        <v>45298</v>
      </c>
      <c r="CQ151" s="14">
        <f t="shared" si="90"/>
        <v>45297</v>
      </c>
      <c r="CR151" s="14">
        <f t="shared" si="90"/>
        <v>45298</v>
      </c>
      <c r="CS151" s="14">
        <f t="shared" si="90"/>
        <v>45297</v>
      </c>
      <c r="CT151" s="14">
        <f t="shared" si="90"/>
        <v>45298</v>
      </c>
      <c r="CU151" s="14">
        <f t="shared" si="90"/>
        <v>45297</v>
      </c>
      <c r="CV151" s="14">
        <f t="shared" si="90"/>
        <v>45298</v>
      </c>
      <c r="CW151" s="14">
        <f t="shared" si="90"/>
        <v>45297</v>
      </c>
      <c r="CX151" s="14">
        <f t="shared" si="90"/>
        <v>45298</v>
      </c>
      <c r="CY151" s="14">
        <f t="shared" si="90"/>
        <v>45297</v>
      </c>
      <c r="CZ151" s="14">
        <f t="shared" si="90"/>
        <v>45298</v>
      </c>
      <c r="DA151" s="14">
        <f t="shared" si="90"/>
        <v>45298</v>
      </c>
      <c r="DB151" s="14">
        <f t="shared" si="90"/>
        <v>45297</v>
      </c>
      <c r="DC151" s="14">
        <f t="shared" si="90"/>
        <v>45298</v>
      </c>
      <c r="DD151" s="14">
        <f t="shared" si="90"/>
        <v>45299</v>
      </c>
    </row>
    <row r="152" spans="17:108" hidden="1" x14ac:dyDescent="0.3">
      <c r="R152" s="19">
        <f>R104</f>
        <v>45259</v>
      </c>
      <c r="S152" s="19">
        <f t="shared" ref="S152:BD152" si="91">R152+1</f>
        <v>45260</v>
      </c>
      <c r="T152" s="19">
        <f t="shared" si="91"/>
        <v>45261</v>
      </c>
      <c r="U152" s="19">
        <f t="shared" si="91"/>
        <v>45262</v>
      </c>
      <c r="V152" s="19">
        <f t="shared" si="91"/>
        <v>45263</v>
      </c>
      <c r="W152" s="19">
        <f t="shared" si="91"/>
        <v>45264</v>
      </c>
      <c r="X152" s="19">
        <f t="shared" si="91"/>
        <v>45265</v>
      </c>
      <c r="Y152" s="19">
        <f t="shared" si="91"/>
        <v>45266</v>
      </c>
      <c r="Z152" s="19">
        <f t="shared" si="91"/>
        <v>45267</v>
      </c>
      <c r="AA152" s="19">
        <f t="shared" si="91"/>
        <v>45268</v>
      </c>
      <c r="AB152" s="19">
        <f t="shared" si="91"/>
        <v>45269</v>
      </c>
      <c r="AC152" s="19">
        <f t="shared" si="91"/>
        <v>45270</v>
      </c>
      <c r="AD152" s="19">
        <f t="shared" si="91"/>
        <v>45271</v>
      </c>
      <c r="AE152" s="19">
        <f t="shared" si="91"/>
        <v>45272</v>
      </c>
      <c r="AF152" s="19">
        <f t="shared" si="91"/>
        <v>45273</v>
      </c>
      <c r="AG152" s="19">
        <f t="shared" si="91"/>
        <v>45274</v>
      </c>
      <c r="AH152" s="19">
        <f t="shared" si="91"/>
        <v>45275</v>
      </c>
      <c r="AI152" s="19">
        <f t="shared" si="91"/>
        <v>45276</v>
      </c>
      <c r="AJ152" s="19">
        <f t="shared" si="91"/>
        <v>45277</v>
      </c>
      <c r="AK152" s="19">
        <f t="shared" si="91"/>
        <v>45278</v>
      </c>
      <c r="AL152" s="19">
        <f t="shared" si="91"/>
        <v>45279</v>
      </c>
      <c r="AM152" s="19">
        <f t="shared" si="91"/>
        <v>45280</v>
      </c>
      <c r="AN152" s="19">
        <f t="shared" si="91"/>
        <v>45281</v>
      </c>
      <c r="AO152" s="19">
        <f t="shared" si="91"/>
        <v>45282</v>
      </c>
      <c r="AP152" s="19">
        <f t="shared" si="91"/>
        <v>45283</v>
      </c>
      <c r="AQ152" s="19">
        <f t="shared" si="91"/>
        <v>45284</v>
      </c>
      <c r="AR152" s="19">
        <f t="shared" si="91"/>
        <v>45285</v>
      </c>
      <c r="AS152" s="19">
        <f t="shared" si="91"/>
        <v>45286</v>
      </c>
      <c r="AT152" s="19">
        <f t="shared" si="91"/>
        <v>45287</v>
      </c>
      <c r="AU152" s="19">
        <f t="shared" si="91"/>
        <v>45288</v>
      </c>
      <c r="AV152" s="19">
        <f t="shared" si="91"/>
        <v>45289</v>
      </c>
      <c r="AW152" s="19">
        <f t="shared" si="91"/>
        <v>45290</v>
      </c>
      <c r="AX152" s="19">
        <f t="shared" si="91"/>
        <v>45291</v>
      </c>
      <c r="AY152" s="19">
        <f t="shared" si="91"/>
        <v>45292</v>
      </c>
      <c r="AZ152" s="19">
        <f t="shared" si="91"/>
        <v>45293</v>
      </c>
      <c r="BA152" s="19">
        <f t="shared" si="91"/>
        <v>45294</v>
      </c>
      <c r="BB152" s="19">
        <f t="shared" si="91"/>
        <v>45295</v>
      </c>
      <c r="BC152" s="19">
        <f t="shared" si="91"/>
        <v>45296</v>
      </c>
      <c r="BD152" s="19">
        <f t="shared" si="91"/>
        <v>45297</v>
      </c>
      <c r="BE152" s="19">
        <f>BB152+1</f>
        <v>45296</v>
      </c>
      <c r="BF152" s="19">
        <f>BC152+1</f>
        <v>45297</v>
      </c>
      <c r="BG152" s="19">
        <f>BB152+1</f>
        <v>45296</v>
      </c>
      <c r="BH152" s="19">
        <f>BC152+1</f>
        <v>45297</v>
      </c>
      <c r="BI152" s="19">
        <f>BB152+1</f>
        <v>45296</v>
      </c>
      <c r="BJ152" s="19">
        <f>BC152+1</f>
        <v>45297</v>
      </c>
      <c r="BK152" s="19">
        <f t="shared" ref="BK152:BO152" si="92">AY152+1</f>
        <v>45293</v>
      </c>
      <c r="BL152" s="19">
        <f t="shared" si="92"/>
        <v>45294</v>
      </c>
      <c r="BM152" s="19">
        <f t="shared" si="92"/>
        <v>45295</v>
      </c>
      <c r="BN152" s="19">
        <f t="shared" si="92"/>
        <v>45296</v>
      </c>
      <c r="BO152" s="19">
        <f t="shared" si="92"/>
        <v>45297</v>
      </c>
      <c r="BP152" s="19">
        <f>BB152+1</f>
        <v>45296</v>
      </c>
      <c r="BQ152" s="19">
        <f>BC152+1</f>
        <v>45297</v>
      </c>
      <c r="BR152" s="19">
        <f>BB152+1</f>
        <v>45296</v>
      </c>
      <c r="BS152" s="19">
        <f>BC152+1</f>
        <v>45297</v>
      </c>
      <c r="BT152" s="19">
        <f>BC152+1</f>
        <v>45297</v>
      </c>
      <c r="BU152" s="19">
        <f>BA152+1</f>
        <v>45295</v>
      </c>
      <c r="BV152" s="19">
        <f>BB152+1</f>
        <v>45296</v>
      </c>
      <c r="BW152" s="19">
        <f>BC152+1</f>
        <v>45297</v>
      </c>
      <c r="BX152" s="19">
        <f>BC152+1</f>
        <v>45297</v>
      </c>
      <c r="BY152" s="19">
        <f>BA152+1</f>
        <v>45295</v>
      </c>
      <c r="BZ152" s="19">
        <f>BB152+1</f>
        <v>45296</v>
      </c>
      <c r="CA152" s="19">
        <f>BC152+1</f>
        <v>45297</v>
      </c>
      <c r="CB152" s="19">
        <f>BC152+1</f>
        <v>45297</v>
      </c>
      <c r="CC152" s="19">
        <f>BB152+1</f>
        <v>45296</v>
      </c>
      <c r="CD152" s="19">
        <f>BC152+1</f>
        <v>45297</v>
      </c>
      <c r="CE152" s="19">
        <f>BA152+1</f>
        <v>45295</v>
      </c>
      <c r="CF152" s="19">
        <f>BB152+1</f>
        <v>45296</v>
      </c>
      <c r="CG152" s="19">
        <f>BC152+1</f>
        <v>45297</v>
      </c>
      <c r="CH152" s="19">
        <f>BA152+1</f>
        <v>45295</v>
      </c>
      <c r="CI152" s="19">
        <f>BB152+1</f>
        <v>45296</v>
      </c>
      <c r="CJ152" s="19">
        <f>BC152+1</f>
        <v>45297</v>
      </c>
      <c r="CK152" s="19">
        <f>BC152+1</f>
        <v>45297</v>
      </c>
      <c r="CL152" s="19">
        <f>BB152+1</f>
        <v>45296</v>
      </c>
      <c r="CM152" s="19">
        <f>BC152+1</f>
        <v>45297</v>
      </c>
      <c r="CN152" s="19">
        <f>BD152+1</f>
        <v>45298</v>
      </c>
      <c r="CO152" s="19">
        <f>CM152+1</f>
        <v>45298</v>
      </c>
      <c r="CP152" s="19">
        <f>CK152+1</f>
        <v>45298</v>
      </c>
      <c r="CQ152" s="19">
        <f>CL152+1</f>
        <v>45297</v>
      </c>
      <c r="CR152" s="19">
        <f>CK152+1</f>
        <v>45298</v>
      </c>
      <c r="CS152" s="19">
        <f>CL152+1</f>
        <v>45297</v>
      </c>
      <c r="CT152" s="19">
        <f>CK152+1</f>
        <v>45298</v>
      </c>
      <c r="CU152" s="19">
        <f>CL152+1</f>
        <v>45297</v>
      </c>
      <c r="CV152" s="19">
        <f>CK152+1</f>
        <v>45298</v>
      </c>
      <c r="CW152" s="19">
        <f>CL152+1</f>
        <v>45297</v>
      </c>
      <c r="CX152" s="19">
        <f>CK152+1</f>
        <v>45298</v>
      </c>
      <c r="CY152" s="19">
        <f>CL152+1</f>
        <v>45297</v>
      </c>
      <c r="CZ152" s="19">
        <f>CJ152+1</f>
        <v>45298</v>
      </c>
      <c r="DA152" s="19">
        <f>CK152+1</f>
        <v>45298</v>
      </c>
      <c r="DB152" s="19">
        <f>CL152+1</f>
        <v>45297</v>
      </c>
      <c r="DC152" s="19">
        <f>CM152+1</f>
        <v>45298</v>
      </c>
      <c r="DD152" s="19">
        <f>CN152+1</f>
        <v>45299</v>
      </c>
    </row>
    <row r="153" spans="17:108" hidden="1" x14ac:dyDescent="0.3">
      <c r="Q153" s="45" t="s">
        <v>46</v>
      </c>
      <c r="R153" s="46">
        <v>25</v>
      </c>
      <c r="S153" s="46">
        <v>37</v>
      </c>
      <c r="T153" s="46">
        <v>44</v>
      </c>
      <c r="U153" s="46">
        <v>0</v>
      </c>
      <c r="V153" s="46">
        <v>33</v>
      </c>
      <c r="W153" s="46">
        <v>54</v>
      </c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</row>
    <row r="154" spans="17:108" hidden="1" x14ac:dyDescent="0.3">
      <c r="Q154" s="45" t="s">
        <v>47</v>
      </c>
      <c r="R154" s="46">
        <v>9</v>
      </c>
      <c r="S154" s="46">
        <v>13</v>
      </c>
      <c r="T154" s="46">
        <v>12</v>
      </c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</row>
    <row r="155" spans="17:108" hidden="1" x14ac:dyDescent="0.3">
      <c r="Q155" s="45" t="s">
        <v>54</v>
      </c>
      <c r="R155" s="46">
        <v>0</v>
      </c>
      <c r="S155" s="46">
        <v>36</v>
      </c>
      <c r="T155" s="46">
        <v>15</v>
      </c>
      <c r="U155" s="46">
        <v>41</v>
      </c>
      <c r="V155" s="46"/>
      <c r="W155" s="46">
        <v>34</v>
      </c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</row>
    <row r="156" spans="17:108" hidden="1" x14ac:dyDescent="0.3">
      <c r="Q156" s="45" t="s">
        <v>48</v>
      </c>
      <c r="R156" s="46">
        <v>29</v>
      </c>
      <c r="S156" s="46">
        <v>40</v>
      </c>
      <c r="T156" s="46">
        <v>43</v>
      </c>
      <c r="U156" s="46">
        <v>0</v>
      </c>
      <c r="V156" s="46">
        <v>46</v>
      </c>
      <c r="W156" s="46">
        <v>55</v>
      </c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</row>
    <row r="157" spans="17:108" hidden="1" x14ac:dyDescent="0.3">
      <c r="Q157" s="45" t="s">
        <v>49</v>
      </c>
      <c r="R157" s="46">
        <v>34</v>
      </c>
      <c r="S157" s="46">
        <v>32</v>
      </c>
      <c r="T157" s="46"/>
      <c r="U157" s="46">
        <v>25</v>
      </c>
      <c r="V157" s="46"/>
      <c r="W157" s="46">
        <v>37</v>
      </c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</row>
    <row r="158" spans="17:108" hidden="1" x14ac:dyDescent="0.3">
      <c r="Q158" s="45" t="s">
        <v>50</v>
      </c>
      <c r="R158" s="46">
        <v>11</v>
      </c>
      <c r="S158" s="46">
        <v>22</v>
      </c>
      <c r="T158" s="46">
        <v>27</v>
      </c>
      <c r="U158" s="46">
        <v>28</v>
      </c>
      <c r="V158" s="46"/>
      <c r="W158" s="46">
        <v>28</v>
      </c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</row>
    <row r="159" spans="17:108" hidden="1" x14ac:dyDescent="0.3">
      <c r="Q159" s="45" t="s">
        <v>55</v>
      </c>
      <c r="R159" s="46">
        <v>0</v>
      </c>
      <c r="S159" s="46">
        <v>0</v>
      </c>
      <c r="T159" s="46">
        <v>12</v>
      </c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</row>
    <row r="160" spans="17:108" hidden="1" x14ac:dyDescent="0.3">
      <c r="Q160" s="45" t="s">
        <v>51</v>
      </c>
      <c r="R160" s="46">
        <v>45</v>
      </c>
      <c r="S160" s="46">
        <v>28</v>
      </c>
      <c r="T160" s="46">
        <v>41</v>
      </c>
      <c r="U160" s="46">
        <v>0</v>
      </c>
      <c r="V160" s="46">
        <v>57</v>
      </c>
      <c r="W160" s="46">
        <v>55</v>
      </c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</row>
    <row r="161" spans="5:108" hidden="1" x14ac:dyDescent="0.3">
      <c r="Q161" s="45" t="s">
        <v>52</v>
      </c>
      <c r="R161" s="46">
        <v>2</v>
      </c>
      <c r="S161" s="46">
        <v>5</v>
      </c>
      <c r="T161" s="46"/>
      <c r="U161" s="46">
        <v>19</v>
      </c>
      <c r="V161" s="46"/>
      <c r="W161" s="46">
        <v>22</v>
      </c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</row>
    <row r="162" spans="5:108" hidden="1" x14ac:dyDescent="0.3">
      <c r="Q162" s="45" t="s">
        <v>53</v>
      </c>
      <c r="R162" s="46">
        <v>0</v>
      </c>
      <c r="S162" s="46">
        <v>33</v>
      </c>
      <c r="T162" s="46"/>
      <c r="U162" s="46"/>
      <c r="V162" s="46"/>
      <c r="W162" s="46">
        <v>56</v>
      </c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</row>
    <row r="163" spans="5:108" hidden="1" x14ac:dyDescent="0.3">
      <c r="R163" s="47">
        <f>SUM(R153:R162)</f>
        <v>155</v>
      </c>
      <c r="S163" s="47">
        <f t="shared" ref="S163:DD163" si="93">SUM(S153:S162)</f>
        <v>246</v>
      </c>
      <c r="T163" s="47">
        <f t="shared" si="93"/>
        <v>194</v>
      </c>
      <c r="U163" s="47">
        <f t="shared" si="93"/>
        <v>113</v>
      </c>
      <c r="V163" s="47">
        <f t="shared" si="93"/>
        <v>136</v>
      </c>
      <c r="W163" s="47">
        <f t="shared" si="93"/>
        <v>341</v>
      </c>
      <c r="X163" s="47">
        <f t="shared" si="93"/>
        <v>0</v>
      </c>
      <c r="Y163" s="47">
        <f t="shared" si="93"/>
        <v>0</v>
      </c>
      <c r="Z163" s="47">
        <f t="shared" si="93"/>
        <v>0</v>
      </c>
      <c r="AA163" s="47">
        <f t="shared" si="93"/>
        <v>0</v>
      </c>
      <c r="AB163" s="47">
        <f t="shared" si="93"/>
        <v>0</v>
      </c>
      <c r="AC163" s="47">
        <f t="shared" si="93"/>
        <v>0</v>
      </c>
      <c r="AD163" s="47">
        <f t="shared" si="93"/>
        <v>0</v>
      </c>
      <c r="AE163" s="47">
        <f t="shared" si="93"/>
        <v>0</v>
      </c>
      <c r="AF163" s="47">
        <f t="shared" si="93"/>
        <v>0</v>
      </c>
      <c r="AG163" s="47">
        <f t="shared" si="93"/>
        <v>0</v>
      </c>
      <c r="AH163" s="47">
        <f t="shared" si="93"/>
        <v>0</v>
      </c>
      <c r="AI163" s="47">
        <f t="shared" si="93"/>
        <v>0</v>
      </c>
      <c r="AJ163" s="47">
        <f t="shared" si="93"/>
        <v>0</v>
      </c>
      <c r="AK163" s="47">
        <f t="shared" si="93"/>
        <v>0</v>
      </c>
      <c r="AL163" s="47">
        <f t="shared" si="93"/>
        <v>0</v>
      </c>
      <c r="AM163" s="47">
        <f t="shared" si="93"/>
        <v>0</v>
      </c>
      <c r="AN163" s="47">
        <f t="shared" si="93"/>
        <v>0</v>
      </c>
      <c r="AO163" s="47">
        <f t="shared" si="93"/>
        <v>0</v>
      </c>
      <c r="AP163" s="47">
        <f t="shared" si="93"/>
        <v>0</v>
      </c>
      <c r="AQ163" s="47">
        <f t="shared" si="93"/>
        <v>0</v>
      </c>
      <c r="AR163" s="47">
        <f t="shared" si="93"/>
        <v>0</v>
      </c>
      <c r="AS163" s="47">
        <f t="shared" si="93"/>
        <v>0</v>
      </c>
      <c r="AT163" s="47">
        <f t="shared" si="93"/>
        <v>0</v>
      </c>
      <c r="AU163" s="47">
        <f t="shared" si="93"/>
        <v>0</v>
      </c>
      <c r="AV163" s="47">
        <f t="shared" si="93"/>
        <v>0</v>
      </c>
      <c r="AW163" s="47">
        <f t="shared" si="93"/>
        <v>0</v>
      </c>
      <c r="AX163" s="47">
        <f t="shared" si="93"/>
        <v>0</v>
      </c>
      <c r="AY163" s="47">
        <f t="shared" si="93"/>
        <v>0</v>
      </c>
      <c r="AZ163" s="47">
        <f t="shared" si="93"/>
        <v>0</v>
      </c>
      <c r="BA163" s="47">
        <f t="shared" si="93"/>
        <v>0</v>
      </c>
      <c r="BB163" s="47">
        <f t="shared" si="93"/>
        <v>0</v>
      </c>
      <c r="BC163" s="47">
        <f t="shared" si="93"/>
        <v>0</v>
      </c>
      <c r="BD163" s="47">
        <f t="shared" si="93"/>
        <v>0</v>
      </c>
      <c r="BE163" s="47">
        <f t="shared" si="93"/>
        <v>0</v>
      </c>
      <c r="BF163" s="47">
        <f t="shared" si="93"/>
        <v>0</v>
      </c>
      <c r="BG163" s="47">
        <f t="shared" si="93"/>
        <v>0</v>
      </c>
      <c r="BH163" s="47">
        <f t="shared" si="93"/>
        <v>0</v>
      </c>
      <c r="BI163" s="47">
        <f t="shared" si="93"/>
        <v>0</v>
      </c>
      <c r="BJ163" s="47">
        <f t="shared" si="93"/>
        <v>0</v>
      </c>
      <c r="BK163" s="47">
        <f t="shared" si="93"/>
        <v>0</v>
      </c>
      <c r="BL163" s="47">
        <f t="shared" si="93"/>
        <v>0</v>
      </c>
      <c r="BM163" s="47">
        <f t="shared" si="93"/>
        <v>0</v>
      </c>
      <c r="BN163" s="47">
        <f t="shared" si="93"/>
        <v>0</v>
      </c>
      <c r="BO163" s="47">
        <f t="shared" si="93"/>
        <v>0</v>
      </c>
      <c r="BP163" s="47">
        <f t="shared" si="93"/>
        <v>0</v>
      </c>
      <c r="BQ163" s="47">
        <f t="shared" si="93"/>
        <v>0</v>
      </c>
      <c r="BR163" s="47">
        <f t="shared" si="93"/>
        <v>0</v>
      </c>
      <c r="BS163" s="47">
        <f t="shared" si="93"/>
        <v>0</v>
      </c>
      <c r="BT163" s="47">
        <f t="shared" si="93"/>
        <v>0</v>
      </c>
      <c r="BU163" s="47">
        <f t="shared" si="93"/>
        <v>0</v>
      </c>
      <c r="BV163" s="47">
        <f t="shared" si="93"/>
        <v>0</v>
      </c>
      <c r="BW163" s="47">
        <f t="shared" si="93"/>
        <v>0</v>
      </c>
      <c r="BX163" s="47">
        <f t="shared" si="93"/>
        <v>0</v>
      </c>
      <c r="BY163" s="47">
        <f t="shared" si="93"/>
        <v>0</v>
      </c>
      <c r="BZ163" s="47">
        <f t="shared" si="93"/>
        <v>0</v>
      </c>
      <c r="CA163" s="47">
        <f t="shared" si="93"/>
        <v>0</v>
      </c>
      <c r="CB163" s="47">
        <f t="shared" si="93"/>
        <v>0</v>
      </c>
      <c r="CC163" s="47">
        <f t="shared" si="93"/>
        <v>0</v>
      </c>
      <c r="CD163" s="47">
        <f t="shared" si="93"/>
        <v>0</v>
      </c>
      <c r="CE163" s="47">
        <f t="shared" si="93"/>
        <v>0</v>
      </c>
      <c r="CF163" s="47">
        <f t="shared" si="93"/>
        <v>0</v>
      </c>
      <c r="CG163" s="47">
        <f t="shared" si="93"/>
        <v>0</v>
      </c>
      <c r="CH163" s="47">
        <f t="shared" si="93"/>
        <v>0</v>
      </c>
      <c r="CI163" s="47">
        <f t="shared" si="93"/>
        <v>0</v>
      </c>
      <c r="CJ163" s="47">
        <f t="shared" si="93"/>
        <v>0</v>
      </c>
      <c r="CK163" s="47">
        <f t="shared" si="93"/>
        <v>0</v>
      </c>
      <c r="CL163" s="47">
        <f t="shared" si="93"/>
        <v>0</v>
      </c>
      <c r="CM163" s="47">
        <f t="shared" si="93"/>
        <v>0</v>
      </c>
      <c r="CN163" s="47">
        <f t="shared" si="93"/>
        <v>0</v>
      </c>
      <c r="CO163" s="47">
        <f t="shared" si="93"/>
        <v>0</v>
      </c>
      <c r="CP163" s="47">
        <f t="shared" si="93"/>
        <v>0</v>
      </c>
      <c r="CQ163" s="47">
        <f t="shared" si="93"/>
        <v>0</v>
      </c>
      <c r="CR163" s="47">
        <f t="shared" si="93"/>
        <v>0</v>
      </c>
      <c r="CS163" s="47">
        <f t="shared" si="93"/>
        <v>0</v>
      </c>
      <c r="CT163" s="47">
        <f t="shared" si="93"/>
        <v>0</v>
      </c>
      <c r="CU163" s="47">
        <f t="shared" si="93"/>
        <v>0</v>
      </c>
      <c r="CV163" s="47">
        <f t="shared" si="93"/>
        <v>0</v>
      </c>
      <c r="CW163" s="47">
        <f t="shared" si="93"/>
        <v>0</v>
      </c>
      <c r="CX163" s="47">
        <f t="shared" si="93"/>
        <v>0</v>
      </c>
      <c r="CY163" s="47">
        <f t="shared" si="93"/>
        <v>0</v>
      </c>
      <c r="CZ163" s="47">
        <f t="shared" si="93"/>
        <v>0</v>
      </c>
      <c r="DA163" s="47">
        <f t="shared" si="93"/>
        <v>0</v>
      </c>
      <c r="DB163" s="47">
        <f t="shared" si="93"/>
        <v>0</v>
      </c>
      <c r="DC163" s="47">
        <f t="shared" si="93"/>
        <v>0</v>
      </c>
      <c r="DD163" s="47">
        <f t="shared" si="93"/>
        <v>0</v>
      </c>
    </row>
    <row r="169" spans="5:108" x14ac:dyDescent="0.3">
      <c r="E169" s="65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 spans="5:108" x14ac:dyDescent="0.3"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</row>
    <row r="171" spans="5:108" x14ac:dyDescent="0.3"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</row>
    <row r="172" spans="5:108" x14ac:dyDescent="0.3"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E172" s="67"/>
    </row>
    <row r="173" spans="5:108" x14ac:dyDescent="0.3"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</row>
    <row r="175" spans="5:108" x14ac:dyDescent="0.3"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</row>
    <row r="176" spans="5:108" x14ac:dyDescent="0.3"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</row>
  </sheetData>
  <mergeCells count="20">
    <mergeCell ref="B6:B22"/>
    <mergeCell ref="B49:B73"/>
    <mergeCell ref="F51:DD51"/>
    <mergeCell ref="DE65:DG65"/>
    <mergeCell ref="DE66:DG66"/>
    <mergeCell ref="DE69:DG69"/>
    <mergeCell ref="DE70:DG70"/>
    <mergeCell ref="DE124:DG124"/>
    <mergeCell ref="DE125:DG125"/>
    <mergeCell ref="DE126:DG126"/>
    <mergeCell ref="B100:B128"/>
    <mergeCell ref="F102:DD102"/>
    <mergeCell ref="DE116:DG116"/>
    <mergeCell ref="DE117:DG117"/>
    <mergeCell ref="DE118:DG118"/>
    <mergeCell ref="DE119:DG119"/>
    <mergeCell ref="DE120:DG120"/>
    <mergeCell ref="DE121:DG121"/>
    <mergeCell ref="DE122:DG122"/>
    <mergeCell ref="DE123:DG123"/>
  </mergeCells>
  <conditionalFormatting sqref="F117:DD117">
    <cfRule type="cellIs" dxfId="19" priority="11" operator="greaterThanOrEqual">
      <formula>MAX($F$117:$DD$117)</formula>
    </cfRule>
  </conditionalFormatting>
  <conditionalFormatting sqref="F118:DD118">
    <cfRule type="cellIs" dxfId="18" priority="10" operator="greaterThanOrEqual">
      <formula>MAX($F$118:$DD$118)</formula>
    </cfRule>
  </conditionalFormatting>
  <conditionalFormatting sqref="F119:DD119">
    <cfRule type="cellIs" dxfId="17" priority="9" operator="greaterThanOrEqual">
      <formula>MAX($F$119:$DD$119)</formula>
    </cfRule>
  </conditionalFormatting>
  <conditionalFormatting sqref="F120:DD120">
    <cfRule type="cellIs" dxfId="16" priority="8" operator="greaterThanOrEqual">
      <formula>MAX($F$120:$DD$120)</formula>
    </cfRule>
  </conditionalFormatting>
  <conditionalFormatting sqref="F121:DD121">
    <cfRule type="cellIs" dxfId="15" priority="7" operator="greaterThanOrEqual">
      <formula>MAX($F$121:$DD$121)</formula>
    </cfRule>
  </conditionalFormatting>
  <conditionalFormatting sqref="F122:DD122">
    <cfRule type="cellIs" dxfId="14" priority="6" operator="greaterThanOrEqual">
      <formula>MAX($F$122:$DD$122)</formula>
    </cfRule>
  </conditionalFormatting>
  <conditionalFormatting sqref="F123:DD123">
    <cfRule type="cellIs" dxfId="13" priority="5" operator="greaterThanOrEqual">
      <formula>MAX($F$123:$DD$123)</formula>
    </cfRule>
  </conditionalFormatting>
  <conditionalFormatting sqref="F124:DD124">
    <cfRule type="cellIs" dxfId="12" priority="4" operator="greaterThanOrEqual">
      <formula>MAX($F$124:$DD$124)</formula>
    </cfRule>
  </conditionalFormatting>
  <conditionalFormatting sqref="F125:DD125">
    <cfRule type="cellIs" dxfId="11" priority="3" operator="greaterThanOrEqual">
      <formula>MAX($F$125:$DD$125)</formula>
    </cfRule>
  </conditionalFormatting>
  <conditionalFormatting sqref="F126:DD126">
    <cfRule type="cellIs" dxfId="10" priority="2" operator="greaterThanOrEqual">
      <formula>MAX($F$126:$DD$126)</formula>
    </cfRule>
  </conditionalFormatting>
  <conditionalFormatting sqref="R153:DD162">
    <cfRule type="colorScale" priority="1">
      <colorScale>
        <cfvo type="min"/>
        <cfvo type="percentile" val="50"/>
        <cfvo type="num" val="39"/>
        <color theme="5" tint="0.59999389629810485"/>
        <color theme="0"/>
        <color theme="6" tint="0.59999389629810485"/>
      </colorScale>
    </cfRule>
  </conditionalFormatting>
  <pageMargins left="0.7" right="0.7" top="0.75" bottom="0.75" header="0.3" footer="0.3"/>
  <pageSetup orientation="portrait" horizontalDpi="300" verticalDpi="300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high="1" xr2:uid="{73E0288C-239C-4F21-ACF0-2D8F164C4B4C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'Buen fin (3)'!AY69:DD69</xm:f>
              <xm:sqref>DE69</xm:sqref>
            </x14:sparkline>
          </x14:sparklines>
        </x14:sparklineGroup>
        <x14:sparklineGroup type="column" displayEmptyCellsAs="span" high="1" xr2:uid="{C63A5185-9B91-4374-B97B-2C4A1A476D70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'Buen fin (3)'!AY70:DD70</xm:f>
              <xm:sqref>DE70</xm:sqref>
            </x14:sparkline>
          </x14:sparklines>
        </x14:sparklineGroup>
        <x14:sparklineGroup type="column" displayEmptyCellsAs="span" high="1" xr2:uid="{E9E3FB08-62BA-436D-A19C-37294D80E9EB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'Buen fin (3)'!AY66:DD66</xm:f>
              <xm:sqref>DE66</xm:sqref>
            </x14:sparkline>
          </x14:sparklines>
        </x14:sparklineGroup>
        <x14:sparklineGroup type="column" displayEmptyCellsAs="span" high="1" xr2:uid="{FD6350B0-5EE5-495D-B366-1AA5E8D819F4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'Buen fin (3)'!AY117:DD117</xm:f>
              <xm:sqref>DE117</xm:sqref>
            </x14:sparkline>
            <x14:sparkline>
              <xm:f>'Buen fin (3)'!AY118:DD118</xm:f>
              <xm:sqref>DE118</xm:sqref>
            </x14:sparkline>
            <x14:sparkline>
              <xm:f>'Buen fin (3)'!AY119:DD119</xm:f>
              <xm:sqref>DE119</xm:sqref>
            </x14:sparkline>
            <x14:sparkline>
              <xm:f>'Buen fin (3)'!AY120:DD120</xm:f>
              <xm:sqref>DE120</xm:sqref>
            </x14:sparkline>
            <x14:sparkline>
              <xm:f>'Buen fin (3)'!AY121:DD121</xm:f>
              <xm:sqref>DE121</xm:sqref>
            </x14:sparkline>
            <x14:sparkline>
              <xm:f>'Buen fin (3)'!AY122:DD122</xm:f>
              <xm:sqref>DE122</xm:sqref>
            </x14:sparkline>
            <x14:sparkline>
              <xm:f>'Buen fin (3)'!AY123:DD123</xm:f>
              <xm:sqref>DE123</xm:sqref>
            </x14:sparkline>
            <x14:sparkline>
              <xm:f>'Buen fin (3)'!AY124:DD124</xm:f>
              <xm:sqref>DE124</xm:sqref>
            </x14:sparkline>
            <x14:sparkline>
              <xm:f>'Buen fin (3)'!AY125:DD125</xm:f>
              <xm:sqref>DE125</xm:sqref>
            </x14:sparkline>
            <x14:sparkline>
              <xm:f>'Buen fin (3)'!AY126:DD126</xm:f>
              <xm:sqref>DE126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65E1-3597-4383-8CEA-982B4DB36D17}">
  <dimension ref="A1:CV163"/>
  <sheetViews>
    <sheetView showGridLines="0" zoomScale="90" zoomScaleNormal="90" zoomScaleSheetLayoutView="70" workbookViewId="0">
      <pane xSplit="5" topLeftCell="BY1" activePane="topRight" state="frozen"/>
      <selection pane="topRight" activeCell="CC50" sqref="CC50"/>
    </sheetView>
  </sheetViews>
  <sheetFormatPr defaultRowHeight="14.4" outlineLevelRow="1" x14ac:dyDescent="0.3"/>
  <cols>
    <col min="1" max="1" width="3.21875" style="21" customWidth="1"/>
    <col min="2" max="2" width="5.77734375" style="21" customWidth="1"/>
    <col min="3" max="4" width="1.88671875" style="21" customWidth="1"/>
    <col min="5" max="5" width="14.77734375" style="21" customWidth="1"/>
    <col min="6" max="90" width="12" style="21" customWidth="1"/>
    <col min="91" max="91" width="9.44140625" style="21" bestFit="1" customWidth="1"/>
    <col min="92" max="93" width="8.88671875" style="21" customWidth="1"/>
    <col min="94" max="16384" width="8.88671875" style="21"/>
  </cols>
  <sheetData>
    <row r="1" spans="1:100" ht="15.6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5"/>
      <c r="CP1" s="25"/>
      <c r="CV1" s="27"/>
    </row>
    <row r="2" spans="1:100" ht="36" customHeight="1" x14ac:dyDescent="0.3">
      <c r="A2" s="24"/>
      <c r="B2" s="24"/>
      <c r="C2" s="24"/>
      <c r="D2" s="24"/>
      <c r="E2" s="24"/>
      <c r="F2" s="24"/>
      <c r="G2" s="24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5"/>
      <c r="CN2" s="25"/>
      <c r="CO2" s="25"/>
      <c r="CP2" s="25"/>
      <c r="CV2" s="27"/>
    </row>
    <row r="3" spans="1:100" ht="19.2" customHeight="1" x14ac:dyDescent="0.3">
      <c r="A3" s="24"/>
      <c r="B3" s="24"/>
      <c r="C3" s="24"/>
      <c r="D3" s="24"/>
      <c r="E3" s="24"/>
      <c r="F3" s="24"/>
      <c r="G3" s="24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5"/>
      <c r="CN3" s="25"/>
      <c r="CO3" s="25"/>
      <c r="CP3" s="25"/>
      <c r="CV3" s="27"/>
    </row>
    <row r="4" spans="1:100" ht="7.8" customHeight="1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5"/>
      <c r="CP4" s="25"/>
      <c r="CV4" s="27"/>
    </row>
    <row r="5" spans="1:100" ht="15.6" x14ac:dyDescent="0.3">
      <c r="CO5" s="28"/>
      <c r="CP5" s="28"/>
      <c r="CV5" s="27"/>
    </row>
    <row r="6" spans="1:100" ht="14.4" customHeight="1" x14ac:dyDescent="0.3">
      <c r="B6" s="75" t="s">
        <v>16</v>
      </c>
    </row>
    <row r="7" spans="1:100" x14ac:dyDescent="0.3">
      <c r="B7" s="75"/>
    </row>
    <row r="8" spans="1:100" x14ac:dyDescent="0.3">
      <c r="B8" s="75"/>
    </row>
    <row r="9" spans="1:100" x14ac:dyDescent="0.3">
      <c r="B9" s="75"/>
      <c r="E9" s="1"/>
      <c r="F9" s="11">
        <f t="shared" ref="F9:BQ9" si="0">F10</f>
        <v>45247</v>
      </c>
      <c r="G9" s="11">
        <f t="shared" si="0"/>
        <v>45248</v>
      </c>
      <c r="H9" s="11">
        <f t="shared" si="0"/>
        <v>45249</v>
      </c>
      <c r="I9" s="11">
        <f t="shared" si="0"/>
        <v>45250</v>
      </c>
      <c r="J9" s="11">
        <f t="shared" si="0"/>
        <v>45251</v>
      </c>
      <c r="K9" s="11">
        <f t="shared" si="0"/>
        <v>45252</v>
      </c>
      <c r="L9" s="11">
        <f t="shared" si="0"/>
        <v>45253</v>
      </c>
      <c r="M9" s="11">
        <f t="shared" si="0"/>
        <v>45254</v>
      </c>
      <c r="N9" s="11">
        <f t="shared" si="0"/>
        <v>45255</v>
      </c>
      <c r="O9" s="11">
        <f t="shared" si="0"/>
        <v>45256</v>
      </c>
      <c r="P9" s="11">
        <f t="shared" si="0"/>
        <v>45257</v>
      </c>
      <c r="Q9" s="11">
        <f t="shared" si="0"/>
        <v>45258</v>
      </c>
      <c r="R9" s="11">
        <f t="shared" si="0"/>
        <v>45259</v>
      </c>
      <c r="S9" s="11">
        <f t="shared" si="0"/>
        <v>45260</v>
      </c>
      <c r="T9" s="11">
        <f t="shared" si="0"/>
        <v>45261</v>
      </c>
      <c r="U9" s="11">
        <f t="shared" si="0"/>
        <v>45262</v>
      </c>
      <c r="V9" s="11">
        <f t="shared" si="0"/>
        <v>45263</v>
      </c>
      <c r="W9" s="11">
        <f t="shared" si="0"/>
        <v>45264</v>
      </c>
      <c r="X9" s="11">
        <f t="shared" si="0"/>
        <v>45265</v>
      </c>
      <c r="Y9" s="11">
        <f t="shared" si="0"/>
        <v>45266</v>
      </c>
      <c r="Z9" s="11">
        <f t="shared" si="0"/>
        <v>45267</v>
      </c>
      <c r="AA9" s="11">
        <f t="shared" si="0"/>
        <v>45268</v>
      </c>
      <c r="AB9" s="11">
        <f t="shared" si="0"/>
        <v>45269</v>
      </c>
      <c r="AC9" s="11">
        <f t="shared" si="0"/>
        <v>45270</v>
      </c>
      <c r="AD9" s="11">
        <f t="shared" si="0"/>
        <v>45271</v>
      </c>
      <c r="AE9" s="11">
        <f t="shared" si="0"/>
        <v>45272</v>
      </c>
      <c r="AF9" s="11">
        <f t="shared" si="0"/>
        <v>45273</v>
      </c>
      <c r="AG9" s="11">
        <f t="shared" si="0"/>
        <v>45274</v>
      </c>
      <c r="AH9" s="11">
        <f t="shared" si="0"/>
        <v>45275</v>
      </c>
      <c r="AI9" s="11">
        <f t="shared" si="0"/>
        <v>45276</v>
      </c>
      <c r="AJ9" s="11">
        <f t="shared" si="0"/>
        <v>45277</v>
      </c>
      <c r="AK9" s="11">
        <f t="shared" si="0"/>
        <v>45278</v>
      </c>
      <c r="AL9" s="11">
        <f t="shared" si="0"/>
        <v>45279</v>
      </c>
      <c r="AM9" s="11">
        <f t="shared" si="0"/>
        <v>45280</v>
      </c>
      <c r="AN9" s="11">
        <f t="shared" si="0"/>
        <v>45281</v>
      </c>
      <c r="AO9" s="11">
        <f t="shared" si="0"/>
        <v>45282</v>
      </c>
      <c r="AP9" s="11">
        <f t="shared" si="0"/>
        <v>45283</v>
      </c>
      <c r="AQ9" s="11">
        <f t="shared" si="0"/>
        <v>45284</v>
      </c>
      <c r="AR9" s="11">
        <f t="shared" si="0"/>
        <v>45285</v>
      </c>
      <c r="AS9" s="11">
        <f t="shared" si="0"/>
        <v>45286</v>
      </c>
      <c r="AT9" s="11">
        <f t="shared" si="0"/>
        <v>45287</v>
      </c>
      <c r="AU9" s="11">
        <f t="shared" si="0"/>
        <v>45288</v>
      </c>
      <c r="AV9" s="11">
        <f t="shared" si="0"/>
        <v>45289</v>
      </c>
      <c r="AW9" s="11">
        <f t="shared" si="0"/>
        <v>45290</v>
      </c>
      <c r="AX9" s="11">
        <f t="shared" si="0"/>
        <v>45291</v>
      </c>
      <c r="AY9" s="11">
        <f t="shared" si="0"/>
        <v>45292</v>
      </c>
      <c r="AZ9" s="11">
        <f t="shared" si="0"/>
        <v>45293</v>
      </c>
      <c r="BA9" s="11">
        <f t="shared" si="0"/>
        <v>45294</v>
      </c>
      <c r="BB9" s="11">
        <f t="shared" si="0"/>
        <v>45295</v>
      </c>
      <c r="BC9" s="11">
        <f t="shared" si="0"/>
        <v>45296</v>
      </c>
      <c r="BD9" s="11">
        <f t="shared" si="0"/>
        <v>45297</v>
      </c>
      <c r="BE9" s="11">
        <f t="shared" si="0"/>
        <v>45298</v>
      </c>
      <c r="BF9" s="11">
        <f t="shared" si="0"/>
        <v>45299</v>
      </c>
      <c r="BG9" s="11">
        <f t="shared" si="0"/>
        <v>45300</v>
      </c>
      <c r="BH9" s="11">
        <f t="shared" si="0"/>
        <v>45301</v>
      </c>
      <c r="BI9" s="11">
        <f t="shared" si="0"/>
        <v>45302</v>
      </c>
      <c r="BJ9" s="11">
        <f t="shared" si="0"/>
        <v>45303</v>
      </c>
      <c r="BK9" s="11">
        <f t="shared" si="0"/>
        <v>45304</v>
      </c>
      <c r="BL9" s="11">
        <f t="shared" si="0"/>
        <v>45305</v>
      </c>
      <c r="BM9" s="11">
        <f t="shared" si="0"/>
        <v>45306</v>
      </c>
      <c r="BN9" s="11">
        <f t="shared" si="0"/>
        <v>45307</v>
      </c>
      <c r="BO9" s="11">
        <f t="shared" si="0"/>
        <v>45308</v>
      </c>
      <c r="BP9" s="11">
        <f t="shared" si="0"/>
        <v>45309</v>
      </c>
      <c r="BQ9" s="11">
        <f t="shared" si="0"/>
        <v>45310</v>
      </c>
      <c r="BR9" s="11">
        <f t="shared" ref="BR9:CL9" si="1">BR10</f>
        <v>45311</v>
      </c>
      <c r="BS9" s="11">
        <f t="shared" si="1"/>
        <v>45312</v>
      </c>
      <c r="BT9" s="11">
        <f t="shared" si="1"/>
        <v>45313</v>
      </c>
      <c r="BU9" s="11">
        <f t="shared" si="1"/>
        <v>45314</v>
      </c>
      <c r="BV9" s="11">
        <f t="shared" si="1"/>
        <v>45315</v>
      </c>
      <c r="BW9" s="11">
        <f t="shared" si="1"/>
        <v>45316</v>
      </c>
      <c r="BX9" s="11">
        <f t="shared" si="1"/>
        <v>45317</v>
      </c>
      <c r="BY9" s="11">
        <f t="shared" si="1"/>
        <v>45318</v>
      </c>
      <c r="BZ9" s="11">
        <f t="shared" si="1"/>
        <v>45319</v>
      </c>
      <c r="CA9" s="11">
        <f t="shared" si="1"/>
        <v>45320</v>
      </c>
      <c r="CB9" s="11">
        <f t="shared" si="1"/>
        <v>45321</v>
      </c>
      <c r="CC9" s="11">
        <f t="shared" si="1"/>
        <v>45322</v>
      </c>
      <c r="CD9" s="11">
        <f t="shared" si="1"/>
        <v>45323</v>
      </c>
      <c r="CE9" s="11">
        <f t="shared" si="1"/>
        <v>45324</v>
      </c>
      <c r="CF9" s="11">
        <f t="shared" si="1"/>
        <v>45325</v>
      </c>
      <c r="CG9" s="11">
        <f t="shared" si="1"/>
        <v>45326</v>
      </c>
      <c r="CH9" s="11">
        <f t="shared" si="1"/>
        <v>45327</v>
      </c>
      <c r="CI9" s="11">
        <f t="shared" si="1"/>
        <v>45328</v>
      </c>
      <c r="CJ9" s="11">
        <f t="shared" si="1"/>
        <v>45329</v>
      </c>
      <c r="CK9" s="11">
        <f t="shared" si="1"/>
        <v>45330</v>
      </c>
      <c r="CL9" s="11">
        <f t="shared" si="1"/>
        <v>45331</v>
      </c>
    </row>
    <row r="10" spans="1:100" x14ac:dyDescent="0.3">
      <c r="B10" s="75"/>
      <c r="E10" s="1"/>
      <c r="F10" s="20">
        <v>45247</v>
      </c>
      <c r="G10" s="20">
        <f t="shared" ref="G10:BR10" si="2">F10+1</f>
        <v>45248</v>
      </c>
      <c r="H10" s="20">
        <f t="shared" si="2"/>
        <v>45249</v>
      </c>
      <c r="I10" s="20">
        <f t="shared" si="2"/>
        <v>45250</v>
      </c>
      <c r="J10" s="20">
        <f t="shared" si="2"/>
        <v>45251</v>
      </c>
      <c r="K10" s="20">
        <f t="shared" si="2"/>
        <v>45252</v>
      </c>
      <c r="L10" s="20">
        <f t="shared" si="2"/>
        <v>45253</v>
      </c>
      <c r="M10" s="20">
        <f t="shared" si="2"/>
        <v>45254</v>
      </c>
      <c r="N10" s="20">
        <f t="shared" si="2"/>
        <v>45255</v>
      </c>
      <c r="O10" s="20">
        <f t="shared" si="2"/>
        <v>45256</v>
      </c>
      <c r="P10" s="20">
        <f t="shared" si="2"/>
        <v>45257</v>
      </c>
      <c r="Q10" s="20">
        <f t="shared" si="2"/>
        <v>45258</v>
      </c>
      <c r="R10" s="20">
        <f t="shared" si="2"/>
        <v>45259</v>
      </c>
      <c r="S10" s="20">
        <f t="shared" si="2"/>
        <v>45260</v>
      </c>
      <c r="T10" s="20">
        <f t="shared" si="2"/>
        <v>45261</v>
      </c>
      <c r="U10" s="20">
        <f t="shared" si="2"/>
        <v>45262</v>
      </c>
      <c r="V10" s="20">
        <f t="shared" si="2"/>
        <v>45263</v>
      </c>
      <c r="W10" s="20">
        <f t="shared" si="2"/>
        <v>45264</v>
      </c>
      <c r="X10" s="20">
        <f t="shared" si="2"/>
        <v>45265</v>
      </c>
      <c r="Y10" s="20">
        <f t="shared" si="2"/>
        <v>45266</v>
      </c>
      <c r="Z10" s="20">
        <f t="shared" si="2"/>
        <v>45267</v>
      </c>
      <c r="AA10" s="20">
        <f t="shared" si="2"/>
        <v>45268</v>
      </c>
      <c r="AB10" s="20">
        <f t="shared" si="2"/>
        <v>45269</v>
      </c>
      <c r="AC10" s="20">
        <f t="shared" si="2"/>
        <v>45270</v>
      </c>
      <c r="AD10" s="20">
        <f t="shared" si="2"/>
        <v>45271</v>
      </c>
      <c r="AE10" s="20">
        <f t="shared" si="2"/>
        <v>45272</v>
      </c>
      <c r="AF10" s="20">
        <f t="shared" si="2"/>
        <v>45273</v>
      </c>
      <c r="AG10" s="20">
        <f t="shared" si="2"/>
        <v>45274</v>
      </c>
      <c r="AH10" s="20">
        <f t="shared" si="2"/>
        <v>45275</v>
      </c>
      <c r="AI10" s="20">
        <f t="shared" si="2"/>
        <v>45276</v>
      </c>
      <c r="AJ10" s="20">
        <f t="shared" si="2"/>
        <v>45277</v>
      </c>
      <c r="AK10" s="20">
        <f t="shared" si="2"/>
        <v>45278</v>
      </c>
      <c r="AL10" s="20">
        <f t="shared" si="2"/>
        <v>45279</v>
      </c>
      <c r="AM10" s="20">
        <f t="shared" si="2"/>
        <v>45280</v>
      </c>
      <c r="AN10" s="20">
        <f t="shared" si="2"/>
        <v>45281</v>
      </c>
      <c r="AO10" s="20">
        <f t="shared" si="2"/>
        <v>45282</v>
      </c>
      <c r="AP10" s="20">
        <f t="shared" si="2"/>
        <v>45283</v>
      </c>
      <c r="AQ10" s="20">
        <f t="shared" si="2"/>
        <v>45284</v>
      </c>
      <c r="AR10" s="20">
        <f t="shared" si="2"/>
        <v>45285</v>
      </c>
      <c r="AS10" s="20">
        <f t="shared" si="2"/>
        <v>45286</v>
      </c>
      <c r="AT10" s="20">
        <f t="shared" si="2"/>
        <v>45287</v>
      </c>
      <c r="AU10" s="20">
        <f t="shared" si="2"/>
        <v>45288</v>
      </c>
      <c r="AV10" s="20">
        <f t="shared" si="2"/>
        <v>45289</v>
      </c>
      <c r="AW10" s="20">
        <f t="shared" si="2"/>
        <v>45290</v>
      </c>
      <c r="AX10" s="20">
        <f t="shared" si="2"/>
        <v>45291</v>
      </c>
      <c r="AY10" s="20">
        <f t="shared" si="2"/>
        <v>45292</v>
      </c>
      <c r="AZ10" s="20">
        <f t="shared" si="2"/>
        <v>45293</v>
      </c>
      <c r="BA10" s="20">
        <f t="shared" si="2"/>
        <v>45294</v>
      </c>
      <c r="BB10" s="20">
        <f t="shared" si="2"/>
        <v>45295</v>
      </c>
      <c r="BC10" s="20">
        <f t="shared" si="2"/>
        <v>45296</v>
      </c>
      <c r="BD10" s="20">
        <f t="shared" si="2"/>
        <v>45297</v>
      </c>
      <c r="BE10" s="20">
        <f t="shared" si="2"/>
        <v>45298</v>
      </c>
      <c r="BF10" s="20">
        <f t="shared" si="2"/>
        <v>45299</v>
      </c>
      <c r="BG10" s="20">
        <f t="shared" si="2"/>
        <v>45300</v>
      </c>
      <c r="BH10" s="20">
        <f t="shared" si="2"/>
        <v>45301</v>
      </c>
      <c r="BI10" s="20">
        <f t="shared" si="2"/>
        <v>45302</v>
      </c>
      <c r="BJ10" s="20">
        <f t="shared" si="2"/>
        <v>45303</v>
      </c>
      <c r="BK10" s="20">
        <f t="shared" si="2"/>
        <v>45304</v>
      </c>
      <c r="BL10" s="20">
        <f t="shared" si="2"/>
        <v>45305</v>
      </c>
      <c r="BM10" s="20">
        <f t="shared" si="2"/>
        <v>45306</v>
      </c>
      <c r="BN10" s="20">
        <f t="shared" si="2"/>
        <v>45307</v>
      </c>
      <c r="BO10" s="20">
        <f t="shared" si="2"/>
        <v>45308</v>
      </c>
      <c r="BP10" s="20">
        <f t="shared" si="2"/>
        <v>45309</v>
      </c>
      <c r="BQ10" s="20">
        <f t="shared" si="2"/>
        <v>45310</v>
      </c>
      <c r="BR10" s="20">
        <f t="shared" si="2"/>
        <v>45311</v>
      </c>
      <c r="BS10" s="20">
        <f t="shared" ref="BS10:CL10" si="3">BR10+1</f>
        <v>45312</v>
      </c>
      <c r="BT10" s="20">
        <f t="shared" si="3"/>
        <v>45313</v>
      </c>
      <c r="BU10" s="20">
        <f t="shared" si="3"/>
        <v>45314</v>
      </c>
      <c r="BV10" s="20">
        <f t="shared" si="3"/>
        <v>45315</v>
      </c>
      <c r="BW10" s="20">
        <f t="shared" si="3"/>
        <v>45316</v>
      </c>
      <c r="BX10" s="20">
        <f t="shared" si="3"/>
        <v>45317</v>
      </c>
      <c r="BY10" s="20">
        <f t="shared" si="3"/>
        <v>45318</v>
      </c>
      <c r="BZ10" s="20">
        <f t="shared" si="3"/>
        <v>45319</v>
      </c>
      <c r="CA10" s="20">
        <f t="shared" si="3"/>
        <v>45320</v>
      </c>
      <c r="CB10" s="20">
        <f t="shared" si="3"/>
        <v>45321</v>
      </c>
      <c r="CC10" s="20">
        <f t="shared" si="3"/>
        <v>45322</v>
      </c>
      <c r="CD10" s="20">
        <f t="shared" si="3"/>
        <v>45323</v>
      </c>
      <c r="CE10" s="20">
        <f t="shared" si="3"/>
        <v>45324</v>
      </c>
      <c r="CF10" s="20">
        <f t="shared" si="3"/>
        <v>45325</v>
      </c>
      <c r="CG10" s="20">
        <f t="shared" si="3"/>
        <v>45326</v>
      </c>
      <c r="CH10" s="20">
        <f t="shared" si="3"/>
        <v>45327</v>
      </c>
      <c r="CI10" s="20">
        <f t="shared" si="3"/>
        <v>45328</v>
      </c>
      <c r="CJ10" s="20">
        <f t="shared" si="3"/>
        <v>45329</v>
      </c>
      <c r="CK10" s="20">
        <f t="shared" si="3"/>
        <v>45330</v>
      </c>
      <c r="CL10" s="20">
        <f t="shared" si="3"/>
        <v>45331</v>
      </c>
    </row>
    <row r="11" spans="1:100" x14ac:dyDescent="0.3">
      <c r="B11" s="75"/>
      <c r="E11" s="13" t="s">
        <v>1</v>
      </c>
      <c r="F11" s="3">
        <v>1502</v>
      </c>
      <c r="G11" s="3">
        <v>1204</v>
      </c>
      <c r="H11" s="3">
        <v>1206</v>
      </c>
      <c r="I11" s="3">
        <v>1981</v>
      </c>
      <c r="J11" s="3">
        <v>2637</v>
      </c>
      <c r="K11" s="3">
        <v>2588</v>
      </c>
      <c r="L11" s="3">
        <v>2473</v>
      </c>
      <c r="M11" s="3">
        <v>2807</v>
      </c>
      <c r="N11" s="3">
        <v>2011</v>
      </c>
      <c r="O11" s="3">
        <v>1341</v>
      </c>
      <c r="P11" s="3">
        <v>4687</v>
      </c>
      <c r="Q11" s="3">
        <v>4393</v>
      </c>
      <c r="R11" s="3">
        <v>4367</v>
      </c>
      <c r="S11" s="3">
        <v>3683</v>
      </c>
      <c r="T11" s="3">
        <v>3052</v>
      </c>
      <c r="U11" s="3">
        <v>2182</v>
      </c>
      <c r="V11" s="3">
        <v>1052</v>
      </c>
      <c r="W11" s="3">
        <v>2947</v>
      </c>
      <c r="X11" s="3">
        <v>3012</v>
      </c>
      <c r="Y11" s="3">
        <v>2264</v>
      </c>
      <c r="Z11" s="3">
        <v>1919</v>
      </c>
      <c r="AA11" s="3">
        <v>1917</v>
      </c>
      <c r="AB11" s="3">
        <v>1264</v>
      </c>
      <c r="AC11" s="3">
        <v>1082</v>
      </c>
      <c r="AD11" s="3">
        <v>2672</v>
      </c>
      <c r="AE11" s="3">
        <v>2452</v>
      </c>
      <c r="AF11" s="3">
        <v>2522</v>
      </c>
      <c r="AG11" s="3">
        <v>2304</v>
      </c>
      <c r="AH11" s="3">
        <v>2232</v>
      </c>
      <c r="AI11" s="3">
        <v>1460</v>
      </c>
      <c r="AJ11" s="3">
        <v>1223</v>
      </c>
      <c r="AK11" s="3">
        <v>3463</v>
      </c>
      <c r="AL11" s="3">
        <v>2831</v>
      </c>
      <c r="AM11" s="3">
        <v>2531</v>
      </c>
      <c r="AN11" s="3">
        <v>2362</v>
      </c>
      <c r="AO11" s="3">
        <v>2204</v>
      </c>
      <c r="AP11" s="3">
        <v>1384</v>
      </c>
      <c r="AQ11" s="3">
        <v>738</v>
      </c>
      <c r="AR11" s="3">
        <v>640</v>
      </c>
      <c r="AS11" s="3">
        <v>2553</v>
      </c>
      <c r="AT11" s="3">
        <v>1888</v>
      </c>
      <c r="AU11" s="3">
        <v>2029</v>
      </c>
      <c r="AV11" s="3">
        <v>1611</v>
      </c>
      <c r="AW11" s="3">
        <v>1072</v>
      </c>
      <c r="AX11" s="3">
        <v>548</v>
      </c>
      <c r="AY11" s="3">
        <v>474</v>
      </c>
      <c r="AZ11" s="3">
        <v>2331</v>
      </c>
      <c r="BA11" s="3">
        <v>2206</v>
      </c>
      <c r="BB11" s="3">
        <v>1940</v>
      </c>
      <c r="BC11" s="3">
        <v>1893</v>
      </c>
      <c r="BD11" s="3">
        <v>1138</v>
      </c>
      <c r="BE11" s="3">
        <v>785</v>
      </c>
      <c r="BF11" s="3">
        <v>2134</v>
      </c>
      <c r="BG11" s="3">
        <v>2286</v>
      </c>
      <c r="BH11" s="3">
        <v>2473</v>
      </c>
      <c r="BI11" s="3">
        <v>2452</v>
      </c>
      <c r="BJ11" s="3">
        <v>2147</v>
      </c>
      <c r="BK11" s="3">
        <v>1090</v>
      </c>
      <c r="BL11" s="3">
        <v>709</v>
      </c>
      <c r="BM11" s="3">
        <v>3193</v>
      </c>
      <c r="BN11" s="3">
        <v>3019</v>
      </c>
      <c r="BO11" s="3">
        <v>2646</v>
      </c>
      <c r="BP11" s="3">
        <v>2167</v>
      </c>
      <c r="BQ11" s="3">
        <v>1892</v>
      </c>
      <c r="BR11" s="3">
        <v>918</v>
      </c>
      <c r="BS11" s="3">
        <v>568</v>
      </c>
      <c r="BT11" s="3">
        <v>2441</v>
      </c>
      <c r="BU11" s="3">
        <v>2220</v>
      </c>
      <c r="BV11" s="3">
        <v>1330</v>
      </c>
      <c r="BW11" s="3">
        <v>1320</v>
      </c>
      <c r="BX11" s="3">
        <v>920</v>
      </c>
      <c r="BY11" s="3">
        <v>518</v>
      </c>
      <c r="BZ11" s="3">
        <v>359</v>
      </c>
      <c r="CA11" s="3">
        <v>1244</v>
      </c>
      <c r="CB11" s="3">
        <v>1193</v>
      </c>
      <c r="CC11" s="3">
        <v>1206</v>
      </c>
      <c r="CD11" s="3">
        <v>1038</v>
      </c>
      <c r="CE11" s="3">
        <v>868</v>
      </c>
      <c r="CF11" s="3">
        <v>576</v>
      </c>
      <c r="CG11" s="3">
        <v>399</v>
      </c>
      <c r="CH11" s="3">
        <v>613</v>
      </c>
      <c r="CI11" s="3">
        <v>1090</v>
      </c>
      <c r="CJ11" s="3"/>
      <c r="CK11" s="3"/>
      <c r="CL11" s="3"/>
      <c r="CM11" s="29">
        <f>SUM(F11:CL11)</f>
        <v>154086</v>
      </c>
    </row>
    <row r="12" spans="1:100" x14ac:dyDescent="0.3">
      <c r="B12" s="75"/>
      <c r="E12" s="2" t="s">
        <v>2</v>
      </c>
      <c r="F12" s="4">
        <v>1748</v>
      </c>
      <c r="G12" s="12">
        <v>846</v>
      </c>
      <c r="H12" s="12">
        <v>702</v>
      </c>
      <c r="I12" s="4">
        <v>1091</v>
      </c>
      <c r="J12" s="4">
        <v>1748</v>
      </c>
      <c r="K12" s="4">
        <v>1748</v>
      </c>
      <c r="L12" s="4">
        <v>1748</v>
      </c>
      <c r="M12" s="4">
        <v>1748</v>
      </c>
      <c r="N12" s="12">
        <v>960</v>
      </c>
      <c r="O12" s="12">
        <v>774</v>
      </c>
      <c r="P12" s="4">
        <v>1748</v>
      </c>
      <c r="Q12" s="4">
        <v>1614.3333333333301</v>
      </c>
      <c r="R12" s="4">
        <v>1764</v>
      </c>
      <c r="S12" s="4">
        <v>1764</v>
      </c>
      <c r="T12" s="4">
        <v>1764</v>
      </c>
      <c r="U12" s="4">
        <v>945</v>
      </c>
      <c r="V12" s="4">
        <v>976</v>
      </c>
      <c r="W12" s="4">
        <v>1764</v>
      </c>
      <c r="X12" s="4">
        <v>1764</v>
      </c>
      <c r="Y12" s="4">
        <v>1764</v>
      </c>
      <c r="Z12" s="4">
        <v>2297</v>
      </c>
      <c r="AA12" s="4">
        <v>2297</v>
      </c>
      <c r="AB12" s="4">
        <v>1122</v>
      </c>
      <c r="AC12" s="4">
        <v>1117</v>
      </c>
      <c r="AD12" s="4">
        <v>2141</v>
      </c>
      <c r="AE12" s="4">
        <f t="shared" ref="AE12:AH12" si="4">AD12</f>
        <v>2141</v>
      </c>
      <c r="AF12" s="4">
        <f t="shared" si="4"/>
        <v>2141</v>
      </c>
      <c r="AG12" s="4">
        <f t="shared" si="4"/>
        <v>2141</v>
      </c>
      <c r="AH12" s="4">
        <f t="shared" si="4"/>
        <v>2141</v>
      </c>
      <c r="AI12" s="4">
        <v>1141</v>
      </c>
      <c r="AJ12" s="4">
        <v>877</v>
      </c>
      <c r="AK12" s="4">
        <v>2398</v>
      </c>
      <c r="AL12" s="4">
        <f t="shared" ref="AL12" si="5">AK12</f>
        <v>2398</v>
      </c>
      <c r="AM12" s="4">
        <v>2256</v>
      </c>
      <c r="AN12" s="4">
        <f t="shared" ref="AN12:AO12" si="6">AM12</f>
        <v>2256</v>
      </c>
      <c r="AO12" s="4">
        <f t="shared" si="6"/>
        <v>2256</v>
      </c>
      <c r="AP12" s="4">
        <v>1174.125</v>
      </c>
      <c r="AQ12" s="4">
        <v>1046</v>
      </c>
      <c r="AR12" s="4">
        <v>1475.25</v>
      </c>
      <c r="AS12" s="4">
        <f>AO12</f>
        <v>2256</v>
      </c>
      <c r="AT12" s="4">
        <f t="shared" ref="AT12" si="7">AS12</f>
        <v>2256</v>
      </c>
      <c r="AU12" s="4">
        <f t="shared" ref="AU12:AV12" si="8">AN12</f>
        <v>2256</v>
      </c>
      <c r="AV12" s="4">
        <f t="shared" si="8"/>
        <v>2256</v>
      </c>
      <c r="AW12" s="4">
        <v>1166</v>
      </c>
      <c r="AX12" s="4">
        <v>1135</v>
      </c>
      <c r="AY12" s="4">
        <v>1573</v>
      </c>
      <c r="AZ12" s="4">
        <v>1920</v>
      </c>
      <c r="BA12" s="4">
        <f t="shared" ref="BA12:BC12" si="9">AZ12</f>
        <v>1920</v>
      </c>
      <c r="BB12" s="4">
        <f t="shared" si="9"/>
        <v>1920</v>
      </c>
      <c r="BC12" s="4">
        <f t="shared" si="9"/>
        <v>1920</v>
      </c>
      <c r="BD12" s="4">
        <v>975</v>
      </c>
      <c r="BE12" s="4">
        <v>871</v>
      </c>
      <c r="BF12" s="4">
        <f>BC12</f>
        <v>1920</v>
      </c>
      <c r="BG12" s="4">
        <v>1881</v>
      </c>
      <c r="BH12" s="4">
        <f t="shared" ref="BH12:BJ12" si="10">BG12</f>
        <v>1881</v>
      </c>
      <c r="BI12" s="4">
        <f t="shared" si="10"/>
        <v>1881</v>
      </c>
      <c r="BJ12" s="4">
        <f t="shared" si="10"/>
        <v>1881</v>
      </c>
      <c r="BK12" s="4">
        <v>956</v>
      </c>
      <c r="BL12" s="4">
        <v>803</v>
      </c>
      <c r="BM12" s="4">
        <f>BJ12</f>
        <v>1881</v>
      </c>
      <c r="BN12" s="4">
        <f>1881-54</f>
        <v>1827</v>
      </c>
      <c r="BO12" s="4">
        <v>1971</v>
      </c>
      <c r="BP12" s="4">
        <f t="shared" ref="BP12:BQ12" si="11">BO12</f>
        <v>1971</v>
      </c>
      <c r="BQ12" s="4">
        <f t="shared" si="11"/>
        <v>1971</v>
      </c>
      <c r="BR12" s="4">
        <v>1013</v>
      </c>
      <c r="BS12" s="4">
        <v>918</v>
      </c>
      <c r="BT12" s="4">
        <f>BQ12</f>
        <v>1971</v>
      </c>
      <c r="BU12" s="4">
        <f t="shared" ref="BU12:BX12" si="12">BT12</f>
        <v>1971</v>
      </c>
      <c r="BV12" s="4">
        <f t="shared" si="12"/>
        <v>1971</v>
      </c>
      <c r="BW12" s="4">
        <f t="shared" si="12"/>
        <v>1971</v>
      </c>
      <c r="BX12" s="4">
        <f t="shared" si="12"/>
        <v>1971</v>
      </c>
      <c r="BY12" s="4">
        <v>956</v>
      </c>
      <c r="BZ12" s="4">
        <v>932</v>
      </c>
      <c r="CA12" s="4">
        <f>BX12</f>
        <v>1971</v>
      </c>
      <c r="CB12" s="4">
        <f t="shared" ref="CB12:CE12" si="13">CA12</f>
        <v>1971</v>
      </c>
      <c r="CC12" s="4">
        <f t="shared" si="13"/>
        <v>1971</v>
      </c>
      <c r="CD12" s="4">
        <f t="shared" si="13"/>
        <v>1971</v>
      </c>
      <c r="CE12" s="4">
        <f t="shared" si="13"/>
        <v>1971</v>
      </c>
      <c r="CF12" s="4">
        <v>969</v>
      </c>
      <c r="CG12" s="4">
        <v>762</v>
      </c>
      <c r="CH12" s="4">
        <v>759</v>
      </c>
      <c r="CI12" s="4">
        <v>1860</v>
      </c>
      <c r="CJ12" s="4">
        <f t="shared" ref="CJ12:CL12" si="14">CI12</f>
        <v>1860</v>
      </c>
      <c r="CK12" s="4">
        <f t="shared" si="14"/>
        <v>1860</v>
      </c>
      <c r="CL12" s="4">
        <f t="shared" si="14"/>
        <v>1860</v>
      </c>
      <c r="CM12" s="30">
        <f>SUM(F12:CL12)</f>
        <v>140502.70833333331</v>
      </c>
    </row>
    <row r="13" spans="1:100" x14ac:dyDescent="0.3">
      <c r="B13" s="75"/>
      <c r="E13" s="2" t="s">
        <v>3</v>
      </c>
      <c r="F13" s="31">
        <f t="shared" ref="F13:BQ13" si="15">IFERROR((F12-F11)/F11,"")</f>
        <v>0.16378162450066577</v>
      </c>
      <c r="G13" s="31">
        <f t="shared" si="15"/>
        <v>-0.29734219269102991</v>
      </c>
      <c r="H13" s="31">
        <f t="shared" si="15"/>
        <v>-0.41791044776119401</v>
      </c>
      <c r="I13" s="31">
        <f t="shared" si="15"/>
        <v>-0.44926804644119134</v>
      </c>
      <c r="J13" s="31">
        <f t="shared" si="15"/>
        <v>-0.33712552142586272</v>
      </c>
      <c r="K13" s="31">
        <f t="shared" si="15"/>
        <v>-0.32457496136012365</v>
      </c>
      <c r="L13" s="31">
        <f t="shared" si="15"/>
        <v>-0.2931661949049737</v>
      </c>
      <c r="M13" s="31">
        <f t="shared" si="15"/>
        <v>-0.37727110794442464</v>
      </c>
      <c r="N13" s="31">
        <f t="shared" si="15"/>
        <v>-0.52262555942317257</v>
      </c>
      <c r="O13" s="31">
        <f t="shared" si="15"/>
        <v>-0.42281879194630873</v>
      </c>
      <c r="P13" s="31">
        <f t="shared" si="15"/>
        <v>-0.62705355237892046</v>
      </c>
      <c r="Q13" s="31">
        <f t="shared" si="15"/>
        <v>-0.63252143561727059</v>
      </c>
      <c r="R13" s="31">
        <f t="shared" si="15"/>
        <v>-0.59606136936111742</v>
      </c>
      <c r="S13" s="31">
        <f t="shared" si="15"/>
        <v>-0.52104262829215309</v>
      </c>
      <c r="T13" s="31">
        <f t="shared" si="15"/>
        <v>-0.42201834862385323</v>
      </c>
      <c r="U13" s="31">
        <f t="shared" si="15"/>
        <v>-0.56691109074243817</v>
      </c>
      <c r="V13" s="31">
        <f t="shared" si="15"/>
        <v>-7.2243346007604556E-2</v>
      </c>
      <c r="W13" s="31">
        <f t="shared" si="15"/>
        <v>-0.40142517814726841</v>
      </c>
      <c r="X13" s="31">
        <f t="shared" si="15"/>
        <v>-0.41434262948207173</v>
      </c>
      <c r="Y13" s="31">
        <f t="shared" si="15"/>
        <v>-0.22084805653710246</v>
      </c>
      <c r="Z13" s="31">
        <f t="shared" si="15"/>
        <v>0.1969775924960917</v>
      </c>
      <c r="AA13" s="31">
        <f t="shared" si="15"/>
        <v>0.19822639540949399</v>
      </c>
      <c r="AB13" s="31">
        <f t="shared" si="15"/>
        <v>-0.11234177215189874</v>
      </c>
      <c r="AC13" s="31">
        <f t="shared" si="15"/>
        <v>3.2347504621072089E-2</v>
      </c>
      <c r="AD13" s="31">
        <f t="shared" si="15"/>
        <v>-0.19872754491017963</v>
      </c>
      <c r="AE13" s="31">
        <f t="shared" si="15"/>
        <v>-0.1268352365415987</v>
      </c>
      <c r="AF13" s="31">
        <f t="shared" si="15"/>
        <v>-0.15107057890563044</v>
      </c>
      <c r="AG13" s="31">
        <f t="shared" si="15"/>
        <v>-7.0746527777777776E-2</v>
      </c>
      <c r="AH13" s="31">
        <f t="shared" si="15"/>
        <v>-4.0770609318996419E-2</v>
      </c>
      <c r="AI13" s="31">
        <f t="shared" si="15"/>
        <v>-0.2184931506849315</v>
      </c>
      <c r="AJ13" s="31">
        <f t="shared" si="15"/>
        <v>-0.28291087489779232</v>
      </c>
      <c r="AK13" s="31">
        <f t="shared" si="15"/>
        <v>-0.30753681778804504</v>
      </c>
      <c r="AL13" s="31">
        <f t="shared" si="15"/>
        <v>-0.15294948781349346</v>
      </c>
      <c r="AM13" s="31">
        <f t="shared" si="15"/>
        <v>-0.10865270644014223</v>
      </c>
      <c r="AN13" s="31">
        <f t="shared" si="15"/>
        <v>-4.4877222692633362E-2</v>
      </c>
      <c r="AO13" s="31">
        <f t="shared" si="15"/>
        <v>2.3593466424682397E-2</v>
      </c>
      <c r="AP13" s="31">
        <f t="shared" si="15"/>
        <v>-0.15164378612716764</v>
      </c>
      <c r="AQ13" s="31">
        <f t="shared" si="15"/>
        <v>0.41734417344173441</v>
      </c>
      <c r="AR13" s="31">
        <f t="shared" si="15"/>
        <v>1.3050781250000001</v>
      </c>
      <c r="AS13" s="31">
        <f t="shared" si="15"/>
        <v>-0.11633372502937721</v>
      </c>
      <c r="AT13" s="31">
        <f t="shared" si="15"/>
        <v>0.19491525423728814</v>
      </c>
      <c r="AU13" s="31">
        <f t="shared" si="15"/>
        <v>0.11187777230162642</v>
      </c>
      <c r="AV13" s="31">
        <f t="shared" si="15"/>
        <v>0.40037243947858475</v>
      </c>
      <c r="AW13" s="31">
        <f t="shared" si="15"/>
        <v>8.7686567164179108E-2</v>
      </c>
      <c r="AX13" s="31">
        <f t="shared" si="15"/>
        <v>1.0711678832116789</v>
      </c>
      <c r="AY13" s="31">
        <f t="shared" si="15"/>
        <v>2.3185654008438821</v>
      </c>
      <c r="AZ13" s="31">
        <f t="shared" si="15"/>
        <v>-0.17631917631917632</v>
      </c>
      <c r="BA13" s="31">
        <f t="shared" si="15"/>
        <v>-0.12964641885766093</v>
      </c>
      <c r="BB13" s="31">
        <f t="shared" si="15"/>
        <v>-1.0309278350515464E-2</v>
      </c>
      <c r="BC13" s="31">
        <f t="shared" si="15"/>
        <v>1.4263074484944533E-2</v>
      </c>
      <c r="BD13" s="31">
        <f t="shared" si="15"/>
        <v>-0.14323374340949033</v>
      </c>
      <c r="BE13" s="31">
        <f t="shared" si="15"/>
        <v>0.10955414012738854</v>
      </c>
      <c r="BF13" s="31">
        <f t="shared" si="15"/>
        <v>-0.10028116213683223</v>
      </c>
      <c r="BG13" s="31">
        <f t="shared" si="15"/>
        <v>-0.17716535433070865</v>
      </c>
      <c r="BH13" s="31">
        <f t="shared" si="15"/>
        <v>-0.23938536190861301</v>
      </c>
      <c r="BI13" s="31">
        <f t="shared" si="15"/>
        <v>-0.23287112561174553</v>
      </c>
      <c r="BJ13" s="31">
        <f t="shared" si="15"/>
        <v>-0.12389380530973451</v>
      </c>
      <c r="BK13" s="31">
        <f t="shared" si="15"/>
        <v>-0.12293577981651377</v>
      </c>
      <c r="BL13" s="31">
        <f t="shared" si="15"/>
        <v>0.13258110014104371</v>
      </c>
      <c r="BM13" s="31">
        <f t="shared" si="15"/>
        <v>-0.41089884121515818</v>
      </c>
      <c r="BN13" s="31">
        <f t="shared" si="15"/>
        <v>-0.3948327260682345</v>
      </c>
      <c r="BO13" s="31">
        <f t="shared" si="15"/>
        <v>-0.25510204081632654</v>
      </c>
      <c r="BP13" s="31">
        <f t="shared" si="15"/>
        <v>-9.0447623442547295E-2</v>
      </c>
      <c r="BQ13" s="31">
        <f t="shared" si="15"/>
        <v>4.1754756871035942E-2</v>
      </c>
      <c r="BR13" s="31">
        <f t="shared" ref="BR13:CL13" si="16">IFERROR((BR12-BR11)/BR11,"")</f>
        <v>0.10348583877995643</v>
      </c>
      <c r="BS13" s="31">
        <f t="shared" si="16"/>
        <v>0.61619718309859151</v>
      </c>
      <c r="BT13" s="31">
        <f>IFERROR((BT12-BT11)/BT11,"")</f>
        <v>-0.19254403932814421</v>
      </c>
      <c r="BU13" s="31">
        <f t="shared" ref="BU13:BV13" si="17">IFERROR((BU12-BU11)/BU11,"")</f>
        <v>-0.11216216216216217</v>
      </c>
      <c r="BV13" s="31">
        <f t="shared" si="17"/>
        <v>0.48195488721804514</v>
      </c>
      <c r="BW13" s="31">
        <f t="shared" si="16"/>
        <v>0.49318181818181817</v>
      </c>
      <c r="BX13" s="31">
        <f t="shared" si="16"/>
        <v>1.142391304347826</v>
      </c>
      <c r="BY13" s="31">
        <f t="shared" si="16"/>
        <v>0.84555984555984554</v>
      </c>
      <c r="BZ13" s="31">
        <f t="shared" si="16"/>
        <v>1.5961002785515321</v>
      </c>
      <c r="CA13" s="31">
        <f t="shared" si="16"/>
        <v>0.58440514469453375</v>
      </c>
      <c r="CB13" s="31">
        <f t="shared" si="16"/>
        <v>0.65213746856663868</v>
      </c>
      <c r="CC13" s="31">
        <f t="shared" si="16"/>
        <v>0.63432835820895528</v>
      </c>
      <c r="CD13" s="31">
        <f t="shared" si="16"/>
        <v>0.89884393063583812</v>
      </c>
      <c r="CE13" s="31">
        <f t="shared" si="16"/>
        <v>1.2707373271889402</v>
      </c>
      <c r="CF13" s="31">
        <f t="shared" si="16"/>
        <v>0.68229166666666663</v>
      </c>
      <c r="CG13" s="31">
        <f t="shared" si="16"/>
        <v>0.90977443609022557</v>
      </c>
      <c r="CH13" s="31">
        <f t="shared" si="16"/>
        <v>0.23817292006525284</v>
      </c>
      <c r="CI13" s="31">
        <f t="shared" si="16"/>
        <v>0.70642201834862384</v>
      </c>
      <c r="CJ13" s="31" t="str">
        <f t="shared" si="16"/>
        <v/>
      </c>
      <c r="CK13" s="31" t="str">
        <f t="shared" si="16"/>
        <v/>
      </c>
      <c r="CL13" s="31" t="str">
        <f t="shared" si="16"/>
        <v/>
      </c>
    </row>
    <row r="14" spans="1:100" x14ac:dyDescent="0.3">
      <c r="B14" s="75"/>
      <c r="E14" s="2" t="s">
        <v>4</v>
      </c>
      <c r="F14" s="5">
        <f t="shared" ref="F14:BQ14" si="18">F12-F11</f>
        <v>246</v>
      </c>
      <c r="G14" s="5">
        <f t="shared" si="18"/>
        <v>-358</v>
      </c>
      <c r="H14" s="5">
        <f t="shared" si="18"/>
        <v>-504</v>
      </c>
      <c r="I14" s="5">
        <f t="shared" si="18"/>
        <v>-890</v>
      </c>
      <c r="J14" s="5">
        <f t="shared" si="18"/>
        <v>-889</v>
      </c>
      <c r="K14" s="5">
        <f t="shared" si="18"/>
        <v>-840</v>
      </c>
      <c r="L14" s="5">
        <f t="shared" si="18"/>
        <v>-725</v>
      </c>
      <c r="M14" s="5">
        <f t="shared" si="18"/>
        <v>-1059</v>
      </c>
      <c r="N14" s="5">
        <f t="shared" si="18"/>
        <v>-1051</v>
      </c>
      <c r="O14" s="5">
        <f t="shared" si="18"/>
        <v>-567</v>
      </c>
      <c r="P14" s="5">
        <f t="shared" si="18"/>
        <v>-2939</v>
      </c>
      <c r="Q14" s="5">
        <f t="shared" si="18"/>
        <v>-2778.6666666666697</v>
      </c>
      <c r="R14" s="5">
        <f t="shared" si="18"/>
        <v>-2603</v>
      </c>
      <c r="S14" s="5">
        <f t="shared" si="18"/>
        <v>-1919</v>
      </c>
      <c r="T14" s="5">
        <f t="shared" si="18"/>
        <v>-1288</v>
      </c>
      <c r="U14" s="5">
        <f t="shared" si="18"/>
        <v>-1237</v>
      </c>
      <c r="V14" s="5">
        <f t="shared" si="18"/>
        <v>-76</v>
      </c>
      <c r="W14" s="5">
        <f t="shared" si="18"/>
        <v>-1183</v>
      </c>
      <c r="X14" s="5">
        <f t="shared" si="18"/>
        <v>-1248</v>
      </c>
      <c r="Y14" s="5">
        <f t="shared" si="18"/>
        <v>-500</v>
      </c>
      <c r="Z14" s="5">
        <f t="shared" si="18"/>
        <v>378</v>
      </c>
      <c r="AA14" s="5">
        <f t="shared" si="18"/>
        <v>380</v>
      </c>
      <c r="AB14" s="5">
        <f t="shared" si="18"/>
        <v>-142</v>
      </c>
      <c r="AC14" s="5">
        <f t="shared" si="18"/>
        <v>35</v>
      </c>
      <c r="AD14" s="5">
        <f t="shared" si="18"/>
        <v>-531</v>
      </c>
      <c r="AE14" s="5">
        <f t="shared" si="18"/>
        <v>-311</v>
      </c>
      <c r="AF14" s="5">
        <f t="shared" si="18"/>
        <v>-381</v>
      </c>
      <c r="AG14" s="5">
        <f t="shared" si="18"/>
        <v>-163</v>
      </c>
      <c r="AH14" s="5">
        <f t="shared" si="18"/>
        <v>-91</v>
      </c>
      <c r="AI14" s="5">
        <f t="shared" si="18"/>
        <v>-319</v>
      </c>
      <c r="AJ14" s="5">
        <f t="shared" si="18"/>
        <v>-346</v>
      </c>
      <c r="AK14" s="5">
        <f t="shared" si="18"/>
        <v>-1065</v>
      </c>
      <c r="AL14" s="5">
        <f t="shared" si="18"/>
        <v>-433</v>
      </c>
      <c r="AM14" s="5">
        <f t="shared" si="18"/>
        <v>-275</v>
      </c>
      <c r="AN14" s="5">
        <f t="shared" si="18"/>
        <v>-106</v>
      </c>
      <c r="AO14" s="5">
        <f t="shared" si="18"/>
        <v>52</v>
      </c>
      <c r="AP14" s="5">
        <f t="shared" si="18"/>
        <v>-209.875</v>
      </c>
      <c r="AQ14" s="5">
        <f t="shared" si="18"/>
        <v>308</v>
      </c>
      <c r="AR14" s="5">
        <f t="shared" si="18"/>
        <v>835.25</v>
      </c>
      <c r="AS14" s="5">
        <f t="shared" si="18"/>
        <v>-297</v>
      </c>
      <c r="AT14" s="5">
        <f t="shared" si="18"/>
        <v>368</v>
      </c>
      <c r="AU14" s="5">
        <f t="shared" si="18"/>
        <v>227</v>
      </c>
      <c r="AV14" s="5">
        <f t="shared" si="18"/>
        <v>645</v>
      </c>
      <c r="AW14" s="5">
        <f t="shared" si="18"/>
        <v>94</v>
      </c>
      <c r="AX14" s="5">
        <f t="shared" si="18"/>
        <v>587</v>
      </c>
      <c r="AY14" s="5">
        <f t="shared" si="18"/>
        <v>1099</v>
      </c>
      <c r="AZ14" s="5">
        <f t="shared" si="18"/>
        <v>-411</v>
      </c>
      <c r="BA14" s="5">
        <f t="shared" si="18"/>
        <v>-286</v>
      </c>
      <c r="BB14" s="5">
        <f t="shared" si="18"/>
        <v>-20</v>
      </c>
      <c r="BC14" s="5">
        <f t="shared" si="18"/>
        <v>27</v>
      </c>
      <c r="BD14" s="5">
        <f t="shared" si="18"/>
        <v>-163</v>
      </c>
      <c r="BE14" s="5">
        <f t="shared" si="18"/>
        <v>86</v>
      </c>
      <c r="BF14" s="5">
        <f t="shared" si="18"/>
        <v>-214</v>
      </c>
      <c r="BG14" s="5">
        <f t="shared" si="18"/>
        <v>-405</v>
      </c>
      <c r="BH14" s="5">
        <f t="shared" si="18"/>
        <v>-592</v>
      </c>
      <c r="BI14" s="5">
        <f t="shared" si="18"/>
        <v>-571</v>
      </c>
      <c r="BJ14" s="5">
        <f t="shared" si="18"/>
        <v>-266</v>
      </c>
      <c r="BK14" s="5">
        <f t="shared" si="18"/>
        <v>-134</v>
      </c>
      <c r="BL14" s="5">
        <f t="shared" si="18"/>
        <v>94</v>
      </c>
      <c r="BM14" s="5">
        <f t="shared" si="18"/>
        <v>-1312</v>
      </c>
      <c r="BN14" s="5">
        <f t="shared" si="18"/>
        <v>-1192</v>
      </c>
      <c r="BO14" s="5">
        <f t="shared" si="18"/>
        <v>-675</v>
      </c>
      <c r="BP14" s="5">
        <f t="shared" si="18"/>
        <v>-196</v>
      </c>
      <c r="BQ14" s="5">
        <f t="shared" si="18"/>
        <v>79</v>
      </c>
      <c r="BR14" s="5">
        <f t="shared" ref="BR14:CL14" si="19">BR12-BR11</f>
        <v>95</v>
      </c>
      <c r="BS14" s="5">
        <f t="shared" si="19"/>
        <v>350</v>
      </c>
      <c r="BT14" s="5">
        <f t="shared" si="19"/>
        <v>-470</v>
      </c>
      <c r="BU14" s="5">
        <f t="shared" si="19"/>
        <v>-249</v>
      </c>
      <c r="BV14" s="5">
        <f t="shared" si="19"/>
        <v>641</v>
      </c>
      <c r="BW14" s="5">
        <f t="shared" si="19"/>
        <v>651</v>
      </c>
      <c r="BX14" s="5">
        <f t="shared" si="19"/>
        <v>1051</v>
      </c>
      <c r="BY14" s="5">
        <f t="shared" si="19"/>
        <v>438</v>
      </c>
      <c r="BZ14" s="5">
        <f t="shared" si="19"/>
        <v>573</v>
      </c>
      <c r="CA14" s="5">
        <f t="shared" si="19"/>
        <v>727</v>
      </c>
      <c r="CB14" s="5">
        <f t="shared" si="19"/>
        <v>778</v>
      </c>
      <c r="CC14" s="5">
        <f t="shared" si="19"/>
        <v>765</v>
      </c>
      <c r="CD14" s="5">
        <f t="shared" si="19"/>
        <v>933</v>
      </c>
      <c r="CE14" s="5">
        <f t="shared" si="19"/>
        <v>1103</v>
      </c>
      <c r="CF14" s="5">
        <f t="shared" si="19"/>
        <v>393</v>
      </c>
      <c r="CG14" s="5">
        <f t="shared" si="19"/>
        <v>363</v>
      </c>
      <c r="CH14" s="5">
        <f t="shared" si="19"/>
        <v>146</v>
      </c>
      <c r="CI14" s="5">
        <f t="shared" si="19"/>
        <v>770</v>
      </c>
      <c r="CJ14" s="5">
        <f t="shared" si="19"/>
        <v>1860</v>
      </c>
      <c r="CK14" s="5">
        <f t="shared" si="19"/>
        <v>1860</v>
      </c>
      <c r="CL14" s="5">
        <f t="shared" si="19"/>
        <v>1860</v>
      </c>
    </row>
    <row r="15" spans="1:100" x14ac:dyDescent="0.3">
      <c r="B15" s="75"/>
      <c r="E15" s="50" t="s">
        <v>66</v>
      </c>
      <c r="F15" s="3"/>
      <c r="G15" s="3"/>
      <c r="H15" s="3"/>
      <c r="I15" s="3"/>
      <c r="J15" s="3"/>
      <c r="K15" s="56">
        <f>421+478+84+26</f>
        <v>1009</v>
      </c>
      <c r="L15" s="56">
        <f>499+698+145+54</f>
        <v>1396</v>
      </c>
      <c r="M15" s="56">
        <f>587+915+175+13</f>
        <v>1690</v>
      </c>
      <c r="N15" s="56">
        <f>912+1064+200+8</f>
        <v>2184</v>
      </c>
      <c r="O15" s="56">
        <f>1093+1136+231+8</f>
        <v>2468</v>
      </c>
      <c r="P15" s="56">
        <f>1290+1297+245+27</f>
        <v>2859</v>
      </c>
      <c r="Q15" s="56">
        <f>2051+1596+318+46</f>
        <v>4011</v>
      </c>
      <c r="R15" s="56">
        <f>1663+751+274+44</f>
        <v>2732</v>
      </c>
      <c r="S15" s="56">
        <f t="shared" ref="S15" si="20">2185+990+354+71</f>
        <v>3600</v>
      </c>
      <c r="T15" s="56">
        <f>2308+797+389+116</f>
        <v>3610</v>
      </c>
      <c r="U15" s="56">
        <f>2800+1006+468+48</f>
        <v>4322</v>
      </c>
      <c r="V15" s="56">
        <f>3346+1220+470+19</f>
        <v>5055</v>
      </c>
      <c r="W15" s="56">
        <f>3248+962+423+19</f>
        <v>4652</v>
      </c>
      <c r="X15" s="56">
        <f>3037+854+469+44</f>
        <v>4404</v>
      </c>
      <c r="Y15" s="56">
        <f>2867+637+377+6</f>
        <v>3887</v>
      </c>
      <c r="Z15" s="56">
        <f>2920+781+424+24</f>
        <v>4149</v>
      </c>
      <c r="AA15" s="56">
        <f>2662+879+436+7</f>
        <v>3984</v>
      </c>
      <c r="AB15" s="56">
        <f>2311+783+471+13</f>
        <v>3578</v>
      </c>
      <c r="AC15" s="56">
        <f>2507+840+408+17</f>
        <v>3772</v>
      </c>
      <c r="AD15" s="56">
        <f>2030+709+324+18</f>
        <v>3081</v>
      </c>
      <c r="AE15" s="56">
        <f>2175+823+383+25</f>
        <v>3406</v>
      </c>
      <c r="AF15" s="56">
        <f>2163+882+448+19</f>
        <v>3512</v>
      </c>
      <c r="AG15" s="56">
        <f>2282+855+429+8</f>
        <v>3574</v>
      </c>
      <c r="AH15" s="56">
        <f>2059+566+405+10</f>
        <v>3040</v>
      </c>
      <c r="AI15" s="56">
        <f>2251+585+344+10</f>
        <v>3190</v>
      </c>
      <c r="AJ15" s="56">
        <f>2413+564+313+8</f>
        <v>3298</v>
      </c>
      <c r="AK15" s="3">
        <f>2516+678+282+28+656</f>
        <v>4160</v>
      </c>
      <c r="AL15" s="3">
        <f>3163+905+334+19+689</f>
        <v>5110</v>
      </c>
      <c r="AM15" s="3">
        <f>3056+778+348+17+820</f>
        <v>5019</v>
      </c>
      <c r="AN15" s="3">
        <f>2970+621+355+16+532</f>
        <v>4494</v>
      </c>
      <c r="AO15" s="3">
        <f>3031+802+263+30+583</f>
        <v>4709</v>
      </c>
      <c r="AP15" s="3">
        <f>2877+773+240+7+762</f>
        <v>4659</v>
      </c>
      <c r="AQ15" s="3">
        <f>2882+794+209+19+667</f>
        <v>4571</v>
      </c>
      <c r="AR15" s="3">
        <f>2721+559+156+10+633</f>
        <v>4079</v>
      </c>
      <c r="AS15" s="3">
        <f>2030+286+104+32+706</f>
        <v>3158</v>
      </c>
      <c r="AT15" s="3">
        <f>2153+342+142+60+732</f>
        <v>3429</v>
      </c>
      <c r="AU15" s="3">
        <f>1655+172+62+40+493</f>
        <v>2422</v>
      </c>
      <c r="AV15" s="3">
        <f>1116+80+26+40+395</f>
        <v>1657</v>
      </c>
      <c r="AW15" s="3">
        <f>876+82+28+38+381</f>
        <v>1405</v>
      </c>
      <c r="AX15" s="3">
        <f>852+54+23+46+326</f>
        <v>1301</v>
      </c>
      <c r="AY15" s="3">
        <f>350+32+14+65+201</f>
        <v>662</v>
      </c>
      <c r="AZ15" s="3">
        <f>12+32+17+60+189</f>
        <v>310</v>
      </c>
      <c r="BA15" s="3">
        <f>328+75+21+36+242</f>
        <v>702</v>
      </c>
      <c r="BB15" s="3">
        <f>489+101+53+28+260</f>
        <v>931</v>
      </c>
      <c r="BC15" s="3">
        <f>585+29+20+15+286</f>
        <v>935</v>
      </c>
      <c r="BD15" s="3">
        <f>787+68+37+14+306</f>
        <v>1212</v>
      </c>
      <c r="BE15" s="3">
        <f>967+40+21+2+287</f>
        <v>1317</v>
      </c>
      <c r="BF15" s="3">
        <f>653+58+23+18+339</f>
        <v>1091</v>
      </c>
      <c r="BG15" s="3">
        <f>775+51+24+22+411</f>
        <v>1283</v>
      </c>
      <c r="BH15" s="3">
        <f>1097+62+28+18+332</f>
        <v>1537</v>
      </c>
      <c r="BI15" s="3">
        <f>1358+95+41+3+286</f>
        <v>1783</v>
      </c>
      <c r="BJ15" s="3">
        <f>1522+108+42+9+262</f>
        <v>1943</v>
      </c>
      <c r="BK15" s="3">
        <f>1324+47+26+5+233</f>
        <v>1635</v>
      </c>
      <c r="BL15" s="3">
        <f>1501+25+3+1+198</f>
        <v>1728</v>
      </c>
      <c r="BM15" s="3">
        <f>1534+48+16+9+241</f>
        <v>1848</v>
      </c>
      <c r="BN15" s="3">
        <f>1759+47+26+10+247</f>
        <v>2089</v>
      </c>
      <c r="BO15" s="3">
        <f>1696+51+15+7+286</f>
        <v>2055</v>
      </c>
      <c r="BP15" s="3">
        <f>1519+62+21+7+297</f>
        <v>1906</v>
      </c>
      <c r="BQ15" s="3">
        <f>1058+47+23+0+342</f>
        <v>1470</v>
      </c>
      <c r="BR15" s="3">
        <f>753+57+17+10+283</f>
        <v>1120</v>
      </c>
      <c r="BS15" s="3">
        <f>572+58+10+6+201</f>
        <v>847</v>
      </c>
      <c r="BT15" s="3">
        <f>483+19+10+13+144</f>
        <v>669</v>
      </c>
      <c r="BU15" s="3">
        <f>233+76+35+6+103</f>
        <v>453</v>
      </c>
      <c r="BV15" s="3">
        <f>27+3+3+6+69</f>
        <v>108</v>
      </c>
      <c r="BW15" s="3">
        <f>112+15+8+6+52</f>
        <v>193</v>
      </c>
      <c r="BX15" s="3">
        <f>131+32+13+2+68</f>
        <v>246</v>
      </c>
      <c r="BY15" s="3">
        <f>124+45+10+5+74</f>
        <v>258</v>
      </c>
      <c r="BZ15" s="3">
        <f>213+51+31+15+96</f>
        <v>406</v>
      </c>
      <c r="CA15" s="3">
        <f>76+33+14+13+90</f>
        <v>226</v>
      </c>
      <c r="CB15" s="3">
        <f>85+18+18+9+75</f>
        <v>205</v>
      </c>
      <c r="CC15" s="3">
        <f>107+28+16+4+68</f>
        <v>223</v>
      </c>
      <c r="CD15" s="3">
        <f>86+19+21+12+65</f>
        <v>203</v>
      </c>
      <c r="CE15" s="3">
        <f t="shared" ref="CE15" si="21">48+7+11+3+7</f>
        <v>76</v>
      </c>
      <c r="CF15" s="3">
        <f>56+30+10+3+8</f>
        <v>107</v>
      </c>
      <c r="CG15" s="3">
        <f>18+5+2+18+5</f>
        <v>48</v>
      </c>
      <c r="CH15" s="3">
        <f>16+3+2+60+4</f>
        <v>85</v>
      </c>
      <c r="CI15" s="3">
        <f>19+6+2+66+14</f>
        <v>107</v>
      </c>
      <c r="CJ15" s="3">
        <f>126+37+25+22+17</f>
        <v>227</v>
      </c>
      <c r="CK15" s="3"/>
      <c r="CL15" s="3"/>
    </row>
    <row r="16" spans="1:100" x14ac:dyDescent="0.3">
      <c r="B16" s="75"/>
      <c r="E16" s="50" t="s">
        <v>67</v>
      </c>
      <c r="F16" s="49"/>
      <c r="G16" s="49" t="str">
        <f t="shared" ref="G16:AU16" si="22">IFERROR((G15-F15)/F15,"")</f>
        <v/>
      </c>
      <c r="H16" s="49" t="str">
        <f t="shared" si="22"/>
        <v/>
      </c>
      <c r="I16" s="49" t="str">
        <f t="shared" si="22"/>
        <v/>
      </c>
      <c r="J16" s="49" t="str">
        <f t="shared" si="22"/>
        <v/>
      </c>
      <c r="K16" s="49" t="str">
        <f t="shared" si="22"/>
        <v/>
      </c>
      <c r="L16" s="49">
        <f t="shared" si="22"/>
        <v>0.38354806739345887</v>
      </c>
      <c r="M16" s="49">
        <f t="shared" si="22"/>
        <v>0.21060171919770773</v>
      </c>
      <c r="N16" s="49">
        <f t="shared" si="22"/>
        <v>0.29230769230769232</v>
      </c>
      <c r="O16" s="49">
        <f t="shared" si="22"/>
        <v>0.13003663003663005</v>
      </c>
      <c r="P16" s="49">
        <f t="shared" si="22"/>
        <v>0.15842787682333873</v>
      </c>
      <c r="Q16" s="49">
        <f t="shared" si="22"/>
        <v>0.40293809024134314</v>
      </c>
      <c r="R16" s="49">
        <f t="shared" si="22"/>
        <v>-0.31887309897781102</v>
      </c>
      <c r="S16" s="49">
        <f t="shared" si="22"/>
        <v>0.31771595900439237</v>
      </c>
      <c r="T16" s="49">
        <f t="shared" si="22"/>
        <v>2.7777777777777779E-3</v>
      </c>
      <c r="U16" s="49">
        <f t="shared" si="22"/>
        <v>0.19722991689750694</v>
      </c>
      <c r="V16" s="49">
        <f t="shared" si="22"/>
        <v>0.16959740860712633</v>
      </c>
      <c r="W16" s="49">
        <f t="shared" si="22"/>
        <v>-7.9723046488625118E-2</v>
      </c>
      <c r="X16" s="49">
        <f t="shared" si="22"/>
        <v>-5.3310404127257092E-2</v>
      </c>
      <c r="Y16" s="49">
        <f t="shared" si="22"/>
        <v>-0.11739327883742053</v>
      </c>
      <c r="Z16" s="49">
        <f t="shared" si="22"/>
        <v>6.7404167738615905E-2</v>
      </c>
      <c r="AA16" s="49">
        <f t="shared" si="22"/>
        <v>-3.976861894432393E-2</v>
      </c>
      <c r="AB16" s="49">
        <f t="shared" si="22"/>
        <v>-0.10190763052208836</v>
      </c>
      <c r="AC16" s="49">
        <f t="shared" si="22"/>
        <v>5.4220234768026829E-2</v>
      </c>
      <c r="AD16" s="49">
        <f t="shared" si="22"/>
        <v>-0.18319194061505834</v>
      </c>
      <c r="AE16" s="49">
        <f t="shared" si="22"/>
        <v>0.10548523206751055</v>
      </c>
      <c r="AF16" s="49">
        <f t="shared" si="22"/>
        <v>3.1121550205519672E-2</v>
      </c>
      <c r="AG16" s="49">
        <f t="shared" si="22"/>
        <v>1.765375854214123E-2</v>
      </c>
      <c r="AH16" s="49">
        <f t="shared" si="22"/>
        <v>-0.14941242305540012</v>
      </c>
      <c r="AI16" s="49">
        <f t="shared" si="22"/>
        <v>4.9342105263157895E-2</v>
      </c>
      <c r="AJ16" s="49">
        <f t="shared" si="22"/>
        <v>3.385579937304075E-2</v>
      </c>
      <c r="AK16" s="49">
        <f t="shared" si="22"/>
        <v>0.26137052759248031</v>
      </c>
      <c r="AL16" s="49">
        <f t="shared" si="22"/>
        <v>0.22836538461538461</v>
      </c>
      <c r="AM16" s="49">
        <f t="shared" si="22"/>
        <v>-1.7808219178082191E-2</v>
      </c>
      <c r="AN16" s="49">
        <f t="shared" si="22"/>
        <v>-0.10460251046025104</v>
      </c>
      <c r="AO16" s="49">
        <f t="shared" si="22"/>
        <v>4.7841566533155321E-2</v>
      </c>
      <c r="AP16" s="49">
        <f t="shared" si="22"/>
        <v>-1.0617965597791464E-2</v>
      </c>
      <c r="AQ16" s="49">
        <f t="shared" si="22"/>
        <v>-1.8888173427774199E-2</v>
      </c>
      <c r="AR16" s="49">
        <f t="shared" si="22"/>
        <v>-0.10763509078976154</v>
      </c>
      <c r="AS16" s="49">
        <f t="shared" si="22"/>
        <v>-0.2257906349595489</v>
      </c>
      <c r="AT16" s="49">
        <f t="shared" si="22"/>
        <v>8.5813806206459786E-2</v>
      </c>
      <c r="AU16" s="49">
        <f t="shared" si="22"/>
        <v>-0.29367162438028582</v>
      </c>
      <c r="AV16" s="49">
        <f>IFERROR((AV15-AR15)/AR15,"")</f>
        <v>-0.59377298357440544</v>
      </c>
      <c r="AW16" s="49">
        <f>IFERROR((AW15-AS15)/AS15,"")</f>
        <v>-0.55509816339455353</v>
      </c>
      <c r="AX16" s="49">
        <f>IFERROR((AX15-AT15)/AT15,"")</f>
        <v>-0.62058909303003795</v>
      </c>
      <c r="AY16" s="49">
        <f>IFERROR((AY15-AR15)/AR15,"")</f>
        <v>-0.83770531993135577</v>
      </c>
      <c r="AZ16" s="49">
        <f>IFERROR((AZ15-AS15)/AS15,"")</f>
        <v>-0.90183660544648514</v>
      </c>
      <c r="BA16" s="49">
        <f>IFERROR((BA15-AT15)/AT15,"")</f>
        <v>-0.79527559055118113</v>
      </c>
      <c r="BB16" s="49">
        <f>IFERROR((BB15-AR15)/AR15,"")</f>
        <v>-0.77175778377053195</v>
      </c>
      <c r="BC16" s="49">
        <f>IFERROR((BC15-AS15)/AS15,"")</f>
        <v>-0.70392653578214059</v>
      </c>
      <c r="BD16" s="49">
        <f>IFERROR((BD15-AT15)/AT15,"")</f>
        <v>-0.64654418197725283</v>
      </c>
      <c r="BE16" s="49">
        <f>IFERROR((BE15-AS15)/AS15,"")</f>
        <v>-0.58296390120329322</v>
      </c>
      <c r="BF16" s="49">
        <f>IFERROR((BF15-AT15)/AT15,"")</f>
        <v>-0.68183143773694954</v>
      </c>
      <c r="BG16" s="49">
        <f>IFERROR((BG15-AS15)/AS15,"")</f>
        <v>-0.59373020899303353</v>
      </c>
      <c r="BH16" s="49">
        <f>IFERROR((BH15-AT15)/AT15,"")</f>
        <v>-0.5517643627879848</v>
      </c>
      <c r="BI16" s="49">
        <f>IFERROR((BI15-AS15)/AS15,"")</f>
        <v>-0.43540215326155796</v>
      </c>
      <c r="BJ16" s="49">
        <f>IFERROR((BJ15-AT15)/AT15,"")</f>
        <v>-0.43336249635462232</v>
      </c>
      <c r="BK16" s="49">
        <f t="shared" ref="BK16:BO16" si="23">IFERROR((BK15-AP15)/AP15,"")</f>
        <v>-0.64906632324533164</v>
      </c>
      <c r="BL16" s="49">
        <f t="shared" si="23"/>
        <v>-0.62196455917742288</v>
      </c>
      <c r="BM16" s="49">
        <f t="shared" si="23"/>
        <v>-0.54694778131895072</v>
      </c>
      <c r="BN16" s="49">
        <f t="shared" si="23"/>
        <v>-0.33850538315389489</v>
      </c>
      <c r="BO16" s="49">
        <f t="shared" si="23"/>
        <v>-0.40069991251093612</v>
      </c>
      <c r="BP16" s="49">
        <f>IFERROR((BP15-AS15)/AS15,"")</f>
        <v>-0.39645345155161493</v>
      </c>
      <c r="BQ16" s="49">
        <f>IFERROR((BQ15-AT15)/AT15,"")</f>
        <v>-0.57130358705161854</v>
      </c>
      <c r="BR16" s="49">
        <f>IFERROR((BR15-AS15)/AS15,"")</f>
        <v>-0.6453451551614946</v>
      </c>
      <c r="BS16" s="49">
        <f>IFERROR((BS15-AT15)/AT15,"")</f>
        <v>-0.75298920968212302</v>
      </c>
      <c r="BT16" s="49">
        <f>IFERROR((BT15-AT15)/AT15,"")</f>
        <v>-0.80489938757655288</v>
      </c>
      <c r="BU16" s="49">
        <f>IFERROR((BU15-AR15)/AR15,"")</f>
        <v>-0.88894336847266486</v>
      </c>
      <c r="BV16" s="49">
        <f>IFERROR((BV15-AS15)/AS15,"")</f>
        <v>-0.96580113996200123</v>
      </c>
      <c r="BW16" s="49">
        <f>IFERROR((BW15-AT15)/AT15,"")</f>
        <v>-0.9437153689122193</v>
      </c>
      <c r="BX16" s="49">
        <f>IFERROR((BX15-AT15)/AT15,"")</f>
        <v>-0.92825896762904636</v>
      </c>
      <c r="BY16" s="49">
        <f>IFERROR((BY15-AR15)/AR15,"")</f>
        <v>-0.93674920323608724</v>
      </c>
      <c r="BZ16" s="49">
        <f>IFERROR((BZ15-AS15)/AS15,"")</f>
        <v>-0.87143761874604175</v>
      </c>
      <c r="CA16" s="49">
        <f>IFERROR((CA15-AT15)/AT15,"")</f>
        <v>-0.93409157188684744</v>
      </c>
      <c r="CB16" s="49">
        <f>IFERROR((CB15-AT15)/AT15,"")</f>
        <v>-0.94021580635753865</v>
      </c>
      <c r="CC16" s="49">
        <f>IFERROR((CC15-AS15)/AS15,"")</f>
        <v>-0.92938568714376191</v>
      </c>
      <c r="CD16" s="49">
        <f>IFERROR((CD15-AT15)/AT15,"")</f>
        <v>-0.9407990667833187</v>
      </c>
      <c r="CE16" s="49">
        <f>IFERROR((CE15-AR15)/AR15,"")</f>
        <v>-0.98136798234861489</v>
      </c>
      <c r="CF16" s="49">
        <f>IFERROR((CF15-AS15)/AS15,"")</f>
        <v>-0.96611779607346426</v>
      </c>
      <c r="CG16" s="49">
        <f>IFERROR((CG15-AT15)/AT15,"")</f>
        <v>-0.9860017497812773</v>
      </c>
      <c r="CH16" s="49">
        <f>IFERROR((CH15-AR15)/AR15,"")</f>
        <v>-0.9791615592056877</v>
      </c>
      <c r="CI16" s="49">
        <f>IFERROR((CI15-AS15)/AS15,"")</f>
        <v>-0.96611779607346426</v>
      </c>
      <c r="CJ16" s="49">
        <f>IFERROR((CJ15-AT15)/AT15,"")</f>
        <v>-0.93379994167395741</v>
      </c>
      <c r="CK16" s="49">
        <f>IFERROR((CK15-AU15)/AU15,"")</f>
        <v>-1</v>
      </c>
      <c r="CL16" s="49" t="str">
        <f t="shared" ref="CL16" si="24">IFERROR((CL15-CK15)/CK15,"")</f>
        <v/>
      </c>
    </row>
    <row r="17" spans="2:92" x14ac:dyDescent="0.3">
      <c r="B17" s="75"/>
      <c r="E17" s="52" t="s">
        <v>69</v>
      </c>
      <c r="F17" s="53">
        <v>1521</v>
      </c>
      <c r="G17" s="53">
        <v>1177</v>
      </c>
      <c r="H17" s="53">
        <v>1057</v>
      </c>
      <c r="I17" s="53">
        <v>1981</v>
      </c>
      <c r="J17" s="53">
        <v>2637</v>
      </c>
      <c r="K17" s="53">
        <v>2588</v>
      </c>
      <c r="L17" s="53">
        <v>2473</v>
      </c>
      <c r="M17" s="53">
        <v>2807</v>
      </c>
      <c r="N17" s="53">
        <v>2011</v>
      </c>
      <c r="O17" s="53">
        <v>1341</v>
      </c>
      <c r="P17" s="53">
        <v>4841</v>
      </c>
      <c r="Q17" s="53">
        <v>4393</v>
      </c>
      <c r="R17" s="53">
        <v>4390</v>
      </c>
      <c r="S17" s="53">
        <v>3683</v>
      </c>
      <c r="T17" s="53">
        <v>3052</v>
      </c>
      <c r="U17" s="53">
        <v>2182</v>
      </c>
      <c r="V17" s="53">
        <v>1052</v>
      </c>
      <c r="W17" s="53">
        <v>2838</v>
      </c>
      <c r="X17" s="53">
        <v>2808</v>
      </c>
      <c r="Y17" s="53">
        <v>2221</v>
      </c>
      <c r="Z17" s="53">
        <v>2110</v>
      </c>
      <c r="AA17" s="53">
        <v>2038</v>
      </c>
      <c r="AB17" s="53">
        <v>1430</v>
      </c>
      <c r="AC17" s="53">
        <v>1074</v>
      </c>
      <c r="AD17" s="53">
        <v>1860</v>
      </c>
      <c r="AE17" s="53">
        <v>1834</v>
      </c>
      <c r="AF17" s="53">
        <v>2320</v>
      </c>
      <c r="AG17" s="53">
        <v>2265</v>
      </c>
      <c r="AH17" s="53">
        <v>2200</v>
      </c>
      <c r="AI17" s="53">
        <v>1420</v>
      </c>
      <c r="AJ17" s="53">
        <v>1127</v>
      </c>
      <c r="AK17" s="53">
        <v>2753</v>
      </c>
      <c r="AL17" s="53">
        <v>3133</v>
      </c>
      <c r="AM17" s="53">
        <v>2837</v>
      </c>
      <c r="AN17" s="53">
        <v>2681</v>
      </c>
      <c r="AO17" s="53">
        <v>2413</v>
      </c>
      <c r="AP17" s="53">
        <v>1329</v>
      </c>
      <c r="AQ17" s="53">
        <v>842</v>
      </c>
      <c r="AR17" s="53">
        <v>657</v>
      </c>
      <c r="AS17" s="53">
        <v>2334</v>
      </c>
      <c r="AT17" s="53">
        <v>2010</v>
      </c>
      <c r="AU17" s="53">
        <v>1911</v>
      </c>
      <c r="AV17" s="53">
        <v>1777</v>
      </c>
      <c r="AW17" s="53">
        <v>1141</v>
      </c>
      <c r="AX17" s="53">
        <v>653</v>
      </c>
      <c r="AY17" s="53">
        <v>547</v>
      </c>
      <c r="AZ17" s="53">
        <v>2764</v>
      </c>
      <c r="BA17" s="53">
        <v>2400</v>
      </c>
      <c r="BB17" s="53">
        <v>2065</v>
      </c>
      <c r="BC17" s="53">
        <v>1866</v>
      </c>
      <c r="BD17" s="53">
        <v>1218</v>
      </c>
      <c r="BE17" s="53">
        <v>669</v>
      </c>
      <c r="BF17" s="53">
        <v>2452</v>
      </c>
      <c r="BG17" s="53">
        <v>2018</v>
      </c>
      <c r="BH17" s="53">
        <v>2384</v>
      </c>
      <c r="BI17" s="53">
        <v>2332</v>
      </c>
      <c r="BJ17" s="53">
        <v>2240</v>
      </c>
      <c r="BK17" s="53">
        <v>1338</v>
      </c>
      <c r="BL17" s="53">
        <v>854</v>
      </c>
      <c r="BM17" s="53">
        <v>2605</v>
      </c>
      <c r="BN17" s="53">
        <v>2439</v>
      </c>
      <c r="BO17" s="53">
        <v>2658</v>
      </c>
      <c r="BP17" s="53">
        <v>2312</v>
      </c>
      <c r="BQ17" s="53">
        <v>2272</v>
      </c>
      <c r="BR17" s="53">
        <v>1378</v>
      </c>
      <c r="BS17" s="53">
        <v>840</v>
      </c>
      <c r="BT17" s="53">
        <v>2960</v>
      </c>
      <c r="BU17" s="53">
        <v>2541</v>
      </c>
      <c r="BV17" s="53">
        <v>1913</v>
      </c>
      <c r="BW17" s="53">
        <v>1822</v>
      </c>
      <c r="BX17" s="53">
        <v>1613</v>
      </c>
      <c r="BY17" s="53">
        <v>840</v>
      </c>
      <c r="BZ17" s="53">
        <v>564</v>
      </c>
      <c r="CA17" s="53">
        <v>1600</v>
      </c>
      <c r="CB17" s="53">
        <v>1515</v>
      </c>
      <c r="CC17" s="53">
        <v>1359</v>
      </c>
      <c r="CD17" s="53">
        <v>1254</v>
      </c>
      <c r="CE17" s="53">
        <v>1153</v>
      </c>
      <c r="CF17" s="53">
        <v>670</v>
      </c>
      <c r="CG17" s="53">
        <v>445</v>
      </c>
      <c r="CH17" s="53">
        <v>558</v>
      </c>
      <c r="CI17" s="53">
        <v>1247</v>
      </c>
      <c r="CJ17" s="53">
        <v>1139</v>
      </c>
      <c r="CK17" s="53">
        <v>1051</v>
      </c>
      <c r="CL17" s="53"/>
    </row>
    <row r="18" spans="2:92" ht="15" thickBot="1" x14ac:dyDescent="0.35">
      <c r="B18" s="75"/>
      <c r="E18" s="51" t="s">
        <v>68</v>
      </c>
      <c r="F18" s="3">
        <f t="shared" ref="F18:BQ18" si="25">F17+F15</f>
        <v>1521</v>
      </c>
      <c r="G18" s="3">
        <f t="shared" si="25"/>
        <v>1177</v>
      </c>
      <c r="H18" s="3">
        <f t="shared" si="25"/>
        <v>1057</v>
      </c>
      <c r="I18" s="3">
        <f t="shared" si="25"/>
        <v>1981</v>
      </c>
      <c r="J18" s="3">
        <f t="shared" si="25"/>
        <v>2637</v>
      </c>
      <c r="K18" s="3">
        <f t="shared" si="25"/>
        <v>3597</v>
      </c>
      <c r="L18" s="3">
        <f t="shared" si="25"/>
        <v>3869</v>
      </c>
      <c r="M18" s="3">
        <f t="shared" si="25"/>
        <v>4497</v>
      </c>
      <c r="N18" s="3">
        <f t="shared" si="25"/>
        <v>4195</v>
      </c>
      <c r="O18" s="3">
        <f t="shared" si="25"/>
        <v>3809</v>
      </c>
      <c r="P18" s="3">
        <f t="shared" si="25"/>
        <v>7700</v>
      </c>
      <c r="Q18" s="3">
        <f t="shared" si="25"/>
        <v>8404</v>
      </c>
      <c r="R18" s="3">
        <f t="shared" si="25"/>
        <v>7122</v>
      </c>
      <c r="S18" s="3">
        <f t="shared" si="25"/>
        <v>7283</v>
      </c>
      <c r="T18" s="3">
        <f t="shared" si="25"/>
        <v>6662</v>
      </c>
      <c r="U18" s="3">
        <f t="shared" si="25"/>
        <v>6504</v>
      </c>
      <c r="V18" s="3">
        <f t="shared" si="25"/>
        <v>6107</v>
      </c>
      <c r="W18" s="3">
        <f t="shared" si="25"/>
        <v>7490</v>
      </c>
      <c r="X18" s="3">
        <f t="shared" si="25"/>
        <v>7212</v>
      </c>
      <c r="Y18" s="3">
        <f t="shared" si="25"/>
        <v>6108</v>
      </c>
      <c r="Z18" s="3">
        <f t="shared" si="25"/>
        <v>6259</v>
      </c>
      <c r="AA18" s="3">
        <f t="shared" si="25"/>
        <v>6022</v>
      </c>
      <c r="AB18" s="3">
        <f t="shared" si="25"/>
        <v>5008</v>
      </c>
      <c r="AC18" s="3">
        <f t="shared" si="25"/>
        <v>4846</v>
      </c>
      <c r="AD18" s="3">
        <f t="shared" si="25"/>
        <v>4941</v>
      </c>
      <c r="AE18" s="3">
        <f t="shared" si="25"/>
        <v>5240</v>
      </c>
      <c r="AF18" s="3">
        <f t="shared" si="25"/>
        <v>5832</v>
      </c>
      <c r="AG18" s="3">
        <f t="shared" si="25"/>
        <v>5839</v>
      </c>
      <c r="AH18" s="3">
        <f t="shared" si="25"/>
        <v>5240</v>
      </c>
      <c r="AI18" s="3">
        <f t="shared" si="25"/>
        <v>4610</v>
      </c>
      <c r="AJ18" s="3">
        <f t="shared" si="25"/>
        <v>4425</v>
      </c>
      <c r="AK18" s="3">
        <f t="shared" si="25"/>
        <v>6913</v>
      </c>
      <c r="AL18" s="3">
        <f t="shared" si="25"/>
        <v>8243</v>
      </c>
      <c r="AM18" s="3">
        <f t="shared" si="25"/>
        <v>7856</v>
      </c>
      <c r="AN18" s="3">
        <f t="shared" si="25"/>
        <v>7175</v>
      </c>
      <c r="AO18" s="3">
        <f t="shared" si="25"/>
        <v>7122</v>
      </c>
      <c r="AP18" s="3">
        <f t="shared" si="25"/>
        <v>5988</v>
      </c>
      <c r="AQ18" s="3">
        <f t="shared" si="25"/>
        <v>5413</v>
      </c>
      <c r="AR18" s="3">
        <f t="shared" si="25"/>
        <v>4736</v>
      </c>
      <c r="AS18" s="3">
        <f t="shared" si="25"/>
        <v>5492</v>
      </c>
      <c r="AT18" s="3">
        <f t="shared" si="25"/>
        <v>5439</v>
      </c>
      <c r="AU18" s="3">
        <f t="shared" si="25"/>
        <v>4333</v>
      </c>
      <c r="AV18" s="3">
        <f t="shared" si="25"/>
        <v>3434</v>
      </c>
      <c r="AW18" s="3">
        <f t="shared" si="25"/>
        <v>2546</v>
      </c>
      <c r="AX18" s="3">
        <f t="shared" si="25"/>
        <v>1954</v>
      </c>
      <c r="AY18" s="3">
        <f t="shared" si="25"/>
        <v>1209</v>
      </c>
      <c r="AZ18" s="3">
        <f t="shared" si="25"/>
        <v>3074</v>
      </c>
      <c r="BA18" s="3">
        <f t="shared" si="25"/>
        <v>3102</v>
      </c>
      <c r="BB18" s="3">
        <f t="shared" si="25"/>
        <v>2996</v>
      </c>
      <c r="BC18" s="3">
        <f t="shared" si="25"/>
        <v>2801</v>
      </c>
      <c r="BD18" s="3">
        <f t="shared" si="25"/>
        <v>2430</v>
      </c>
      <c r="BE18" s="3">
        <f t="shared" si="25"/>
        <v>1986</v>
      </c>
      <c r="BF18" s="3">
        <f t="shared" si="25"/>
        <v>3543</v>
      </c>
      <c r="BG18" s="3">
        <f t="shared" si="25"/>
        <v>3301</v>
      </c>
      <c r="BH18" s="3">
        <f t="shared" si="25"/>
        <v>3921</v>
      </c>
      <c r="BI18" s="3">
        <f t="shared" si="25"/>
        <v>4115</v>
      </c>
      <c r="BJ18" s="3">
        <f t="shared" si="25"/>
        <v>4183</v>
      </c>
      <c r="BK18" s="3">
        <f t="shared" si="25"/>
        <v>2973</v>
      </c>
      <c r="BL18" s="3">
        <f t="shared" si="25"/>
        <v>2582</v>
      </c>
      <c r="BM18" s="3">
        <f t="shared" si="25"/>
        <v>4453</v>
      </c>
      <c r="BN18" s="3">
        <f t="shared" si="25"/>
        <v>4528</v>
      </c>
      <c r="BO18" s="3">
        <f t="shared" si="25"/>
        <v>4713</v>
      </c>
      <c r="BP18" s="3">
        <f t="shared" si="25"/>
        <v>4218</v>
      </c>
      <c r="BQ18" s="3">
        <f t="shared" si="25"/>
        <v>3742</v>
      </c>
      <c r="BR18" s="3">
        <f t="shared" ref="BR18:CL18" si="26">BR17+BR15</f>
        <v>2498</v>
      </c>
      <c r="BS18" s="3">
        <f t="shared" si="26"/>
        <v>1687</v>
      </c>
      <c r="BT18" s="3">
        <f t="shared" si="26"/>
        <v>3629</v>
      </c>
      <c r="BU18" s="3">
        <f t="shared" si="26"/>
        <v>2994</v>
      </c>
      <c r="BV18" s="3">
        <f t="shared" si="26"/>
        <v>2021</v>
      </c>
      <c r="BW18" s="3">
        <f t="shared" si="26"/>
        <v>2015</v>
      </c>
      <c r="BX18" s="3">
        <f t="shared" si="26"/>
        <v>1859</v>
      </c>
      <c r="BY18" s="3">
        <f t="shared" si="26"/>
        <v>1098</v>
      </c>
      <c r="BZ18" s="3">
        <f t="shared" si="26"/>
        <v>970</v>
      </c>
      <c r="CA18" s="3">
        <f t="shared" si="26"/>
        <v>1826</v>
      </c>
      <c r="CB18" s="3">
        <f t="shared" si="26"/>
        <v>1720</v>
      </c>
      <c r="CC18" s="3">
        <f t="shared" si="26"/>
        <v>1582</v>
      </c>
      <c r="CD18" s="3">
        <f t="shared" si="26"/>
        <v>1457</v>
      </c>
      <c r="CE18" s="3">
        <f t="shared" ref="CE18:CH18" si="27">CE11+CE15</f>
        <v>944</v>
      </c>
      <c r="CF18" s="3">
        <f t="shared" si="27"/>
        <v>683</v>
      </c>
      <c r="CG18" s="3">
        <f t="shared" si="27"/>
        <v>447</v>
      </c>
      <c r="CH18" s="3">
        <f t="shared" si="27"/>
        <v>698</v>
      </c>
      <c r="CI18" s="3">
        <f t="shared" ref="CI18" si="28">CI17+CI15</f>
        <v>1354</v>
      </c>
      <c r="CJ18" s="3">
        <f t="shared" si="26"/>
        <v>1366</v>
      </c>
      <c r="CK18" s="3">
        <f t="shared" si="26"/>
        <v>1051</v>
      </c>
      <c r="CL18" s="3">
        <f t="shared" si="26"/>
        <v>0</v>
      </c>
    </row>
    <row r="19" spans="2:92" s="32" customFormat="1" ht="15" hidden="1" thickBot="1" x14ac:dyDescent="0.35">
      <c r="B19" s="75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48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63">
        <v>2100</v>
      </c>
      <c r="BC19" s="62"/>
      <c r="BD19" s="62"/>
      <c r="BE19" s="62"/>
      <c r="BF19" s="63">
        <v>2025</v>
      </c>
      <c r="BG19" s="62"/>
      <c r="BH19" s="62"/>
      <c r="BI19" s="63">
        <v>1966</v>
      </c>
      <c r="BJ19" s="62"/>
      <c r="BK19" s="62"/>
      <c r="BL19" s="62"/>
      <c r="BM19" s="62"/>
      <c r="BN19" s="62"/>
      <c r="BO19" s="63">
        <v>1808</v>
      </c>
      <c r="BP19" s="62"/>
      <c r="BQ19" s="62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21"/>
    </row>
    <row r="20" spans="2:92" ht="15" thickBot="1" x14ac:dyDescent="0.35">
      <c r="B20" s="75"/>
      <c r="E20" s="23" t="s">
        <v>5</v>
      </c>
      <c r="F20" s="8">
        <v>593</v>
      </c>
      <c r="G20" s="8">
        <v>892</v>
      </c>
      <c r="H20" s="8">
        <v>1015</v>
      </c>
      <c r="I20" s="8">
        <v>1368</v>
      </c>
      <c r="J20" s="8">
        <v>1888</v>
      </c>
      <c r="K20" s="8">
        <v>1903</v>
      </c>
      <c r="L20" s="8">
        <v>2088</v>
      </c>
      <c r="M20" s="8">
        <v>2093</v>
      </c>
      <c r="N20" s="8">
        <v>1360</v>
      </c>
      <c r="O20" s="8">
        <v>842</v>
      </c>
      <c r="P20" s="8">
        <v>1944</v>
      </c>
      <c r="Q20" s="8">
        <v>1801</v>
      </c>
      <c r="R20" s="8">
        <v>1970</v>
      </c>
      <c r="S20" s="8">
        <v>1666</v>
      </c>
      <c r="T20" s="8">
        <v>1565</v>
      </c>
      <c r="U20" s="8">
        <v>724</v>
      </c>
      <c r="V20" s="8">
        <v>1130</v>
      </c>
      <c r="W20" s="8">
        <v>1860</v>
      </c>
      <c r="X20" s="8">
        <v>1969</v>
      </c>
      <c r="Y20" s="8">
        <v>1761</v>
      </c>
      <c r="Z20" s="8">
        <v>2028</v>
      </c>
      <c r="AA20" s="8">
        <v>2339</v>
      </c>
      <c r="AB20" s="8">
        <v>1123</v>
      </c>
      <c r="AC20" s="8">
        <v>1365</v>
      </c>
      <c r="AD20" s="8">
        <v>2332</v>
      </c>
      <c r="AE20" s="8">
        <v>2284</v>
      </c>
      <c r="AF20" s="8">
        <v>2499</v>
      </c>
      <c r="AG20" s="8">
        <v>2357</v>
      </c>
      <c r="AH20" s="8">
        <v>2201</v>
      </c>
      <c r="AI20" s="8">
        <v>1290</v>
      </c>
      <c r="AJ20" s="8">
        <v>838</v>
      </c>
      <c r="AK20" s="8">
        <v>2195</v>
      </c>
      <c r="AL20" s="8">
        <v>2041</v>
      </c>
      <c r="AM20" s="8">
        <v>2015</v>
      </c>
      <c r="AN20" s="8">
        <v>2145</v>
      </c>
      <c r="AO20" s="8">
        <v>2256</v>
      </c>
      <c r="AP20" s="8">
        <v>1201</v>
      </c>
      <c r="AQ20" s="8">
        <v>1192</v>
      </c>
      <c r="AR20" s="8">
        <v>1494</v>
      </c>
      <c r="AS20" s="8">
        <v>2242</v>
      </c>
      <c r="AT20" s="8">
        <v>2382</v>
      </c>
      <c r="AU20" s="8">
        <v>2475</v>
      </c>
      <c r="AV20" s="8">
        <v>2594</v>
      </c>
      <c r="AW20" s="8">
        <v>1295</v>
      </c>
      <c r="AX20" s="8">
        <v>1193</v>
      </c>
      <c r="AY20" s="8">
        <v>1029</v>
      </c>
      <c r="AZ20" s="8">
        <v>2153</v>
      </c>
      <c r="BA20" s="8">
        <v>2165</v>
      </c>
      <c r="BB20" s="8">
        <v>2101</v>
      </c>
      <c r="BC20" s="8">
        <v>2041</v>
      </c>
      <c r="BD20" s="8">
        <v>1082</v>
      </c>
      <c r="BE20" s="8">
        <v>883</v>
      </c>
      <c r="BF20" s="8">
        <v>2027</v>
      </c>
      <c r="BG20" s="8">
        <v>2032</v>
      </c>
      <c r="BH20" s="8">
        <v>1885</v>
      </c>
      <c r="BI20" s="8">
        <v>1969</v>
      </c>
      <c r="BJ20" s="8">
        <v>1795</v>
      </c>
      <c r="BK20" s="8">
        <v>1022</v>
      </c>
      <c r="BL20" s="8">
        <v>685</v>
      </c>
      <c r="BM20" s="8">
        <v>1788</v>
      </c>
      <c r="BN20" s="8">
        <v>1792</v>
      </c>
      <c r="BO20" s="8">
        <v>1774</v>
      </c>
      <c r="BP20" s="8">
        <v>1958</v>
      </c>
      <c r="BQ20" s="8">
        <v>1916</v>
      </c>
      <c r="BR20" s="8">
        <v>1136</v>
      </c>
      <c r="BS20" s="8">
        <v>784</v>
      </c>
      <c r="BT20" s="8">
        <v>1907</v>
      </c>
      <c r="BU20" s="8">
        <v>2097</v>
      </c>
      <c r="BV20" s="8">
        <v>1803</v>
      </c>
      <c r="BW20" s="8">
        <v>1461</v>
      </c>
      <c r="BX20" s="8">
        <v>1810</v>
      </c>
      <c r="BY20" s="8">
        <v>629</v>
      </c>
      <c r="BZ20" s="8">
        <v>728</v>
      </c>
      <c r="CA20" s="8">
        <v>1523</v>
      </c>
      <c r="CB20" s="8">
        <v>1665</v>
      </c>
      <c r="CC20" s="8">
        <v>1881</v>
      </c>
      <c r="CD20" s="8">
        <v>1608</v>
      </c>
      <c r="CE20" s="8">
        <v>1339</v>
      </c>
      <c r="CF20" s="8">
        <v>872</v>
      </c>
      <c r="CG20" s="8">
        <v>554</v>
      </c>
      <c r="CH20" s="8">
        <v>755</v>
      </c>
      <c r="CI20" s="8">
        <v>2035</v>
      </c>
      <c r="CJ20" s="8"/>
      <c r="CK20" s="8"/>
      <c r="CL20" s="9"/>
      <c r="CM20" s="29">
        <f>SUM(F20:CL20)</f>
        <v>134492</v>
      </c>
      <c r="CN20" s="33">
        <f>CM20-CM11</f>
        <v>-19594</v>
      </c>
    </row>
    <row r="21" spans="2:92" ht="72" x14ac:dyDescent="0.3">
      <c r="B21" s="75"/>
      <c r="I21" s="22" t="s">
        <v>74</v>
      </c>
      <c r="J21" s="22" t="s">
        <v>75</v>
      </c>
      <c r="K21" s="22" t="s">
        <v>76</v>
      </c>
      <c r="L21" s="22" t="s">
        <v>76</v>
      </c>
      <c r="M21" s="22" t="s">
        <v>77</v>
      </c>
      <c r="N21" s="22" t="s">
        <v>78</v>
      </c>
      <c r="O21" s="22" t="s">
        <v>78</v>
      </c>
      <c r="P21" s="22" t="s">
        <v>74</v>
      </c>
      <c r="Q21" s="22" t="s">
        <v>79</v>
      </c>
      <c r="R21" s="22" t="s">
        <v>80</v>
      </c>
      <c r="S21" s="22" t="s">
        <v>41</v>
      </c>
      <c r="T21" s="22" t="s">
        <v>43</v>
      </c>
      <c r="U21" s="22" t="s">
        <v>44</v>
      </c>
      <c r="V21" s="22" t="s">
        <v>45</v>
      </c>
      <c r="W21" s="22" t="s">
        <v>56</v>
      </c>
      <c r="X21" s="22" t="s">
        <v>57</v>
      </c>
      <c r="Y21" s="22" t="s">
        <v>58</v>
      </c>
      <c r="Z21" s="22" t="s">
        <v>76</v>
      </c>
      <c r="AA21" s="22" t="s">
        <v>64</v>
      </c>
      <c r="AB21" s="22" t="s">
        <v>64</v>
      </c>
      <c r="AC21" s="22" t="s">
        <v>64</v>
      </c>
      <c r="AD21" s="22" t="s">
        <v>81</v>
      </c>
      <c r="AE21" s="22" t="s">
        <v>81</v>
      </c>
      <c r="AF21" s="22" t="s">
        <v>81</v>
      </c>
      <c r="AG21" s="22" t="s">
        <v>82</v>
      </c>
      <c r="AH21" s="22" t="s">
        <v>81</v>
      </c>
      <c r="AI21" s="22" t="s">
        <v>82</v>
      </c>
      <c r="AJ21" s="22" t="s">
        <v>83</v>
      </c>
      <c r="AK21" s="22" t="s">
        <v>84</v>
      </c>
      <c r="AL21" s="22" t="s">
        <v>71</v>
      </c>
      <c r="AM21" s="22" t="s">
        <v>71</v>
      </c>
      <c r="AN21" s="22" t="s">
        <v>72</v>
      </c>
      <c r="AO21" s="22" t="s">
        <v>85</v>
      </c>
      <c r="AP21" s="22" t="s">
        <v>86</v>
      </c>
      <c r="AQ21" s="22" t="s">
        <v>71</v>
      </c>
      <c r="AR21" s="22" t="s">
        <v>86</v>
      </c>
      <c r="AS21" s="22" t="s">
        <v>81</v>
      </c>
      <c r="AT21" s="22" t="s">
        <v>71</v>
      </c>
      <c r="AU21" s="22" t="s">
        <v>81</v>
      </c>
      <c r="AV21" s="22" t="s">
        <v>73</v>
      </c>
      <c r="AW21" s="22" t="s">
        <v>73</v>
      </c>
      <c r="AX21" s="22" t="s">
        <v>73</v>
      </c>
      <c r="AY21" s="22" t="s">
        <v>70</v>
      </c>
      <c r="AZ21" s="22" t="s">
        <v>71</v>
      </c>
      <c r="BA21" s="22" t="s">
        <v>71</v>
      </c>
      <c r="BB21" s="22" t="s">
        <v>87</v>
      </c>
      <c r="BC21" s="22" t="s">
        <v>89</v>
      </c>
      <c r="BD21" s="22" t="s">
        <v>89</v>
      </c>
      <c r="BE21" s="22" t="s">
        <v>88</v>
      </c>
      <c r="BF21" s="22" t="s">
        <v>89</v>
      </c>
      <c r="BG21" s="22" t="s">
        <v>89</v>
      </c>
      <c r="BH21" s="22" t="s">
        <v>89</v>
      </c>
      <c r="BI21" s="22" t="s">
        <v>90</v>
      </c>
      <c r="BJ21" s="22" t="s">
        <v>71</v>
      </c>
      <c r="BK21" s="22" t="s">
        <v>71</v>
      </c>
      <c r="BL21" s="22" t="s">
        <v>71</v>
      </c>
      <c r="BM21" s="22" t="s">
        <v>89</v>
      </c>
      <c r="BN21" s="22" t="s">
        <v>88</v>
      </c>
      <c r="BO21" s="22" t="s">
        <v>97</v>
      </c>
      <c r="BP21" s="22" t="s">
        <v>98</v>
      </c>
      <c r="BQ21" s="22" t="s">
        <v>99</v>
      </c>
      <c r="BR21" s="22" t="s">
        <v>99</v>
      </c>
      <c r="BS21" s="22" t="s">
        <v>100</v>
      </c>
      <c r="BT21" s="22" t="s">
        <v>71</v>
      </c>
      <c r="BU21" s="22" t="s">
        <v>71</v>
      </c>
      <c r="BV21" s="22" t="s">
        <v>98</v>
      </c>
      <c r="BW21" s="22" t="s">
        <v>71</v>
      </c>
      <c r="BX21" s="22" t="s">
        <v>71</v>
      </c>
      <c r="BY21" s="22" t="s">
        <v>71</v>
      </c>
      <c r="BZ21" s="22" t="s">
        <v>71</v>
      </c>
      <c r="CA21" s="22" t="s">
        <v>71</v>
      </c>
      <c r="CB21" s="22" t="s">
        <v>71</v>
      </c>
      <c r="CC21" s="22" t="s">
        <v>71</v>
      </c>
      <c r="CD21" s="22" t="s">
        <v>71</v>
      </c>
      <c r="CE21" s="22" t="s">
        <v>71</v>
      </c>
      <c r="CF21" s="22" t="s">
        <v>71</v>
      </c>
      <c r="CG21" s="22" t="s">
        <v>71</v>
      </c>
      <c r="CH21" s="22" t="s">
        <v>89</v>
      </c>
      <c r="CI21" s="22" t="s">
        <v>71</v>
      </c>
    </row>
    <row r="22" spans="2:92" x14ac:dyDescent="0.3">
      <c r="B22" s="75"/>
      <c r="F22" s="34"/>
      <c r="G22" s="34"/>
      <c r="H22" s="34"/>
    </row>
    <row r="23" spans="2:92" x14ac:dyDescent="0.3">
      <c r="B23" s="10"/>
      <c r="F23" s="34"/>
      <c r="G23" s="34"/>
      <c r="H23" s="34"/>
      <c r="AI23" s="21" t="s">
        <v>61</v>
      </c>
      <c r="AM23" s="21" t="s">
        <v>62</v>
      </c>
    </row>
    <row r="24" spans="2:92" x14ac:dyDescent="0.3">
      <c r="B24" s="10"/>
      <c r="F24" s="34"/>
      <c r="G24" s="34"/>
      <c r="H24" s="34"/>
      <c r="AI24" s="21" t="s">
        <v>35</v>
      </c>
      <c r="AM24" s="21" t="s">
        <v>59</v>
      </c>
    </row>
    <row r="25" spans="2:92" x14ac:dyDescent="0.3">
      <c r="B25" s="10"/>
      <c r="F25" s="34"/>
      <c r="G25" s="34"/>
      <c r="H25" s="34"/>
      <c r="AI25" s="21" t="s">
        <v>36</v>
      </c>
      <c r="AM25" s="21" t="s">
        <v>60</v>
      </c>
    </row>
    <row r="26" spans="2:92" x14ac:dyDescent="0.3">
      <c r="B26" s="10"/>
      <c r="F26" s="34"/>
      <c r="G26" s="34"/>
      <c r="H26" s="34"/>
      <c r="AI26" s="21" t="s">
        <v>63</v>
      </c>
      <c r="AM26" s="21" t="s">
        <v>65</v>
      </c>
    </row>
    <row r="27" spans="2:92" x14ac:dyDescent="0.3">
      <c r="B27" s="10"/>
      <c r="F27" s="34"/>
      <c r="G27" s="34"/>
      <c r="H27" s="34"/>
      <c r="AI27" s="35" t="s">
        <v>37</v>
      </c>
      <c r="AM27" s="35" t="s">
        <v>37</v>
      </c>
    </row>
    <row r="28" spans="2:92" x14ac:dyDescent="0.3">
      <c r="B28" s="10"/>
      <c r="F28" s="34"/>
      <c r="G28" s="34"/>
      <c r="H28" s="34"/>
      <c r="AI28" s="21" t="s">
        <v>38</v>
      </c>
      <c r="AM28" s="21" t="s">
        <v>38</v>
      </c>
    </row>
    <row r="29" spans="2:92" x14ac:dyDescent="0.3">
      <c r="B29" s="10"/>
      <c r="F29" s="34"/>
      <c r="G29" s="34"/>
      <c r="H29" s="34"/>
      <c r="AI29" s="21" t="s">
        <v>39</v>
      </c>
      <c r="AM29" s="21" t="s">
        <v>39</v>
      </c>
    </row>
    <row r="30" spans="2:92" x14ac:dyDescent="0.3">
      <c r="B30" s="10"/>
      <c r="F30" s="34"/>
      <c r="G30" s="34"/>
      <c r="H30" s="34"/>
    </row>
    <row r="31" spans="2:92" x14ac:dyDescent="0.3">
      <c r="B31" s="10"/>
      <c r="F31" s="34"/>
      <c r="G31" s="34"/>
      <c r="H31" s="34"/>
    </row>
    <row r="32" spans="2:92" x14ac:dyDescent="0.3">
      <c r="B32" s="10"/>
      <c r="F32" s="34"/>
      <c r="G32" s="34"/>
      <c r="H32" s="34"/>
    </row>
    <row r="33" spans="1:92" x14ac:dyDescent="0.3">
      <c r="B33" s="10"/>
      <c r="F33" s="34"/>
      <c r="G33" s="34"/>
      <c r="H33" s="34"/>
      <c r="AI33" s="21" t="s">
        <v>40</v>
      </c>
      <c r="AM33" s="21" t="s">
        <v>40</v>
      </c>
    </row>
    <row r="34" spans="1:92" x14ac:dyDescent="0.3">
      <c r="B34" s="10"/>
      <c r="F34" s="34"/>
      <c r="G34" s="34"/>
      <c r="H34" s="34"/>
      <c r="AI34" s="35"/>
    </row>
    <row r="35" spans="1:92" x14ac:dyDescent="0.3">
      <c r="B35" s="10"/>
      <c r="F35" s="34"/>
      <c r="G35" s="34"/>
      <c r="H35" s="34"/>
      <c r="AI35" s="21" t="s">
        <v>42</v>
      </c>
    </row>
    <row r="36" spans="1:92" x14ac:dyDescent="0.3">
      <c r="B36" s="10"/>
      <c r="F36" s="34"/>
      <c r="G36" s="34"/>
      <c r="H36" s="34"/>
    </row>
    <row r="37" spans="1:92" x14ac:dyDescent="0.3">
      <c r="B37" s="10"/>
      <c r="F37" s="34"/>
      <c r="G37" s="34"/>
      <c r="H37" s="34"/>
    </row>
    <row r="38" spans="1:92" x14ac:dyDescent="0.3">
      <c r="B38" s="10"/>
      <c r="F38" s="34"/>
      <c r="G38" s="34"/>
      <c r="H38" s="34"/>
    </row>
    <row r="39" spans="1:92" x14ac:dyDescent="0.3">
      <c r="B39" s="10"/>
      <c r="F39" s="34"/>
      <c r="G39" s="34"/>
      <c r="H39" s="34"/>
    </row>
    <row r="40" spans="1:92" x14ac:dyDescent="0.3">
      <c r="B40" s="10"/>
      <c r="F40" s="34"/>
      <c r="G40" s="34"/>
      <c r="H40" s="34"/>
    </row>
    <row r="41" spans="1:92" x14ac:dyDescent="0.3">
      <c r="B41" s="10"/>
      <c r="F41" s="34"/>
      <c r="G41" s="34"/>
      <c r="H41" s="34"/>
    </row>
    <row r="42" spans="1:92" x14ac:dyDescent="0.3">
      <c r="B42" s="10"/>
      <c r="F42" s="34"/>
      <c r="G42" s="34"/>
      <c r="H42" s="34"/>
    </row>
    <row r="43" spans="1:92" x14ac:dyDescent="0.3">
      <c r="B43" s="10"/>
      <c r="F43" s="34"/>
      <c r="G43" s="34"/>
      <c r="H43" s="34"/>
    </row>
    <row r="44" spans="1:92" x14ac:dyDescent="0.3">
      <c r="B44" s="10"/>
      <c r="F44" s="34"/>
      <c r="G44" s="34"/>
      <c r="H44" s="34"/>
    </row>
    <row r="46" spans="1:92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</row>
    <row r="47" spans="1:92" x14ac:dyDescent="0.3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</row>
    <row r="49" spans="2:92" x14ac:dyDescent="0.3">
      <c r="B49" s="75" t="s">
        <v>14</v>
      </c>
    </row>
    <row r="50" spans="2:92" x14ac:dyDescent="0.3">
      <c r="B50" s="75"/>
    </row>
    <row r="51" spans="2:92" x14ac:dyDescent="0.3">
      <c r="B51" s="75"/>
      <c r="F51" s="79" t="s">
        <v>0</v>
      </c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1"/>
    </row>
    <row r="52" spans="2:92" x14ac:dyDescent="0.3">
      <c r="B52" s="75"/>
      <c r="E52" s="1"/>
      <c r="F52" s="54">
        <f t="shared" ref="F52:BQ52" si="29">F53</f>
        <v>45247</v>
      </c>
      <c r="G52" s="54">
        <f t="shared" si="29"/>
        <v>45248</v>
      </c>
      <c r="H52" s="54">
        <f t="shared" si="29"/>
        <v>45249</v>
      </c>
      <c r="I52" s="54">
        <f t="shared" si="29"/>
        <v>45250</v>
      </c>
      <c r="J52" s="54">
        <f t="shared" si="29"/>
        <v>45251</v>
      </c>
      <c r="K52" s="54">
        <f t="shared" si="29"/>
        <v>45252</v>
      </c>
      <c r="L52" s="54">
        <f t="shared" si="29"/>
        <v>45253</v>
      </c>
      <c r="M52" s="54">
        <f t="shared" si="29"/>
        <v>45254</v>
      </c>
      <c r="N52" s="54">
        <f t="shared" si="29"/>
        <v>45255</v>
      </c>
      <c r="O52" s="54">
        <f t="shared" si="29"/>
        <v>45256</v>
      </c>
      <c r="P52" s="54">
        <f t="shared" si="29"/>
        <v>45257</v>
      </c>
      <c r="Q52" s="54">
        <f t="shared" si="29"/>
        <v>45258</v>
      </c>
      <c r="R52" s="54">
        <f t="shared" si="29"/>
        <v>45259</v>
      </c>
      <c r="S52" s="54">
        <f t="shared" si="29"/>
        <v>45260</v>
      </c>
      <c r="T52" s="54">
        <f t="shared" si="29"/>
        <v>45261</v>
      </c>
      <c r="U52" s="54">
        <f t="shared" si="29"/>
        <v>45262</v>
      </c>
      <c r="V52" s="54">
        <f t="shared" si="29"/>
        <v>45263</v>
      </c>
      <c r="W52" s="54">
        <f t="shared" si="29"/>
        <v>45264</v>
      </c>
      <c r="X52" s="54">
        <f t="shared" si="29"/>
        <v>45265</v>
      </c>
      <c r="Y52" s="54">
        <f t="shared" si="29"/>
        <v>45266</v>
      </c>
      <c r="Z52" s="54">
        <f t="shared" si="29"/>
        <v>45267</v>
      </c>
      <c r="AA52" s="54">
        <f t="shared" si="29"/>
        <v>45268</v>
      </c>
      <c r="AB52" s="54">
        <f t="shared" si="29"/>
        <v>45269</v>
      </c>
      <c r="AC52" s="54">
        <f t="shared" si="29"/>
        <v>45270</v>
      </c>
      <c r="AD52" s="54">
        <f t="shared" si="29"/>
        <v>45271</v>
      </c>
      <c r="AE52" s="54">
        <f t="shared" si="29"/>
        <v>45272</v>
      </c>
      <c r="AF52" s="54">
        <f t="shared" si="29"/>
        <v>45273</v>
      </c>
      <c r="AG52" s="54">
        <f t="shared" si="29"/>
        <v>45274</v>
      </c>
      <c r="AH52" s="54">
        <f t="shared" si="29"/>
        <v>45275</v>
      </c>
      <c r="AI52" s="54">
        <f t="shared" si="29"/>
        <v>45276</v>
      </c>
      <c r="AJ52" s="54">
        <f t="shared" si="29"/>
        <v>45277</v>
      </c>
      <c r="AK52" s="54">
        <f t="shared" si="29"/>
        <v>45278</v>
      </c>
      <c r="AL52" s="54">
        <f t="shared" si="29"/>
        <v>45279</v>
      </c>
      <c r="AM52" s="54">
        <f t="shared" si="29"/>
        <v>45280</v>
      </c>
      <c r="AN52" s="54">
        <f t="shared" si="29"/>
        <v>45281</v>
      </c>
      <c r="AO52" s="54">
        <f t="shared" si="29"/>
        <v>45282</v>
      </c>
      <c r="AP52" s="54">
        <f t="shared" si="29"/>
        <v>45283</v>
      </c>
      <c r="AQ52" s="54">
        <f t="shared" si="29"/>
        <v>45284</v>
      </c>
      <c r="AR52" s="54">
        <f t="shared" si="29"/>
        <v>45285</v>
      </c>
      <c r="AS52" s="54">
        <f t="shared" si="29"/>
        <v>45286</v>
      </c>
      <c r="AT52" s="54">
        <f t="shared" si="29"/>
        <v>45287</v>
      </c>
      <c r="AU52" s="54">
        <f t="shared" si="29"/>
        <v>45288</v>
      </c>
      <c r="AV52" s="54">
        <f t="shared" si="29"/>
        <v>45289</v>
      </c>
      <c r="AW52" s="54">
        <f t="shared" si="29"/>
        <v>45290</v>
      </c>
      <c r="AX52" s="54">
        <f t="shared" si="29"/>
        <v>45291</v>
      </c>
      <c r="AY52" s="54">
        <f t="shared" si="29"/>
        <v>45292</v>
      </c>
      <c r="AZ52" s="54">
        <f t="shared" si="29"/>
        <v>45293</v>
      </c>
      <c r="BA52" s="54">
        <f t="shared" si="29"/>
        <v>45294</v>
      </c>
      <c r="BB52" s="54">
        <f t="shared" si="29"/>
        <v>45295</v>
      </c>
      <c r="BC52" s="54">
        <f t="shared" si="29"/>
        <v>45296</v>
      </c>
      <c r="BD52" s="54">
        <f t="shared" si="29"/>
        <v>45297</v>
      </c>
      <c r="BE52" s="54">
        <f t="shared" si="29"/>
        <v>45298</v>
      </c>
      <c r="BF52" s="54">
        <f t="shared" si="29"/>
        <v>45299</v>
      </c>
      <c r="BG52" s="54">
        <f t="shared" si="29"/>
        <v>45300</v>
      </c>
      <c r="BH52" s="54">
        <f t="shared" si="29"/>
        <v>45301</v>
      </c>
      <c r="BI52" s="54">
        <f t="shared" si="29"/>
        <v>45302</v>
      </c>
      <c r="BJ52" s="54">
        <f t="shared" si="29"/>
        <v>45303</v>
      </c>
      <c r="BK52" s="54">
        <f t="shared" si="29"/>
        <v>45304</v>
      </c>
      <c r="BL52" s="54">
        <f t="shared" si="29"/>
        <v>45305</v>
      </c>
      <c r="BM52" s="54">
        <f t="shared" si="29"/>
        <v>45306</v>
      </c>
      <c r="BN52" s="54">
        <f t="shared" si="29"/>
        <v>45307</v>
      </c>
      <c r="BO52" s="54">
        <f t="shared" si="29"/>
        <v>45308</v>
      </c>
      <c r="BP52" s="54">
        <f t="shared" si="29"/>
        <v>45309</v>
      </c>
      <c r="BQ52" s="54">
        <f t="shared" si="29"/>
        <v>45310</v>
      </c>
      <c r="BR52" s="54">
        <f t="shared" ref="BR52:CL52" si="30">BR53</f>
        <v>45311</v>
      </c>
      <c r="BS52" s="54">
        <f t="shared" si="30"/>
        <v>45312</v>
      </c>
      <c r="BT52" s="54">
        <f t="shared" si="30"/>
        <v>45313</v>
      </c>
      <c r="BU52" s="54">
        <f t="shared" si="30"/>
        <v>45314</v>
      </c>
      <c r="BV52" s="54">
        <f t="shared" si="30"/>
        <v>45315</v>
      </c>
      <c r="BW52" s="54">
        <f t="shared" si="30"/>
        <v>45316</v>
      </c>
      <c r="BX52" s="54">
        <f t="shared" si="30"/>
        <v>45317</v>
      </c>
      <c r="BY52" s="54">
        <f t="shared" si="30"/>
        <v>45318</v>
      </c>
      <c r="BZ52" s="54">
        <f t="shared" si="30"/>
        <v>45319</v>
      </c>
      <c r="CA52" s="54">
        <f t="shared" si="30"/>
        <v>45320</v>
      </c>
      <c r="CB52" s="54">
        <f t="shared" si="30"/>
        <v>45321</v>
      </c>
      <c r="CC52" s="54">
        <f t="shared" si="30"/>
        <v>45322</v>
      </c>
      <c r="CD52" s="54">
        <f t="shared" si="30"/>
        <v>45323</v>
      </c>
      <c r="CE52" s="54">
        <f t="shared" si="30"/>
        <v>45324</v>
      </c>
      <c r="CF52" s="54">
        <f t="shared" si="30"/>
        <v>45325</v>
      </c>
      <c r="CG52" s="54">
        <f t="shared" si="30"/>
        <v>45326</v>
      </c>
      <c r="CH52" s="54">
        <f t="shared" si="30"/>
        <v>45327</v>
      </c>
      <c r="CI52" s="54">
        <f t="shared" si="30"/>
        <v>45328</v>
      </c>
      <c r="CJ52" s="54">
        <f t="shared" si="30"/>
        <v>45329</v>
      </c>
      <c r="CK52" s="54">
        <f t="shared" si="30"/>
        <v>45330</v>
      </c>
      <c r="CL52" s="54">
        <f t="shared" si="30"/>
        <v>45331</v>
      </c>
    </row>
    <row r="53" spans="2:92" x14ac:dyDescent="0.3">
      <c r="B53" s="75"/>
      <c r="E53" s="1"/>
      <c r="F53" s="55">
        <v>45247</v>
      </c>
      <c r="G53" s="55">
        <f t="shared" ref="G53:BR53" si="31">F53+1</f>
        <v>45248</v>
      </c>
      <c r="H53" s="55">
        <f t="shared" si="31"/>
        <v>45249</v>
      </c>
      <c r="I53" s="55">
        <f t="shared" si="31"/>
        <v>45250</v>
      </c>
      <c r="J53" s="55">
        <f t="shared" si="31"/>
        <v>45251</v>
      </c>
      <c r="K53" s="55">
        <f t="shared" si="31"/>
        <v>45252</v>
      </c>
      <c r="L53" s="55">
        <f t="shared" si="31"/>
        <v>45253</v>
      </c>
      <c r="M53" s="55">
        <f t="shared" si="31"/>
        <v>45254</v>
      </c>
      <c r="N53" s="55">
        <f t="shared" si="31"/>
        <v>45255</v>
      </c>
      <c r="O53" s="55">
        <f t="shared" si="31"/>
        <v>45256</v>
      </c>
      <c r="P53" s="55">
        <f t="shared" si="31"/>
        <v>45257</v>
      </c>
      <c r="Q53" s="55">
        <f t="shared" si="31"/>
        <v>45258</v>
      </c>
      <c r="R53" s="55">
        <f t="shared" si="31"/>
        <v>45259</v>
      </c>
      <c r="S53" s="55">
        <f t="shared" si="31"/>
        <v>45260</v>
      </c>
      <c r="T53" s="55">
        <f t="shared" si="31"/>
        <v>45261</v>
      </c>
      <c r="U53" s="55">
        <f t="shared" si="31"/>
        <v>45262</v>
      </c>
      <c r="V53" s="55">
        <f t="shared" si="31"/>
        <v>45263</v>
      </c>
      <c r="W53" s="55">
        <f t="shared" si="31"/>
        <v>45264</v>
      </c>
      <c r="X53" s="55">
        <f t="shared" si="31"/>
        <v>45265</v>
      </c>
      <c r="Y53" s="55">
        <f t="shared" si="31"/>
        <v>45266</v>
      </c>
      <c r="Z53" s="55">
        <f t="shared" si="31"/>
        <v>45267</v>
      </c>
      <c r="AA53" s="55">
        <f t="shared" si="31"/>
        <v>45268</v>
      </c>
      <c r="AB53" s="55">
        <f t="shared" si="31"/>
        <v>45269</v>
      </c>
      <c r="AC53" s="55">
        <f t="shared" si="31"/>
        <v>45270</v>
      </c>
      <c r="AD53" s="55">
        <f t="shared" si="31"/>
        <v>45271</v>
      </c>
      <c r="AE53" s="55">
        <f t="shared" si="31"/>
        <v>45272</v>
      </c>
      <c r="AF53" s="55">
        <f t="shared" si="31"/>
        <v>45273</v>
      </c>
      <c r="AG53" s="55">
        <f t="shared" si="31"/>
        <v>45274</v>
      </c>
      <c r="AH53" s="55">
        <f t="shared" si="31"/>
        <v>45275</v>
      </c>
      <c r="AI53" s="55">
        <f t="shared" si="31"/>
        <v>45276</v>
      </c>
      <c r="AJ53" s="55">
        <f t="shared" si="31"/>
        <v>45277</v>
      </c>
      <c r="AK53" s="55">
        <f t="shared" si="31"/>
        <v>45278</v>
      </c>
      <c r="AL53" s="55">
        <f t="shared" si="31"/>
        <v>45279</v>
      </c>
      <c r="AM53" s="55">
        <f t="shared" si="31"/>
        <v>45280</v>
      </c>
      <c r="AN53" s="55">
        <f t="shared" si="31"/>
        <v>45281</v>
      </c>
      <c r="AO53" s="55">
        <f t="shared" si="31"/>
        <v>45282</v>
      </c>
      <c r="AP53" s="55">
        <f t="shared" si="31"/>
        <v>45283</v>
      </c>
      <c r="AQ53" s="55">
        <f t="shared" si="31"/>
        <v>45284</v>
      </c>
      <c r="AR53" s="55">
        <f t="shared" si="31"/>
        <v>45285</v>
      </c>
      <c r="AS53" s="55">
        <f t="shared" si="31"/>
        <v>45286</v>
      </c>
      <c r="AT53" s="55">
        <f t="shared" si="31"/>
        <v>45287</v>
      </c>
      <c r="AU53" s="55">
        <f t="shared" si="31"/>
        <v>45288</v>
      </c>
      <c r="AV53" s="55">
        <f t="shared" si="31"/>
        <v>45289</v>
      </c>
      <c r="AW53" s="55">
        <f t="shared" si="31"/>
        <v>45290</v>
      </c>
      <c r="AX53" s="55">
        <f t="shared" si="31"/>
        <v>45291</v>
      </c>
      <c r="AY53" s="55">
        <f t="shared" si="31"/>
        <v>45292</v>
      </c>
      <c r="AZ53" s="55">
        <f t="shared" si="31"/>
        <v>45293</v>
      </c>
      <c r="BA53" s="55">
        <f t="shared" si="31"/>
        <v>45294</v>
      </c>
      <c r="BB53" s="55">
        <f t="shared" si="31"/>
        <v>45295</v>
      </c>
      <c r="BC53" s="55">
        <f t="shared" si="31"/>
        <v>45296</v>
      </c>
      <c r="BD53" s="55">
        <f t="shared" si="31"/>
        <v>45297</v>
      </c>
      <c r="BE53" s="55">
        <f t="shared" si="31"/>
        <v>45298</v>
      </c>
      <c r="BF53" s="55">
        <f t="shared" si="31"/>
        <v>45299</v>
      </c>
      <c r="BG53" s="55">
        <f t="shared" si="31"/>
        <v>45300</v>
      </c>
      <c r="BH53" s="55">
        <f t="shared" si="31"/>
        <v>45301</v>
      </c>
      <c r="BI53" s="55">
        <f t="shared" si="31"/>
        <v>45302</v>
      </c>
      <c r="BJ53" s="55">
        <f t="shared" si="31"/>
        <v>45303</v>
      </c>
      <c r="BK53" s="55">
        <f t="shared" si="31"/>
        <v>45304</v>
      </c>
      <c r="BL53" s="55">
        <f t="shared" si="31"/>
        <v>45305</v>
      </c>
      <c r="BM53" s="55">
        <f t="shared" si="31"/>
        <v>45306</v>
      </c>
      <c r="BN53" s="55">
        <f t="shared" si="31"/>
        <v>45307</v>
      </c>
      <c r="BO53" s="55">
        <f t="shared" si="31"/>
        <v>45308</v>
      </c>
      <c r="BP53" s="55">
        <f t="shared" si="31"/>
        <v>45309</v>
      </c>
      <c r="BQ53" s="55">
        <f t="shared" si="31"/>
        <v>45310</v>
      </c>
      <c r="BR53" s="55">
        <f t="shared" si="31"/>
        <v>45311</v>
      </c>
      <c r="BS53" s="55">
        <f t="shared" ref="BS53:CL53" si="32">BR53+1</f>
        <v>45312</v>
      </c>
      <c r="BT53" s="55">
        <f t="shared" si="32"/>
        <v>45313</v>
      </c>
      <c r="BU53" s="55">
        <f t="shared" si="32"/>
        <v>45314</v>
      </c>
      <c r="BV53" s="55">
        <f t="shared" si="32"/>
        <v>45315</v>
      </c>
      <c r="BW53" s="55">
        <f t="shared" si="32"/>
        <v>45316</v>
      </c>
      <c r="BX53" s="55">
        <f t="shared" si="32"/>
        <v>45317</v>
      </c>
      <c r="BY53" s="55">
        <f t="shared" si="32"/>
        <v>45318</v>
      </c>
      <c r="BZ53" s="55">
        <f t="shared" si="32"/>
        <v>45319</v>
      </c>
      <c r="CA53" s="55">
        <f t="shared" si="32"/>
        <v>45320</v>
      </c>
      <c r="CB53" s="55">
        <f t="shared" si="32"/>
        <v>45321</v>
      </c>
      <c r="CC53" s="55">
        <f t="shared" si="32"/>
        <v>45322</v>
      </c>
      <c r="CD53" s="55">
        <f t="shared" si="32"/>
        <v>45323</v>
      </c>
      <c r="CE53" s="55">
        <f t="shared" si="32"/>
        <v>45324</v>
      </c>
      <c r="CF53" s="55">
        <f t="shared" si="32"/>
        <v>45325</v>
      </c>
      <c r="CG53" s="55">
        <f t="shared" si="32"/>
        <v>45326</v>
      </c>
      <c r="CH53" s="55">
        <f t="shared" si="32"/>
        <v>45327</v>
      </c>
      <c r="CI53" s="55">
        <f t="shared" si="32"/>
        <v>45328</v>
      </c>
      <c r="CJ53" s="55">
        <f t="shared" si="32"/>
        <v>45329</v>
      </c>
      <c r="CK53" s="55">
        <f t="shared" si="32"/>
        <v>45330</v>
      </c>
      <c r="CL53" s="55">
        <f t="shared" si="32"/>
        <v>45331</v>
      </c>
    </row>
    <row r="54" spans="2:92" x14ac:dyDescent="0.3">
      <c r="B54" s="75"/>
      <c r="E54" s="15" t="s">
        <v>1</v>
      </c>
      <c r="F54" s="3">
        <v>617</v>
      </c>
      <c r="G54" s="3">
        <v>469</v>
      </c>
      <c r="H54" s="3">
        <v>485</v>
      </c>
      <c r="I54" s="3">
        <v>725</v>
      </c>
      <c r="J54" s="3">
        <v>1075</v>
      </c>
      <c r="K54" s="3">
        <v>1074</v>
      </c>
      <c r="L54" s="3">
        <v>1075</v>
      </c>
      <c r="M54" s="3">
        <v>1084</v>
      </c>
      <c r="N54" s="3">
        <v>825</v>
      </c>
      <c r="O54" s="3">
        <v>553</v>
      </c>
      <c r="P54" s="3">
        <v>1282</v>
      </c>
      <c r="Q54" s="3">
        <v>985</v>
      </c>
      <c r="R54" s="3">
        <v>1143</v>
      </c>
      <c r="S54" s="3">
        <v>961</v>
      </c>
      <c r="T54" s="3">
        <v>882</v>
      </c>
      <c r="U54" s="3">
        <v>535</v>
      </c>
      <c r="V54" s="3">
        <v>304</v>
      </c>
      <c r="W54" s="3">
        <v>615</v>
      </c>
      <c r="X54" s="3">
        <v>595</v>
      </c>
      <c r="Y54" s="3">
        <v>614</v>
      </c>
      <c r="Z54" s="3">
        <v>561</v>
      </c>
      <c r="AA54" s="3">
        <v>461</v>
      </c>
      <c r="AB54" s="3">
        <v>317</v>
      </c>
      <c r="AC54" s="3">
        <v>253</v>
      </c>
      <c r="AD54" s="3">
        <v>606</v>
      </c>
      <c r="AE54" s="3">
        <v>591</v>
      </c>
      <c r="AF54" s="3">
        <v>560</v>
      </c>
      <c r="AG54" s="3">
        <v>471</v>
      </c>
      <c r="AH54" s="3">
        <v>432</v>
      </c>
      <c r="AI54" s="3">
        <v>367</v>
      </c>
      <c r="AJ54" s="3">
        <v>299</v>
      </c>
      <c r="AK54" s="3">
        <v>887</v>
      </c>
      <c r="AL54" s="3">
        <v>624</v>
      </c>
      <c r="AM54" s="3">
        <v>625</v>
      </c>
      <c r="AN54" s="3">
        <v>739</v>
      </c>
      <c r="AO54" s="3">
        <v>708</v>
      </c>
      <c r="AP54" s="3">
        <v>435</v>
      </c>
      <c r="AQ54" s="3">
        <v>256</v>
      </c>
      <c r="AR54" s="3">
        <v>177</v>
      </c>
      <c r="AS54" s="3">
        <v>632</v>
      </c>
      <c r="AT54" s="3">
        <v>488</v>
      </c>
      <c r="AU54" s="3">
        <v>417</v>
      </c>
      <c r="AV54" s="3">
        <v>412</v>
      </c>
      <c r="AW54" s="3">
        <v>275</v>
      </c>
      <c r="AX54" s="3">
        <v>176</v>
      </c>
      <c r="AY54" s="3">
        <v>129</v>
      </c>
      <c r="AZ54" s="3">
        <v>500</v>
      </c>
      <c r="BA54" s="3">
        <v>495</v>
      </c>
      <c r="BB54" s="3">
        <v>347</v>
      </c>
      <c r="BC54" s="3">
        <v>323</v>
      </c>
      <c r="BD54" s="3">
        <v>199</v>
      </c>
      <c r="BE54" s="3">
        <v>176</v>
      </c>
      <c r="BF54" s="3">
        <v>370</v>
      </c>
      <c r="BG54" s="3">
        <v>357</v>
      </c>
      <c r="BH54" s="3">
        <v>252</v>
      </c>
      <c r="BI54" s="3">
        <v>285</v>
      </c>
      <c r="BJ54" s="3">
        <v>243</v>
      </c>
      <c r="BK54" s="3">
        <v>165</v>
      </c>
      <c r="BL54" s="3">
        <v>124</v>
      </c>
      <c r="BM54" s="3">
        <v>311</v>
      </c>
      <c r="BN54" s="3">
        <v>353</v>
      </c>
      <c r="BO54" s="3">
        <v>330</v>
      </c>
      <c r="BP54" s="3">
        <v>323</v>
      </c>
      <c r="BQ54" s="3">
        <v>310</v>
      </c>
      <c r="BR54" s="3">
        <v>178</v>
      </c>
      <c r="BS54" s="3">
        <v>94</v>
      </c>
      <c r="BT54" s="3">
        <v>278</v>
      </c>
      <c r="BU54" s="3">
        <v>285</v>
      </c>
      <c r="BV54" s="3">
        <v>206</v>
      </c>
      <c r="BW54" s="3">
        <v>214</v>
      </c>
      <c r="BX54" s="3">
        <v>192</v>
      </c>
      <c r="BY54" s="3">
        <v>149</v>
      </c>
      <c r="BZ54" s="3">
        <v>84</v>
      </c>
      <c r="CA54" s="3">
        <v>259</v>
      </c>
      <c r="CB54" s="3">
        <v>245</v>
      </c>
      <c r="CC54" s="3">
        <v>232</v>
      </c>
      <c r="CD54" s="3">
        <v>208</v>
      </c>
      <c r="CE54" s="3">
        <v>193</v>
      </c>
      <c r="CF54" s="3">
        <v>180</v>
      </c>
      <c r="CG54" s="3">
        <v>89</v>
      </c>
      <c r="CH54" s="3">
        <v>168</v>
      </c>
      <c r="CI54" s="3">
        <v>264</v>
      </c>
      <c r="CJ54" s="3"/>
      <c r="CK54" s="3"/>
      <c r="CL54" s="3"/>
      <c r="CM54" s="29">
        <f>SUM(F54:CL54)</f>
        <v>36777</v>
      </c>
    </row>
    <row r="55" spans="2:92" x14ac:dyDescent="0.3">
      <c r="B55" s="75"/>
      <c r="E55" s="16" t="s">
        <v>2</v>
      </c>
      <c r="F55" s="18">
        <v>570</v>
      </c>
      <c r="G55" s="17">
        <v>317</v>
      </c>
      <c r="H55" s="17">
        <v>245</v>
      </c>
      <c r="I55" s="18">
        <v>570</v>
      </c>
      <c r="J55" s="18">
        <v>570</v>
      </c>
      <c r="K55" s="18">
        <v>570</v>
      </c>
      <c r="L55" s="18">
        <v>570</v>
      </c>
      <c r="M55" s="18">
        <v>570</v>
      </c>
      <c r="N55" s="17">
        <v>317</v>
      </c>
      <c r="O55" s="17">
        <v>245</v>
      </c>
      <c r="P55" s="18">
        <v>570</v>
      </c>
      <c r="Q55" s="18">
        <v>532</v>
      </c>
      <c r="R55" s="18">
        <v>570</v>
      </c>
      <c r="S55" s="18">
        <v>565.5</v>
      </c>
      <c r="T55" s="18">
        <v>565.5</v>
      </c>
      <c r="U55" s="18">
        <v>302</v>
      </c>
      <c r="V55" s="18">
        <v>302</v>
      </c>
      <c r="W55" s="18">
        <v>565.5</v>
      </c>
      <c r="X55" s="18">
        <v>565.5</v>
      </c>
      <c r="Y55" s="18">
        <v>565.5</v>
      </c>
      <c r="Z55" s="18">
        <v>413</v>
      </c>
      <c r="AA55" s="18">
        <f>Z55</f>
        <v>413</v>
      </c>
      <c r="AB55" s="18">
        <v>266</v>
      </c>
      <c r="AC55" s="18">
        <v>227</v>
      </c>
      <c r="AD55" s="18">
        <f>AA55</f>
        <v>413</v>
      </c>
      <c r="AE55" s="18">
        <f t="shared" ref="AE55:AH55" si="33">AD55</f>
        <v>413</v>
      </c>
      <c r="AF55" s="18">
        <f t="shared" si="33"/>
        <v>413</v>
      </c>
      <c r="AG55" s="18">
        <f t="shared" si="33"/>
        <v>413</v>
      </c>
      <c r="AH55" s="18">
        <f t="shared" si="33"/>
        <v>413</v>
      </c>
      <c r="AI55" s="18">
        <v>225</v>
      </c>
      <c r="AJ55" s="18">
        <v>289</v>
      </c>
      <c r="AK55" s="18">
        <v>489</v>
      </c>
      <c r="AL55" s="18">
        <f t="shared" ref="AL55:AO55" si="34">AK55</f>
        <v>489</v>
      </c>
      <c r="AM55" s="18">
        <f t="shared" si="34"/>
        <v>489</v>
      </c>
      <c r="AN55" s="18">
        <f t="shared" si="34"/>
        <v>489</v>
      </c>
      <c r="AO55" s="18">
        <f t="shared" si="34"/>
        <v>489</v>
      </c>
      <c r="AP55" s="18">
        <v>383</v>
      </c>
      <c r="AQ55" s="18">
        <v>296</v>
      </c>
      <c r="AR55" s="18">
        <v>350</v>
      </c>
      <c r="AS55" s="18">
        <f>AO55</f>
        <v>489</v>
      </c>
      <c r="AT55" s="18">
        <f t="shared" ref="AT55:AV55" si="35">AS55</f>
        <v>489</v>
      </c>
      <c r="AU55" s="18">
        <f t="shared" si="35"/>
        <v>489</v>
      </c>
      <c r="AV55" s="18">
        <f t="shared" si="35"/>
        <v>489</v>
      </c>
      <c r="AW55" s="18">
        <v>225</v>
      </c>
      <c r="AX55" s="18">
        <v>243</v>
      </c>
      <c r="AY55" s="18">
        <v>244</v>
      </c>
      <c r="AZ55" s="18">
        <v>373</v>
      </c>
      <c r="BA55" s="18">
        <f t="shared" ref="BA55:BC55" si="36">AZ55</f>
        <v>373</v>
      </c>
      <c r="BB55" s="18">
        <f t="shared" si="36"/>
        <v>373</v>
      </c>
      <c r="BC55" s="18">
        <f t="shared" si="36"/>
        <v>373</v>
      </c>
      <c r="BD55" s="18">
        <v>238</v>
      </c>
      <c r="BE55" s="18">
        <v>198</v>
      </c>
      <c r="BF55" s="18">
        <f>BC55</f>
        <v>373</v>
      </c>
      <c r="BG55" s="18">
        <f t="shared" ref="BG55:BJ55" si="37">BF55</f>
        <v>373</v>
      </c>
      <c r="BH55" s="18">
        <f t="shared" si="37"/>
        <v>373</v>
      </c>
      <c r="BI55" s="18">
        <f t="shared" si="37"/>
        <v>373</v>
      </c>
      <c r="BJ55" s="18">
        <f t="shared" si="37"/>
        <v>373</v>
      </c>
      <c r="BK55" s="18">
        <v>220</v>
      </c>
      <c r="BL55" s="18">
        <v>192</v>
      </c>
      <c r="BM55" s="18">
        <f>BJ55</f>
        <v>373</v>
      </c>
      <c r="BN55" s="18">
        <f t="shared" ref="BN55:BQ55" si="38">BM55</f>
        <v>373</v>
      </c>
      <c r="BO55" s="18">
        <f t="shared" si="38"/>
        <v>373</v>
      </c>
      <c r="BP55" s="18">
        <f t="shared" si="38"/>
        <v>373</v>
      </c>
      <c r="BQ55" s="18">
        <f t="shared" si="38"/>
        <v>373</v>
      </c>
      <c r="BR55" s="18">
        <v>258</v>
      </c>
      <c r="BS55" s="18">
        <v>229</v>
      </c>
      <c r="BT55" s="18">
        <f>BQ55</f>
        <v>373</v>
      </c>
      <c r="BU55" s="18">
        <f t="shared" ref="BU55:BX55" si="39">BT55</f>
        <v>373</v>
      </c>
      <c r="BV55" s="18">
        <f t="shared" si="39"/>
        <v>373</v>
      </c>
      <c r="BW55" s="18">
        <f t="shared" si="39"/>
        <v>373</v>
      </c>
      <c r="BX55" s="18">
        <f t="shared" si="39"/>
        <v>373</v>
      </c>
      <c r="BY55" s="18">
        <v>167</v>
      </c>
      <c r="BZ55" s="18">
        <v>186</v>
      </c>
      <c r="CA55" s="18">
        <f>BX55</f>
        <v>373</v>
      </c>
      <c r="CB55" s="18">
        <f t="shared" ref="CB55:CE55" si="40">CA55</f>
        <v>373</v>
      </c>
      <c r="CC55" s="18">
        <f t="shared" si="40"/>
        <v>373</v>
      </c>
      <c r="CD55" s="18">
        <f t="shared" si="40"/>
        <v>373</v>
      </c>
      <c r="CE55" s="18">
        <f t="shared" si="40"/>
        <v>373</v>
      </c>
      <c r="CF55" s="18">
        <v>209</v>
      </c>
      <c r="CG55" s="18">
        <v>171</v>
      </c>
      <c r="CH55" s="18">
        <v>209</v>
      </c>
      <c r="CI55" s="18">
        <v>454</v>
      </c>
      <c r="CJ55" s="18">
        <f t="shared" ref="CJ55:CL55" si="41">CI55</f>
        <v>454</v>
      </c>
      <c r="CK55" s="18">
        <f t="shared" si="41"/>
        <v>454</v>
      </c>
      <c r="CL55" s="18">
        <f t="shared" si="41"/>
        <v>454</v>
      </c>
      <c r="CM55" s="30">
        <f>SUM(F55:CL55)</f>
        <v>32732.5</v>
      </c>
    </row>
    <row r="56" spans="2:92" x14ac:dyDescent="0.3">
      <c r="B56" s="75"/>
      <c r="E56" s="16" t="s">
        <v>3</v>
      </c>
      <c r="F56" s="31">
        <f t="shared" ref="F56:BQ56" si="42">IFERROR((F55-F54)/F54,"")</f>
        <v>-7.6175040518638576E-2</v>
      </c>
      <c r="G56" s="31">
        <f t="shared" si="42"/>
        <v>-0.32409381663113007</v>
      </c>
      <c r="H56" s="31">
        <f t="shared" si="42"/>
        <v>-0.49484536082474229</v>
      </c>
      <c r="I56" s="31">
        <f t="shared" si="42"/>
        <v>-0.21379310344827587</v>
      </c>
      <c r="J56" s="31">
        <f t="shared" si="42"/>
        <v>-0.4697674418604651</v>
      </c>
      <c r="K56" s="31">
        <f t="shared" si="42"/>
        <v>-0.46927374301675978</v>
      </c>
      <c r="L56" s="31">
        <f t="shared" si="42"/>
        <v>-0.4697674418604651</v>
      </c>
      <c r="M56" s="31">
        <f t="shared" si="42"/>
        <v>-0.47416974169741699</v>
      </c>
      <c r="N56" s="31">
        <f t="shared" si="42"/>
        <v>-0.61575757575757573</v>
      </c>
      <c r="O56" s="31">
        <f t="shared" si="42"/>
        <v>-0.55696202531645567</v>
      </c>
      <c r="P56" s="31">
        <f t="shared" si="42"/>
        <v>-0.55538221528861154</v>
      </c>
      <c r="Q56" s="31">
        <f t="shared" si="42"/>
        <v>-0.45989847715736043</v>
      </c>
      <c r="R56" s="31">
        <f t="shared" si="42"/>
        <v>-0.50131233595800528</v>
      </c>
      <c r="S56" s="31">
        <f t="shared" si="42"/>
        <v>-0.41155046826222685</v>
      </c>
      <c r="T56" s="31">
        <f t="shared" si="42"/>
        <v>-0.358843537414966</v>
      </c>
      <c r="U56" s="31">
        <f t="shared" si="42"/>
        <v>-0.43551401869158879</v>
      </c>
      <c r="V56" s="31">
        <f t="shared" si="42"/>
        <v>-6.5789473684210523E-3</v>
      </c>
      <c r="W56" s="31">
        <f t="shared" si="42"/>
        <v>-8.0487804878048783E-2</v>
      </c>
      <c r="X56" s="31">
        <f t="shared" si="42"/>
        <v>-4.9579831932773107E-2</v>
      </c>
      <c r="Y56" s="31">
        <f t="shared" si="42"/>
        <v>-7.8990228013029309E-2</v>
      </c>
      <c r="Z56" s="31">
        <f t="shared" si="42"/>
        <v>-0.26381461675579321</v>
      </c>
      <c r="AA56" s="31">
        <f t="shared" si="42"/>
        <v>-0.10412147505422993</v>
      </c>
      <c r="AB56" s="31">
        <f t="shared" si="42"/>
        <v>-0.16088328075709779</v>
      </c>
      <c r="AC56" s="31">
        <f t="shared" si="42"/>
        <v>-0.10276679841897234</v>
      </c>
      <c r="AD56" s="31">
        <f t="shared" si="42"/>
        <v>-0.31848184818481851</v>
      </c>
      <c r="AE56" s="31">
        <f t="shared" si="42"/>
        <v>-0.30118443316412857</v>
      </c>
      <c r="AF56" s="31">
        <f t="shared" si="42"/>
        <v>-0.26250000000000001</v>
      </c>
      <c r="AG56" s="31">
        <f t="shared" si="42"/>
        <v>-0.12314225053078556</v>
      </c>
      <c r="AH56" s="31">
        <f t="shared" si="42"/>
        <v>-4.3981481481481483E-2</v>
      </c>
      <c r="AI56" s="31">
        <f t="shared" si="42"/>
        <v>-0.38692098092643051</v>
      </c>
      <c r="AJ56" s="31">
        <f t="shared" si="42"/>
        <v>-3.3444816053511704E-2</v>
      </c>
      <c r="AK56" s="31">
        <f t="shared" si="42"/>
        <v>-0.44870349492671929</v>
      </c>
      <c r="AL56" s="31">
        <f t="shared" si="42"/>
        <v>-0.21634615384615385</v>
      </c>
      <c r="AM56" s="31">
        <f t="shared" si="42"/>
        <v>-0.21759999999999999</v>
      </c>
      <c r="AN56" s="31">
        <f t="shared" si="42"/>
        <v>-0.33829499323410012</v>
      </c>
      <c r="AO56" s="31">
        <f t="shared" si="42"/>
        <v>-0.30932203389830509</v>
      </c>
      <c r="AP56" s="31">
        <f t="shared" si="42"/>
        <v>-0.11954022988505747</v>
      </c>
      <c r="AQ56" s="31">
        <f t="shared" si="42"/>
        <v>0.15625</v>
      </c>
      <c r="AR56" s="31">
        <f t="shared" si="42"/>
        <v>0.97740112994350281</v>
      </c>
      <c r="AS56" s="31">
        <f t="shared" si="42"/>
        <v>-0.22626582278481014</v>
      </c>
      <c r="AT56" s="31">
        <f t="shared" si="42"/>
        <v>2.0491803278688526E-3</v>
      </c>
      <c r="AU56" s="31">
        <f t="shared" si="42"/>
        <v>0.17266187050359713</v>
      </c>
      <c r="AV56" s="31">
        <f t="shared" si="42"/>
        <v>0.18689320388349515</v>
      </c>
      <c r="AW56" s="31">
        <f t="shared" si="42"/>
        <v>-0.18181818181818182</v>
      </c>
      <c r="AX56" s="31">
        <f t="shared" si="42"/>
        <v>0.38068181818181818</v>
      </c>
      <c r="AY56" s="31">
        <f t="shared" si="42"/>
        <v>0.89147286821705429</v>
      </c>
      <c r="AZ56" s="31">
        <f t="shared" si="42"/>
        <v>-0.254</v>
      </c>
      <c r="BA56" s="31">
        <f t="shared" si="42"/>
        <v>-0.24646464646464647</v>
      </c>
      <c r="BB56" s="31">
        <f>IFERROR((BB55-BB54)/BB54,"")</f>
        <v>7.492795389048991E-2</v>
      </c>
      <c r="BC56" s="31">
        <f t="shared" ref="BC56" si="43">IFERROR((BC55-BC54)/BC54,"")</f>
        <v>0.15479876160990713</v>
      </c>
      <c r="BD56" s="31">
        <f t="shared" si="42"/>
        <v>0.19597989949748743</v>
      </c>
      <c r="BE56" s="31">
        <f t="shared" si="42"/>
        <v>0.125</v>
      </c>
      <c r="BF56" s="31">
        <f t="shared" si="42"/>
        <v>8.1081081081081086E-3</v>
      </c>
      <c r="BG56" s="31">
        <f t="shared" si="42"/>
        <v>4.4817927170868348E-2</v>
      </c>
      <c r="BH56" s="31">
        <f t="shared" si="42"/>
        <v>0.48015873015873017</v>
      </c>
      <c r="BI56" s="31">
        <f t="shared" si="42"/>
        <v>0.30877192982456142</v>
      </c>
      <c r="BJ56" s="31">
        <f t="shared" si="42"/>
        <v>0.53497942386831276</v>
      </c>
      <c r="BK56" s="31">
        <f t="shared" si="42"/>
        <v>0.33333333333333331</v>
      </c>
      <c r="BL56" s="31">
        <f t="shared" si="42"/>
        <v>0.54838709677419351</v>
      </c>
      <c r="BM56" s="31">
        <f t="shared" si="42"/>
        <v>0.19935691318327975</v>
      </c>
      <c r="BN56" s="31">
        <f t="shared" si="42"/>
        <v>5.6657223796033995E-2</v>
      </c>
      <c r="BO56" s="31">
        <f t="shared" si="42"/>
        <v>0.13030303030303031</v>
      </c>
      <c r="BP56" s="31">
        <f t="shared" si="42"/>
        <v>0.15479876160990713</v>
      </c>
      <c r="BQ56" s="31">
        <f t="shared" si="42"/>
        <v>0.20322580645161289</v>
      </c>
      <c r="BR56" s="31">
        <f t="shared" ref="BR56:CL56" si="44">IFERROR((BR55-BR54)/BR54,"")</f>
        <v>0.449438202247191</v>
      </c>
      <c r="BS56" s="31">
        <f t="shared" si="44"/>
        <v>1.4361702127659575</v>
      </c>
      <c r="BT56" s="31">
        <f t="shared" si="44"/>
        <v>0.34172661870503596</v>
      </c>
      <c r="BU56" s="31">
        <f t="shared" si="44"/>
        <v>0.30877192982456142</v>
      </c>
      <c r="BV56" s="31">
        <f t="shared" si="44"/>
        <v>0.81067961165048541</v>
      </c>
      <c r="BW56" s="31">
        <f t="shared" si="44"/>
        <v>0.7429906542056075</v>
      </c>
      <c r="BX56" s="31">
        <f t="shared" si="44"/>
        <v>0.94270833333333337</v>
      </c>
      <c r="BY56" s="31">
        <f t="shared" si="44"/>
        <v>0.12080536912751678</v>
      </c>
      <c r="BZ56" s="31">
        <f t="shared" si="44"/>
        <v>1.2142857142857142</v>
      </c>
      <c r="CA56" s="31">
        <f t="shared" si="44"/>
        <v>0.44015444015444016</v>
      </c>
      <c r="CB56" s="31">
        <f t="shared" si="44"/>
        <v>0.52244897959183678</v>
      </c>
      <c r="CC56" s="31">
        <f t="shared" si="44"/>
        <v>0.60775862068965514</v>
      </c>
      <c r="CD56" s="31">
        <f t="shared" si="44"/>
        <v>0.79326923076923073</v>
      </c>
      <c r="CE56" s="31">
        <f t="shared" si="44"/>
        <v>0.93264248704663211</v>
      </c>
      <c r="CF56" s="31">
        <f t="shared" si="44"/>
        <v>0.16111111111111112</v>
      </c>
      <c r="CG56" s="31">
        <f t="shared" si="44"/>
        <v>0.9213483146067416</v>
      </c>
      <c r="CH56" s="31">
        <f t="shared" si="44"/>
        <v>0.24404761904761904</v>
      </c>
      <c r="CI56" s="31">
        <f t="shared" si="44"/>
        <v>0.71969696969696972</v>
      </c>
      <c r="CJ56" s="31" t="str">
        <f t="shared" si="44"/>
        <v/>
      </c>
      <c r="CK56" s="31" t="str">
        <f t="shared" si="44"/>
        <v/>
      </c>
      <c r="CL56" s="31" t="str">
        <f t="shared" si="44"/>
        <v/>
      </c>
    </row>
    <row r="57" spans="2:92" x14ac:dyDescent="0.3">
      <c r="B57" s="75"/>
      <c r="E57" s="16" t="s">
        <v>4</v>
      </c>
      <c r="F57" s="5">
        <f t="shared" ref="F57:BQ57" si="45">F55-F54</f>
        <v>-47</v>
      </c>
      <c r="G57" s="5">
        <f t="shared" si="45"/>
        <v>-152</v>
      </c>
      <c r="H57" s="5">
        <f t="shared" si="45"/>
        <v>-240</v>
      </c>
      <c r="I57" s="5">
        <f t="shared" si="45"/>
        <v>-155</v>
      </c>
      <c r="J57" s="5">
        <f t="shared" si="45"/>
        <v>-505</v>
      </c>
      <c r="K57" s="5">
        <f t="shared" si="45"/>
        <v>-504</v>
      </c>
      <c r="L57" s="5">
        <f t="shared" si="45"/>
        <v>-505</v>
      </c>
      <c r="M57" s="5">
        <f t="shared" si="45"/>
        <v>-514</v>
      </c>
      <c r="N57" s="5">
        <f t="shared" si="45"/>
        <v>-508</v>
      </c>
      <c r="O57" s="5">
        <f t="shared" si="45"/>
        <v>-308</v>
      </c>
      <c r="P57" s="5">
        <f t="shared" si="45"/>
        <v>-712</v>
      </c>
      <c r="Q57" s="5">
        <f t="shared" si="45"/>
        <v>-453</v>
      </c>
      <c r="R57" s="5">
        <f t="shared" si="45"/>
        <v>-573</v>
      </c>
      <c r="S57" s="5">
        <f t="shared" si="45"/>
        <v>-395.5</v>
      </c>
      <c r="T57" s="5">
        <f t="shared" si="45"/>
        <v>-316.5</v>
      </c>
      <c r="U57" s="5">
        <f t="shared" si="45"/>
        <v>-233</v>
      </c>
      <c r="V57" s="5">
        <f t="shared" si="45"/>
        <v>-2</v>
      </c>
      <c r="W57" s="5">
        <f t="shared" si="45"/>
        <v>-49.5</v>
      </c>
      <c r="X57" s="5">
        <f t="shared" si="45"/>
        <v>-29.5</v>
      </c>
      <c r="Y57" s="5">
        <f t="shared" si="45"/>
        <v>-48.5</v>
      </c>
      <c r="Z57" s="5">
        <f t="shared" si="45"/>
        <v>-148</v>
      </c>
      <c r="AA57" s="5">
        <f t="shared" si="45"/>
        <v>-48</v>
      </c>
      <c r="AB57" s="5">
        <f t="shared" si="45"/>
        <v>-51</v>
      </c>
      <c r="AC57" s="5">
        <f t="shared" si="45"/>
        <v>-26</v>
      </c>
      <c r="AD57" s="5">
        <f t="shared" si="45"/>
        <v>-193</v>
      </c>
      <c r="AE57" s="5">
        <f t="shared" si="45"/>
        <v>-178</v>
      </c>
      <c r="AF57" s="5">
        <f t="shared" si="45"/>
        <v>-147</v>
      </c>
      <c r="AG57" s="5">
        <f t="shared" si="45"/>
        <v>-58</v>
      </c>
      <c r="AH57" s="5">
        <f t="shared" si="45"/>
        <v>-19</v>
      </c>
      <c r="AI57" s="5">
        <f t="shared" si="45"/>
        <v>-142</v>
      </c>
      <c r="AJ57" s="5">
        <f t="shared" si="45"/>
        <v>-10</v>
      </c>
      <c r="AK57" s="5">
        <f t="shared" si="45"/>
        <v>-398</v>
      </c>
      <c r="AL57" s="5">
        <f t="shared" si="45"/>
        <v>-135</v>
      </c>
      <c r="AM57" s="5">
        <f t="shared" si="45"/>
        <v>-136</v>
      </c>
      <c r="AN57" s="5">
        <f t="shared" si="45"/>
        <v>-250</v>
      </c>
      <c r="AO57" s="5">
        <f t="shared" si="45"/>
        <v>-219</v>
      </c>
      <c r="AP57" s="5">
        <f t="shared" si="45"/>
        <v>-52</v>
      </c>
      <c r="AQ57" s="5">
        <f t="shared" si="45"/>
        <v>40</v>
      </c>
      <c r="AR57" s="5">
        <f t="shared" si="45"/>
        <v>173</v>
      </c>
      <c r="AS57" s="5">
        <f t="shared" si="45"/>
        <v>-143</v>
      </c>
      <c r="AT57" s="5">
        <f t="shared" si="45"/>
        <v>1</v>
      </c>
      <c r="AU57" s="5">
        <f t="shared" si="45"/>
        <v>72</v>
      </c>
      <c r="AV57" s="5">
        <f t="shared" si="45"/>
        <v>77</v>
      </c>
      <c r="AW57" s="5">
        <f t="shared" si="45"/>
        <v>-50</v>
      </c>
      <c r="AX57" s="5">
        <f t="shared" si="45"/>
        <v>67</v>
      </c>
      <c r="AY57" s="5">
        <f t="shared" si="45"/>
        <v>115</v>
      </c>
      <c r="AZ57" s="5">
        <f t="shared" si="45"/>
        <v>-127</v>
      </c>
      <c r="BA57" s="5">
        <f t="shared" si="45"/>
        <v>-122</v>
      </c>
      <c r="BB57" s="5">
        <f t="shared" si="45"/>
        <v>26</v>
      </c>
      <c r="BC57" s="5">
        <f t="shared" si="45"/>
        <v>50</v>
      </c>
      <c r="BD57" s="5">
        <f t="shared" si="45"/>
        <v>39</v>
      </c>
      <c r="BE57" s="5">
        <f t="shared" si="45"/>
        <v>22</v>
      </c>
      <c r="BF57" s="5">
        <f t="shared" si="45"/>
        <v>3</v>
      </c>
      <c r="BG57" s="5">
        <f t="shared" si="45"/>
        <v>16</v>
      </c>
      <c r="BH57" s="5">
        <f t="shared" si="45"/>
        <v>121</v>
      </c>
      <c r="BI57" s="5">
        <f t="shared" si="45"/>
        <v>88</v>
      </c>
      <c r="BJ57" s="5">
        <f t="shared" si="45"/>
        <v>130</v>
      </c>
      <c r="BK57" s="5">
        <f t="shared" si="45"/>
        <v>55</v>
      </c>
      <c r="BL57" s="5">
        <f t="shared" si="45"/>
        <v>68</v>
      </c>
      <c r="BM57" s="5">
        <f t="shared" si="45"/>
        <v>62</v>
      </c>
      <c r="BN57" s="5">
        <f t="shared" si="45"/>
        <v>20</v>
      </c>
      <c r="BO57" s="5">
        <f t="shared" si="45"/>
        <v>43</v>
      </c>
      <c r="BP57" s="5">
        <f t="shared" si="45"/>
        <v>50</v>
      </c>
      <c r="BQ57" s="5">
        <f t="shared" si="45"/>
        <v>63</v>
      </c>
      <c r="BR57" s="5">
        <f t="shared" ref="BR57:CL57" si="46">BR55-BR54</f>
        <v>80</v>
      </c>
      <c r="BS57" s="5">
        <f t="shared" si="46"/>
        <v>135</v>
      </c>
      <c r="BT57" s="5">
        <f t="shared" si="46"/>
        <v>95</v>
      </c>
      <c r="BU57" s="5">
        <f t="shared" si="46"/>
        <v>88</v>
      </c>
      <c r="BV57" s="5">
        <f t="shared" si="46"/>
        <v>167</v>
      </c>
      <c r="BW57" s="5">
        <f t="shared" si="46"/>
        <v>159</v>
      </c>
      <c r="BX57" s="5">
        <f t="shared" si="46"/>
        <v>181</v>
      </c>
      <c r="BY57" s="5">
        <f t="shared" si="46"/>
        <v>18</v>
      </c>
      <c r="BZ57" s="5">
        <f t="shared" si="46"/>
        <v>102</v>
      </c>
      <c r="CA57" s="5">
        <f t="shared" si="46"/>
        <v>114</v>
      </c>
      <c r="CB57" s="5">
        <f t="shared" si="46"/>
        <v>128</v>
      </c>
      <c r="CC57" s="5">
        <f t="shared" si="46"/>
        <v>141</v>
      </c>
      <c r="CD57" s="5">
        <f t="shared" si="46"/>
        <v>165</v>
      </c>
      <c r="CE57" s="5">
        <f t="shared" si="46"/>
        <v>180</v>
      </c>
      <c r="CF57" s="5">
        <f t="shared" si="46"/>
        <v>29</v>
      </c>
      <c r="CG57" s="5">
        <f t="shared" si="46"/>
        <v>82</v>
      </c>
      <c r="CH57" s="5">
        <f t="shared" si="46"/>
        <v>41</v>
      </c>
      <c r="CI57" s="5">
        <f t="shared" si="46"/>
        <v>190</v>
      </c>
      <c r="CJ57" s="5">
        <f t="shared" si="46"/>
        <v>454</v>
      </c>
      <c r="CK57" s="5">
        <f t="shared" si="46"/>
        <v>454</v>
      </c>
      <c r="CL57" s="5">
        <f t="shared" si="46"/>
        <v>454</v>
      </c>
    </row>
    <row r="58" spans="2:92" x14ac:dyDescent="0.3">
      <c r="B58" s="75"/>
      <c r="E58" s="50" t="s">
        <v>66</v>
      </c>
      <c r="F58" s="3"/>
      <c r="G58" s="3"/>
      <c r="H58" s="3"/>
      <c r="I58" s="3"/>
      <c r="J58" s="3"/>
      <c r="K58" s="56">
        <f>478+84</f>
        <v>562</v>
      </c>
      <c r="L58" s="56">
        <f>698+145</f>
        <v>843</v>
      </c>
      <c r="M58" s="56">
        <f>915+175</f>
        <v>1090</v>
      </c>
      <c r="N58" s="56">
        <f>1064+200</f>
        <v>1264</v>
      </c>
      <c r="O58" s="56">
        <f>1136+231</f>
        <v>1367</v>
      </c>
      <c r="P58" s="56">
        <f>1297+245</f>
        <v>1542</v>
      </c>
      <c r="Q58" s="56">
        <f>1596+318</f>
        <v>1914</v>
      </c>
      <c r="R58" s="56">
        <f>751+274</f>
        <v>1025</v>
      </c>
      <c r="S58" s="56">
        <f>990+354</f>
        <v>1344</v>
      </c>
      <c r="T58" s="56">
        <f>797+389</f>
        <v>1186</v>
      </c>
      <c r="U58" s="56">
        <f>1006+468</f>
        <v>1474</v>
      </c>
      <c r="V58" s="56">
        <f>1220+470</f>
        <v>1690</v>
      </c>
      <c r="W58" s="56">
        <f>962+423</f>
        <v>1385</v>
      </c>
      <c r="X58" s="56">
        <f>854+469</f>
        <v>1323</v>
      </c>
      <c r="Y58" s="56">
        <f>637+377</f>
        <v>1014</v>
      </c>
      <c r="Z58" s="56">
        <f>781+424</f>
        <v>1205</v>
      </c>
      <c r="AA58" s="56">
        <f>879+436</f>
        <v>1315</v>
      </c>
      <c r="AB58" s="56">
        <f>783+471</f>
        <v>1254</v>
      </c>
      <c r="AC58" s="56">
        <f>840+408</f>
        <v>1248</v>
      </c>
      <c r="AD58" s="56">
        <f>709+324</f>
        <v>1033</v>
      </c>
      <c r="AE58" s="56">
        <f>823+383</f>
        <v>1206</v>
      </c>
      <c r="AF58" s="56">
        <f>882+448</f>
        <v>1330</v>
      </c>
      <c r="AG58" s="56">
        <f>855+429</f>
        <v>1284</v>
      </c>
      <c r="AH58" s="56">
        <f>566+405</f>
        <v>971</v>
      </c>
      <c r="AI58" s="56">
        <f>585+344</f>
        <v>929</v>
      </c>
      <c r="AJ58" s="56">
        <f>564+313</f>
        <v>877</v>
      </c>
      <c r="AK58" s="3">
        <f>678+282</f>
        <v>960</v>
      </c>
      <c r="AL58" s="3">
        <f>905+334</f>
        <v>1239</v>
      </c>
      <c r="AM58" s="3">
        <f>778+348</f>
        <v>1126</v>
      </c>
      <c r="AN58" s="3">
        <f>621+355</f>
        <v>976</v>
      </c>
      <c r="AO58" s="3">
        <f>802+263</f>
        <v>1065</v>
      </c>
      <c r="AP58" s="3">
        <f>773+240</f>
        <v>1013</v>
      </c>
      <c r="AQ58" s="3">
        <f>794+209</f>
        <v>1003</v>
      </c>
      <c r="AR58" s="3">
        <f>559+156</f>
        <v>715</v>
      </c>
      <c r="AS58" s="3">
        <f>286+104</f>
        <v>390</v>
      </c>
      <c r="AT58" s="3">
        <f>342+142</f>
        <v>484</v>
      </c>
      <c r="AU58" s="3">
        <f>172+62</f>
        <v>234</v>
      </c>
      <c r="AV58" s="3">
        <f>80+26</f>
        <v>106</v>
      </c>
      <c r="AW58" s="3">
        <f>82+28</f>
        <v>110</v>
      </c>
      <c r="AX58" s="3">
        <f>54+23</f>
        <v>77</v>
      </c>
      <c r="AY58" s="3">
        <f>32+14</f>
        <v>46</v>
      </c>
      <c r="AZ58" s="3">
        <f>32+17</f>
        <v>49</v>
      </c>
      <c r="BA58" s="3">
        <f>75+21</f>
        <v>96</v>
      </c>
      <c r="BB58" s="3">
        <f>101+53</f>
        <v>154</v>
      </c>
      <c r="BC58" s="3">
        <f>29+20</f>
        <v>49</v>
      </c>
      <c r="BD58" s="3">
        <f>68+37</f>
        <v>105</v>
      </c>
      <c r="BE58" s="3">
        <f>40+21</f>
        <v>61</v>
      </c>
      <c r="BF58" s="3">
        <f>58+23</f>
        <v>81</v>
      </c>
      <c r="BG58" s="3">
        <f>51+24</f>
        <v>75</v>
      </c>
      <c r="BH58" s="3">
        <f>62+28</f>
        <v>90</v>
      </c>
      <c r="BI58" s="3">
        <f>95+41</f>
        <v>136</v>
      </c>
      <c r="BJ58" s="3">
        <f>108+42</f>
        <v>150</v>
      </c>
      <c r="BK58" s="3">
        <f>47+26</f>
        <v>73</v>
      </c>
      <c r="BL58" s="3">
        <f>25+3</f>
        <v>28</v>
      </c>
      <c r="BM58" s="3">
        <f>48+16</f>
        <v>64</v>
      </c>
      <c r="BN58" s="3">
        <f>47+26</f>
        <v>73</v>
      </c>
      <c r="BO58" s="3">
        <f>51+15</f>
        <v>66</v>
      </c>
      <c r="BP58" s="3">
        <f>62+21</f>
        <v>83</v>
      </c>
      <c r="BQ58" s="3">
        <f>47+23</f>
        <v>70</v>
      </c>
      <c r="BR58" s="3">
        <f>57+17</f>
        <v>74</v>
      </c>
      <c r="BS58" s="3">
        <f>58+10</f>
        <v>68</v>
      </c>
      <c r="BT58" s="3">
        <f>19+10</f>
        <v>29</v>
      </c>
      <c r="BU58" s="3">
        <f>76+35</f>
        <v>111</v>
      </c>
      <c r="BV58" s="3">
        <f>3+3</f>
        <v>6</v>
      </c>
      <c r="BW58" s="3">
        <f>8+6</f>
        <v>14</v>
      </c>
      <c r="BX58" s="3">
        <f>32+13</f>
        <v>45</v>
      </c>
      <c r="BY58" s="3">
        <f>45+10</f>
        <v>55</v>
      </c>
      <c r="BZ58" s="3">
        <f>51+31</f>
        <v>82</v>
      </c>
      <c r="CA58" s="3">
        <f>33+14</f>
        <v>47</v>
      </c>
      <c r="CB58" s="3">
        <f>18+18</f>
        <v>36</v>
      </c>
      <c r="CC58" s="3">
        <f>28+16</f>
        <v>44</v>
      </c>
      <c r="CD58" s="3">
        <f>19+21</f>
        <v>40</v>
      </c>
      <c r="CE58" s="3">
        <f t="shared" ref="CE58" si="47">7+11</f>
        <v>18</v>
      </c>
      <c r="CF58" s="3">
        <f>30+10</f>
        <v>40</v>
      </c>
      <c r="CG58" s="3">
        <f>5+2</f>
        <v>7</v>
      </c>
      <c r="CH58" s="3">
        <f>3+2</f>
        <v>5</v>
      </c>
      <c r="CI58" s="3">
        <f>6+2</f>
        <v>8</v>
      </c>
      <c r="CJ58" s="3">
        <f>37+25</f>
        <v>62</v>
      </c>
      <c r="CK58" s="3"/>
      <c r="CL58" s="3"/>
    </row>
    <row r="59" spans="2:92" x14ac:dyDescent="0.3">
      <c r="B59" s="75"/>
      <c r="E59" s="50" t="s">
        <v>67</v>
      </c>
      <c r="F59" s="49"/>
      <c r="G59" s="49" t="str">
        <f t="shared" ref="G59:AU59" si="48">IFERROR((G58-F58)/F58,"")</f>
        <v/>
      </c>
      <c r="H59" s="49" t="str">
        <f t="shared" si="48"/>
        <v/>
      </c>
      <c r="I59" s="49" t="str">
        <f t="shared" si="48"/>
        <v/>
      </c>
      <c r="J59" s="49" t="str">
        <f t="shared" si="48"/>
        <v/>
      </c>
      <c r="K59" s="49" t="str">
        <f t="shared" si="48"/>
        <v/>
      </c>
      <c r="L59" s="49">
        <f t="shared" si="48"/>
        <v>0.5</v>
      </c>
      <c r="M59" s="49">
        <f t="shared" si="48"/>
        <v>0.2930011862396204</v>
      </c>
      <c r="N59" s="49">
        <f t="shared" si="48"/>
        <v>0.15963302752293579</v>
      </c>
      <c r="O59" s="49">
        <f t="shared" si="48"/>
        <v>8.1487341772151903E-2</v>
      </c>
      <c r="P59" s="49">
        <f t="shared" si="48"/>
        <v>0.12801755669348938</v>
      </c>
      <c r="Q59" s="49">
        <f t="shared" si="48"/>
        <v>0.24124513618677043</v>
      </c>
      <c r="R59" s="49">
        <f t="shared" si="48"/>
        <v>-0.46447230929989552</v>
      </c>
      <c r="S59" s="49">
        <f t="shared" si="48"/>
        <v>0.31121951219512195</v>
      </c>
      <c r="T59" s="49">
        <f t="shared" si="48"/>
        <v>-0.11755952380952381</v>
      </c>
      <c r="U59" s="49">
        <f t="shared" si="48"/>
        <v>0.24283305227655985</v>
      </c>
      <c r="V59" s="49">
        <f t="shared" si="48"/>
        <v>0.14654002713704206</v>
      </c>
      <c r="W59" s="49">
        <f t="shared" si="48"/>
        <v>-0.18047337278106509</v>
      </c>
      <c r="X59" s="49">
        <f t="shared" si="48"/>
        <v>-4.4765342960288806E-2</v>
      </c>
      <c r="Y59" s="49">
        <f t="shared" si="48"/>
        <v>-0.23356009070294784</v>
      </c>
      <c r="Z59" s="49">
        <f t="shared" si="48"/>
        <v>0.18836291913214989</v>
      </c>
      <c r="AA59" s="49">
        <f t="shared" si="48"/>
        <v>9.1286307053941904E-2</v>
      </c>
      <c r="AB59" s="49">
        <f t="shared" si="48"/>
        <v>-4.6387832699619769E-2</v>
      </c>
      <c r="AC59" s="49">
        <f t="shared" si="48"/>
        <v>-4.7846889952153108E-3</v>
      </c>
      <c r="AD59" s="49">
        <f t="shared" si="48"/>
        <v>-0.17227564102564102</v>
      </c>
      <c r="AE59" s="49">
        <f t="shared" si="48"/>
        <v>0.16747337850919652</v>
      </c>
      <c r="AF59" s="49">
        <f t="shared" si="48"/>
        <v>0.10281923714759536</v>
      </c>
      <c r="AG59" s="49">
        <f t="shared" si="48"/>
        <v>-3.4586466165413533E-2</v>
      </c>
      <c r="AH59" s="49">
        <f t="shared" si="48"/>
        <v>-0.24376947040498442</v>
      </c>
      <c r="AI59" s="49">
        <f t="shared" si="48"/>
        <v>-4.325437693099897E-2</v>
      </c>
      <c r="AJ59" s="49">
        <f t="shared" si="48"/>
        <v>-5.5974165769644778E-2</v>
      </c>
      <c r="AK59" s="49">
        <f t="shared" si="48"/>
        <v>9.4640820980615742E-2</v>
      </c>
      <c r="AL59" s="49">
        <f t="shared" si="48"/>
        <v>0.29062500000000002</v>
      </c>
      <c r="AM59" s="49">
        <f t="shared" si="48"/>
        <v>-9.1202582728006451E-2</v>
      </c>
      <c r="AN59" s="49">
        <f t="shared" si="48"/>
        <v>-0.13321492007104796</v>
      </c>
      <c r="AO59" s="49">
        <f t="shared" si="48"/>
        <v>9.1188524590163939E-2</v>
      </c>
      <c r="AP59" s="49">
        <f t="shared" si="48"/>
        <v>-4.8826291079812206E-2</v>
      </c>
      <c r="AQ59" s="49">
        <f t="shared" si="48"/>
        <v>-9.8716683119447184E-3</v>
      </c>
      <c r="AR59" s="49">
        <f t="shared" si="48"/>
        <v>-0.28713858424725824</v>
      </c>
      <c r="AS59" s="49">
        <f t="shared" si="48"/>
        <v>-0.45454545454545453</v>
      </c>
      <c r="AT59" s="49">
        <f t="shared" si="48"/>
        <v>0.24102564102564103</v>
      </c>
      <c r="AU59" s="49">
        <f t="shared" si="48"/>
        <v>-0.51652892561983466</v>
      </c>
      <c r="AV59" s="49">
        <f>IFERROR((AV58-AR58)/AR58,"")</f>
        <v>-0.85174825174825175</v>
      </c>
      <c r="AW59" s="49">
        <f>IFERROR((AW58-AS58)/AS58,"")</f>
        <v>-0.71794871794871795</v>
      </c>
      <c r="AX59" s="49">
        <f>IFERROR((AX58-AT58)/AT58,"")</f>
        <v>-0.84090909090909094</v>
      </c>
      <c r="AY59" s="49">
        <f>IFERROR((AY58-AR58)/AR58,"")</f>
        <v>-0.93566433566433571</v>
      </c>
      <c r="AZ59" s="49">
        <f>IFERROR((AZ58-AS58)/AS58,"")</f>
        <v>-0.87435897435897436</v>
      </c>
      <c r="BA59" s="49">
        <f>IFERROR((BA58-AT58)/AT58,"")</f>
        <v>-0.80165289256198347</v>
      </c>
      <c r="BB59" s="49">
        <f>IFERROR((BB58-AR58)/AR58,"")</f>
        <v>-0.7846153846153846</v>
      </c>
      <c r="BC59" s="49">
        <f>IFERROR((BC58-AS58)/AS58,"")</f>
        <v>-0.87435897435897436</v>
      </c>
      <c r="BD59" s="49">
        <f>IFERROR((BD58-AT58)/AT58,"")</f>
        <v>-0.78305785123966942</v>
      </c>
      <c r="BE59" s="49">
        <f>IFERROR((BE58-AS58)/AS58,"")</f>
        <v>-0.84358974358974359</v>
      </c>
      <c r="BF59" s="49">
        <f>IFERROR((BF58-AT58)/AT58,"")</f>
        <v>-0.8326446280991735</v>
      </c>
      <c r="BG59" s="49">
        <f>IFERROR((BG58-AS58)/AS58,"")</f>
        <v>-0.80769230769230771</v>
      </c>
      <c r="BH59" s="49">
        <f>IFERROR((BH58-AT58)/AT58,"")</f>
        <v>-0.81404958677685946</v>
      </c>
      <c r="BI59" s="49">
        <f>IFERROR((BI58-AS58)/AS58,"")</f>
        <v>-0.6512820512820513</v>
      </c>
      <c r="BJ59" s="49">
        <f>IFERROR((BJ58-AT58)/AT58,"")</f>
        <v>-0.69008264462809921</v>
      </c>
      <c r="BK59" s="49">
        <f t="shared" ref="BK59:BO59" si="49">IFERROR((BK58-AP58)/AP58,"")</f>
        <v>-0.92793682132280353</v>
      </c>
      <c r="BL59" s="49">
        <f t="shared" si="49"/>
        <v>-0.97208374875373882</v>
      </c>
      <c r="BM59" s="49">
        <f t="shared" si="49"/>
        <v>-0.91048951048951043</v>
      </c>
      <c r="BN59" s="49">
        <f t="shared" si="49"/>
        <v>-0.81282051282051282</v>
      </c>
      <c r="BO59" s="49">
        <f t="shared" si="49"/>
        <v>-0.86363636363636365</v>
      </c>
      <c r="BP59" s="49">
        <f>IFERROR((BP58-AS58)/AS58,"")</f>
        <v>-0.78717948717948716</v>
      </c>
      <c r="BQ59" s="49">
        <f>IFERROR((BQ58-AT58)/AT58,"")</f>
        <v>-0.85537190082644632</v>
      </c>
      <c r="BR59" s="49">
        <f>IFERROR((BR58-AS58)/AS58,"")</f>
        <v>-0.81025641025641026</v>
      </c>
      <c r="BS59" s="49">
        <f>IFERROR((BS58-AT58)/AT58,"")</f>
        <v>-0.85950413223140498</v>
      </c>
      <c r="BT59" s="49">
        <f>IFERROR((BT58-AT58)/AT58,"")</f>
        <v>-0.94008264462809921</v>
      </c>
      <c r="BU59" s="49">
        <f>IFERROR((BU58-AR58)/AR58,"")</f>
        <v>-0.84475524475524477</v>
      </c>
      <c r="BV59" s="49">
        <f>IFERROR((BV58-AS58)/AS58,"")</f>
        <v>-0.98461538461538467</v>
      </c>
      <c r="BW59" s="49">
        <f>IFERROR((BW58-AT58)/AT58,"")</f>
        <v>-0.97107438016528924</v>
      </c>
      <c r="BX59" s="49">
        <f>IFERROR((BX58-AT58)/AT58,"")</f>
        <v>-0.90702479338842978</v>
      </c>
      <c r="BY59" s="49">
        <f>IFERROR((BY58-AR58)/AR58,"")</f>
        <v>-0.92307692307692313</v>
      </c>
      <c r="BZ59" s="49">
        <f>IFERROR((BZ58-AS58)/AS58,"")</f>
        <v>-0.78974358974358971</v>
      </c>
      <c r="CA59" s="49">
        <f>IFERROR((CA58-AT58)/AT58,"")</f>
        <v>-0.90289256198347112</v>
      </c>
      <c r="CB59" s="49">
        <f>IFERROR((CB58-AT58)/AT58,"")</f>
        <v>-0.92561983471074383</v>
      </c>
      <c r="CC59" s="49">
        <f>IFERROR((CC58-AS58)/AS58,"")</f>
        <v>-0.88717948717948714</v>
      </c>
      <c r="CD59" s="49">
        <f>IFERROR((CD58-AT58)/AT58,"")</f>
        <v>-0.9173553719008265</v>
      </c>
      <c r="CE59" s="49">
        <f>IFERROR((CE58-AR58)/AR58,"")</f>
        <v>-0.97482517482517483</v>
      </c>
      <c r="CF59" s="49">
        <f>IFERROR((CF58-AS58)/AS58,"")</f>
        <v>-0.89743589743589747</v>
      </c>
      <c r="CG59" s="49">
        <f>IFERROR((CG58-AT58)/AT58,"")</f>
        <v>-0.98553719008264462</v>
      </c>
      <c r="CH59" s="49">
        <f>IFERROR((CH58-AR58)/AR58,"")</f>
        <v>-0.99300699300699302</v>
      </c>
      <c r="CI59" s="49">
        <f>IFERROR((CI58-AS58)/AS58,"")</f>
        <v>-0.97948717948717945</v>
      </c>
      <c r="CJ59" s="49">
        <f>IFERROR((CJ58-AT58)/AT58,"")</f>
        <v>-0.87190082644628097</v>
      </c>
      <c r="CK59" s="49">
        <f>IFERROR((CK58-AU58)/AU58,"")</f>
        <v>-1</v>
      </c>
      <c r="CL59" s="49" t="str">
        <f t="shared" ref="CL59" si="50">IFERROR((CL58-CK58)/CK58,"")</f>
        <v/>
      </c>
    </row>
    <row r="60" spans="2:92" x14ac:dyDescent="0.3">
      <c r="B60" s="75"/>
      <c r="E60" s="52" t="s">
        <v>69</v>
      </c>
      <c r="F60" s="53">
        <v>557</v>
      </c>
      <c r="G60" s="53">
        <v>492</v>
      </c>
      <c r="H60" s="53">
        <v>410</v>
      </c>
      <c r="I60" s="53">
        <v>734</v>
      </c>
      <c r="J60" s="53">
        <v>946</v>
      </c>
      <c r="K60" s="53">
        <v>904</v>
      </c>
      <c r="L60" s="53">
        <v>985</v>
      </c>
      <c r="M60" s="53">
        <v>1141</v>
      </c>
      <c r="N60" s="53">
        <v>802</v>
      </c>
      <c r="O60" s="53">
        <v>560</v>
      </c>
      <c r="P60" s="53">
        <v>1283</v>
      </c>
      <c r="Q60" s="53">
        <v>1269</v>
      </c>
      <c r="R60" s="53">
        <v>1153</v>
      </c>
      <c r="S60" s="53">
        <v>1084</v>
      </c>
      <c r="T60" s="53">
        <v>813</v>
      </c>
      <c r="U60" s="53">
        <v>743</v>
      </c>
      <c r="V60" s="53">
        <v>583</v>
      </c>
      <c r="W60" s="53">
        <v>1283</v>
      </c>
      <c r="X60" s="53">
        <v>1269</v>
      </c>
      <c r="Y60" s="53">
        <v>629</v>
      </c>
      <c r="Z60" s="53">
        <v>591</v>
      </c>
      <c r="AA60" s="53">
        <v>461</v>
      </c>
      <c r="AB60" s="53">
        <v>357</v>
      </c>
      <c r="AC60" s="53">
        <v>253</v>
      </c>
      <c r="AD60" s="53">
        <v>811</v>
      </c>
      <c r="AE60" s="53">
        <v>818</v>
      </c>
      <c r="AF60" s="53">
        <v>598</v>
      </c>
      <c r="AG60" s="53">
        <v>557</v>
      </c>
      <c r="AH60" s="53">
        <v>564</v>
      </c>
      <c r="AI60" s="53">
        <v>364</v>
      </c>
      <c r="AJ60" s="53">
        <v>282</v>
      </c>
      <c r="AK60" s="53">
        <v>711</v>
      </c>
      <c r="AL60" s="53">
        <v>692</v>
      </c>
      <c r="AM60" s="53">
        <v>672</v>
      </c>
      <c r="AN60" s="53">
        <v>684</v>
      </c>
      <c r="AO60" s="53">
        <v>614</v>
      </c>
      <c r="AP60" s="53">
        <v>406</v>
      </c>
      <c r="AQ60" s="53">
        <v>322</v>
      </c>
      <c r="AR60" s="53">
        <v>130</v>
      </c>
      <c r="AS60" s="53">
        <v>627</v>
      </c>
      <c r="AT60" s="53">
        <v>562</v>
      </c>
      <c r="AU60" s="53">
        <v>530</v>
      </c>
      <c r="AV60" s="53">
        <v>489</v>
      </c>
      <c r="AW60" s="53">
        <v>382</v>
      </c>
      <c r="AX60" s="53">
        <v>242</v>
      </c>
      <c r="AY60" s="53">
        <v>201</v>
      </c>
      <c r="AZ60" s="53">
        <v>595</v>
      </c>
      <c r="BA60" s="53">
        <v>513</v>
      </c>
      <c r="BB60" s="53">
        <v>463</v>
      </c>
      <c r="BC60" s="53">
        <v>404</v>
      </c>
      <c r="BD60" s="53">
        <v>316</v>
      </c>
      <c r="BE60" s="53">
        <v>190</v>
      </c>
      <c r="BF60" s="53">
        <v>573</v>
      </c>
      <c r="BG60" s="53">
        <v>477</v>
      </c>
      <c r="BH60" s="53">
        <v>319</v>
      </c>
      <c r="BI60" s="53">
        <v>290</v>
      </c>
      <c r="BJ60" s="53">
        <v>278</v>
      </c>
      <c r="BK60" s="53">
        <v>237</v>
      </c>
      <c r="BL60" s="53">
        <v>158</v>
      </c>
      <c r="BM60" s="53">
        <v>375</v>
      </c>
      <c r="BN60" s="53">
        <v>342</v>
      </c>
      <c r="BO60" s="53">
        <v>319</v>
      </c>
      <c r="BP60" s="53">
        <v>270</v>
      </c>
      <c r="BQ60" s="53">
        <v>249</v>
      </c>
      <c r="BR60" s="53">
        <v>177</v>
      </c>
      <c r="BS60" s="53">
        <v>113</v>
      </c>
      <c r="BT60" s="53">
        <v>357</v>
      </c>
      <c r="BU60" s="53">
        <v>314</v>
      </c>
      <c r="BV60" s="53">
        <v>240</v>
      </c>
      <c r="BW60" s="53">
        <v>244</v>
      </c>
      <c r="BX60" s="53">
        <v>199</v>
      </c>
      <c r="BY60" s="53">
        <v>145</v>
      </c>
      <c r="BZ60" s="53">
        <v>79</v>
      </c>
      <c r="CA60" s="53">
        <v>257</v>
      </c>
      <c r="CB60" s="53">
        <v>247</v>
      </c>
      <c r="CC60" s="53">
        <v>241</v>
      </c>
      <c r="CD60" s="53">
        <v>222</v>
      </c>
      <c r="CE60" s="53">
        <v>210</v>
      </c>
      <c r="CF60" s="53">
        <v>162</v>
      </c>
      <c r="CG60" s="53">
        <v>99</v>
      </c>
      <c r="CH60" s="53">
        <v>154</v>
      </c>
      <c r="CI60" s="53">
        <v>299</v>
      </c>
      <c r="CJ60" s="53">
        <v>260</v>
      </c>
      <c r="CK60" s="53"/>
      <c r="CL60" s="53"/>
    </row>
    <row r="61" spans="2:92" x14ac:dyDescent="0.3">
      <c r="B61" s="75"/>
      <c r="E61" s="51" t="s">
        <v>68</v>
      </c>
      <c r="F61" s="3">
        <f t="shared" ref="F61:BQ61" si="51">F60+F58</f>
        <v>557</v>
      </c>
      <c r="G61" s="3">
        <f t="shared" si="51"/>
        <v>492</v>
      </c>
      <c r="H61" s="3">
        <f t="shared" si="51"/>
        <v>410</v>
      </c>
      <c r="I61" s="3">
        <f t="shared" si="51"/>
        <v>734</v>
      </c>
      <c r="J61" s="3">
        <f t="shared" si="51"/>
        <v>946</v>
      </c>
      <c r="K61" s="3">
        <f t="shared" si="51"/>
        <v>1466</v>
      </c>
      <c r="L61" s="3">
        <f t="shared" si="51"/>
        <v>1828</v>
      </c>
      <c r="M61" s="3">
        <f t="shared" si="51"/>
        <v>2231</v>
      </c>
      <c r="N61" s="3">
        <f t="shared" si="51"/>
        <v>2066</v>
      </c>
      <c r="O61" s="3">
        <f t="shared" si="51"/>
        <v>1927</v>
      </c>
      <c r="P61" s="3">
        <f t="shared" si="51"/>
        <v>2825</v>
      </c>
      <c r="Q61" s="3">
        <f t="shared" si="51"/>
        <v>3183</v>
      </c>
      <c r="R61" s="3">
        <f t="shared" si="51"/>
        <v>2178</v>
      </c>
      <c r="S61" s="3">
        <f t="shared" si="51"/>
        <v>2428</v>
      </c>
      <c r="T61" s="3">
        <f t="shared" si="51"/>
        <v>1999</v>
      </c>
      <c r="U61" s="3">
        <f t="shared" si="51"/>
        <v>2217</v>
      </c>
      <c r="V61" s="3">
        <f t="shared" si="51"/>
        <v>2273</v>
      </c>
      <c r="W61" s="3">
        <f t="shared" si="51"/>
        <v>2668</v>
      </c>
      <c r="X61" s="3">
        <f t="shared" si="51"/>
        <v>2592</v>
      </c>
      <c r="Y61" s="3">
        <f t="shared" si="51"/>
        <v>1643</v>
      </c>
      <c r="Z61" s="3">
        <f t="shared" si="51"/>
        <v>1796</v>
      </c>
      <c r="AA61" s="3">
        <f t="shared" si="51"/>
        <v>1776</v>
      </c>
      <c r="AB61" s="3">
        <f t="shared" si="51"/>
        <v>1611</v>
      </c>
      <c r="AC61" s="3">
        <f t="shared" si="51"/>
        <v>1501</v>
      </c>
      <c r="AD61" s="3">
        <f t="shared" si="51"/>
        <v>1844</v>
      </c>
      <c r="AE61" s="3">
        <f t="shared" si="51"/>
        <v>2024</v>
      </c>
      <c r="AF61" s="3">
        <f t="shared" si="51"/>
        <v>1928</v>
      </c>
      <c r="AG61" s="3">
        <f t="shared" si="51"/>
        <v>1841</v>
      </c>
      <c r="AH61" s="3">
        <f t="shared" si="51"/>
        <v>1535</v>
      </c>
      <c r="AI61" s="3">
        <f t="shared" si="51"/>
        <v>1293</v>
      </c>
      <c r="AJ61" s="3">
        <f t="shared" si="51"/>
        <v>1159</v>
      </c>
      <c r="AK61" s="3">
        <f t="shared" si="51"/>
        <v>1671</v>
      </c>
      <c r="AL61" s="3">
        <f t="shared" si="51"/>
        <v>1931</v>
      </c>
      <c r="AM61" s="3">
        <f t="shared" si="51"/>
        <v>1798</v>
      </c>
      <c r="AN61" s="3">
        <f t="shared" si="51"/>
        <v>1660</v>
      </c>
      <c r="AO61" s="3">
        <f t="shared" si="51"/>
        <v>1679</v>
      </c>
      <c r="AP61" s="3">
        <f t="shared" si="51"/>
        <v>1419</v>
      </c>
      <c r="AQ61" s="3">
        <f t="shared" si="51"/>
        <v>1325</v>
      </c>
      <c r="AR61" s="3">
        <f t="shared" si="51"/>
        <v>845</v>
      </c>
      <c r="AS61" s="3">
        <f t="shared" si="51"/>
        <v>1017</v>
      </c>
      <c r="AT61" s="3">
        <f t="shared" si="51"/>
        <v>1046</v>
      </c>
      <c r="AU61" s="3">
        <f t="shared" si="51"/>
        <v>764</v>
      </c>
      <c r="AV61" s="3">
        <f t="shared" si="51"/>
        <v>595</v>
      </c>
      <c r="AW61" s="3">
        <f t="shared" si="51"/>
        <v>492</v>
      </c>
      <c r="AX61" s="3">
        <f t="shared" si="51"/>
        <v>319</v>
      </c>
      <c r="AY61" s="3">
        <f t="shared" si="51"/>
        <v>247</v>
      </c>
      <c r="AZ61" s="3">
        <f t="shared" si="51"/>
        <v>644</v>
      </c>
      <c r="BA61" s="3">
        <f t="shared" si="51"/>
        <v>609</v>
      </c>
      <c r="BB61" s="3">
        <f t="shared" si="51"/>
        <v>617</v>
      </c>
      <c r="BC61" s="3">
        <f t="shared" si="51"/>
        <v>453</v>
      </c>
      <c r="BD61" s="3">
        <f t="shared" si="51"/>
        <v>421</v>
      </c>
      <c r="BE61" s="3">
        <f t="shared" si="51"/>
        <v>251</v>
      </c>
      <c r="BF61" s="3">
        <f t="shared" si="51"/>
        <v>654</v>
      </c>
      <c r="BG61" s="3">
        <f t="shared" si="51"/>
        <v>552</v>
      </c>
      <c r="BH61" s="3">
        <f t="shared" si="51"/>
        <v>409</v>
      </c>
      <c r="BI61" s="3">
        <f t="shared" si="51"/>
        <v>426</v>
      </c>
      <c r="BJ61" s="3">
        <f t="shared" si="51"/>
        <v>428</v>
      </c>
      <c r="BK61" s="3">
        <f t="shared" si="51"/>
        <v>310</v>
      </c>
      <c r="BL61" s="3">
        <f t="shared" si="51"/>
        <v>186</v>
      </c>
      <c r="BM61" s="3">
        <f t="shared" si="51"/>
        <v>439</v>
      </c>
      <c r="BN61" s="3">
        <f t="shared" si="51"/>
        <v>415</v>
      </c>
      <c r="BO61" s="3">
        <f t="shared" si="51"/>
        <v>385</v>
      </c>
      <c r="BP61" s="3">
        <f t="shared" si="51"/>
        <v>353</v>
      </c>
      <c r="BQ61" s="3">
        <f t="shared" si="51"/>
        <v>319</v>
      </c>
      <c r="BR61" s="3">
        <f t="shared" ref="BR61:CD61" si="52">BR60+BR58</f>
        <v>251</v>
      </c>
      <c r="BS61" s="3">
        <f t="shared" si="52"/>
        <v>181</v>
      </c>
      <c r="BT61" s="3">
        <f t="shared" si="52"/>
        <v>386</v>
      </c>
      <c r="BU61" s="3">
        <f t="shared" si="52"/>
        <v>425</v>
      </c>
      <c r="BV61" s="3">
        <f t="shared" si="52"/>
        <v>246</v>
      </c>
      <c r="BW61" s="3">
        <f t="shared" si="52"/>
        <v>258</v>
      </c>
      <c r="BX61" s="3">
        <f t="shared" si="52"/>
        <v>244</v>
      </c>
      <c r="BY61" s="3">
        <f t="shared" si="52"/>
        <v>200</v>
      </c>
      <c r="BZ61" s="3">
        <f t="shared" si="52"/>
        <v>161</v>
      </c>
      <c r="CA61" s="3">
        <f t="shared" si="52"/>
        <v>304</v>
      </c>
      <c r="CB61" s="3">
        <f t="shared" si="52"/>
        <v>283</v>
      </c>
      <c r="CC61" s="3">
        <f t="shared" si="52"/>
        <v>285</v>
      </c>
      <c r="CD61" s="3">
        <f t="shared" si="52"/>
        <v>262</v>
      </c>
      <c r="CE61" s="3">
        <f t="shared" ref="CE61:CH61" si="53">CE54+CE58</f>
        <v>211</v>
      </c>
      <c r="CF61" s="3">
        <f t="shared" si="53"/>
        <v>220</v>
      </c>
      <c r="CG61" s="3">
        <f t="shared" si="53"/>
        <v>96</v>
      </c>
      <c r="CH61" s="3">
        <f t="shared" si="53"/>
        <v>173</v>
      </c>
      <c r="CI61" s="3">
        <f t="shared" ref="CI61:CL61" si="54">CI60+CI58</f>
        <v>307</v>
      </c>
      <c r="CJ61" s="3">
        <f t="shared" si="54"/>
        <v>322</v>
      </c>
      <c r="CK61" s="3">
        <f t="shared" si="54"/>
        <v>0</v>
      </c>
      <c r="CL61" s="3">
        <f t="shared" si="54"/>
        <v>0</v>
      </c>
    </row>
    <row r="62" spans="2:92" ht="15" thickBot="1" x14ac:dyDescent="0.35">
      <c r="B62" s="75"/>
      <c r="C62" s="32"/>
      <c r="D62" s="32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</row>
    <row r="63" spans="2:92" ht="15" thickBot="1" x14ac:dyDescent="0.35">
      <c r="B63" s="75"/>
      <c r="E63" s="23" t="s">
        <v>5</v>
      </c>
      <c r="F63" s="8">
        <v>273</v>
      </c>
      <c r="G63" s="8">
        <v>304</v>
      </c>
      <c r="H63" s="8">
        <v>412</v>
      </c>
      <c r="I63" s="8">
        <v>450</v>
      </c>
      <c r="J63" s="8">
        <v>714</v>
      </c>
      <c r="K63" s="8">
        <v>712</v>
      </c>
      <c r="L63" s="8">
        <v>790</v>
      </c>
      <c r="M63" s="8">
        <v>724</v>
      </c>
      <c r="N63" s="8">
        <v>360</v>
      </c>
      <c r="O63" s="8">
        <v>379</v>
      </c>
      <c r="P63" s="8">
        <v>730</v>
      </c>
      <c r="Q63" s="8">
        <v>704</v>
      </c>
      <c r="R63" s="8">
        <v>628</v>
      </c>
      <c r="S63" s="8">
        <v>502</v>
      </c>
      <c r="T63" s="8">
        <v>608</v>
      </c>
      <c r="U63" s="8">
        <v>251</v>
      </c>
      <c r="V63" s="8">
        <v>438</v>
      </c>
      <c r="W63" s="8">
        <v>650</v>
      </c>
      <c r="X63" s="8">
        <v>768</v>
      </c>
      <c r="Y63" s="8">
        <v>622</v>
      </c>
      <c r="Z63" s="8">
        <v>430</v>
      </c>
      <c r="AA63" s="8">
        <v>501</v>
      </c>
      <c r="AB63" s="8">
        <v>357</v>
      </c>
      <c r="AC63" s="8">
        <v>244</v>
      </c>
      <c r="AD63" s="8">
        <v>524</v>
      </c>
      <c r="AE63" s="8">
        <v>525</v>
      </c>
      <c r="AF63" s="8">
        <v>556</v>
      </c>
      <c r="AG63" s="8">
        <v>567</v>
      </c>
      <c r="AH63" s="8">
        <v>543</v>
      </c>
      <c r="AI63" s="8">
        <v>384</v>
      </c>
      <c r="AJ63" s="8">
        <v>191</v>
      </c>
      <c r="AK63" s="8">
        <v>553</v>
      </c>
      <c r="AL63" s="8">
        <v>414</v>
      </c>
      <c r="AM63" s="8">
        <v>600</v>
      </c>
      <c r="AN63" s="8">
        <v>519</v>
      </c>
      <c r="AO63" s="8">
        <v>620</v>
      </c>
      <c r="AP63" s="8">
        <v>388</v>
      </c>
      <c r="AQ63" s="8">
        <v>358</v>
      </c>
      <c r="AR63" s="8">
        <v>392</v>
      </c>
      <c r="AS63" s="8">
        <v>585</v>
      </c>
      <c r="AT63" s="8">
        <v>512</v>
      </c>
      <c r="AU63" s="8">
        <v>617</v>
      </c>
      <c r="AV63" s="8">
        <v>633</v>
      </c>
      <c r="AW63" s="8">
        <v>287</v>
      </c>
      <c r="AX63" s="8">
        <v>194</v>
      </c>
      <c r="AY63" s="8">
        <v>168</v>
      </c>
      <c r="AZ63" s="8">
        <v>510</v>
      </c>
      <c r="BA63" s="8">
        <v>504</v>
      </c>
      <c r="BB63" s="8">
        <v>523</v>
      </c>
      <c r="BC63" s="8">
        <v>375</v>
      </c>
      <c r="BD63" s="8">
        <v>241</v>
      </c>
      <c r="BE63" s="8">
        <v>219</v>
      </c>
      <c r="BF63" s="8">
        <v>391</v>
      </c>
      <c r="BG63" s="8">
        <v>425</v>
      </c>
      <c r="BH63" s="8">
        <v>302</v>
      </c>
      <c r="BI63" s="8">
        <v>308</v>
      </c>
      <c r="BJ63" s="8">
        <v>341</v>
      </c>
      <c r="BK63" s="8">
        <v>246</v>
      </c>
      <c r="BL63" s="8">
        <v>94</v>
      </c>
      <c r="BM63" s="8">
        <v>357</v>
      </c>
      <c r="BN63" s="8">
        <v>316</v>
      </c>
      <c r="BO63" s="8">
        <v>307</v>
      </c>
      <c r="BP63" s="8">
        <v>331</v>
      </c>
      <c r="BQ63" s="8">
        <v>296</v>
      </c>
      <c r="BR63" s="8">
        <v>141</v>
      </c>
      <c r="BS63" s="8">
        <v>160</v>
      </c>
      <c r="BT63" s="8">
        <v>200</v>
      </c>
      <c r="BU63" s="8">
        <v>390</v>
      </c>
      <c r="BV63" s="8">
        <v>294</v>
      </c>
      <c r="BW63" s="8">
        <v>281</v>
      </c>
      <c r="BX63" s="8">
        <v>305</v>
      </c>
      <c r="BY63" s="8">
        <v>115</v>
      </c>
      <c r="BZ63" s="8">
        <v>129</v>
      </c>
      <c r="CA63" s="8">
        <v>280</v>
      </c>
      <c r="CB63" s="8">
        <v>316</v>
      </c>
      <c r="CC63" s="8">
        <v>304</v>
      </c>
      <c r="CD63" s="8">
        <v>333</v>
      </c>
      <c r="CE63" s="8">
        <v>254</v>
      </c>
      <c r="CF63" s="8">
        <v>227</v>
      </c>
      <c r="CG63" s="8">
        <v>123</v>
      </c>
      <c r="CH63" s="8">
        <v>162</v>
      </c>
      <c r="CI63" s="8">
        <v>390</v>
      </c>
      <c r="CJ63" s="8"/>
      <c r="CK63" s="8"/>
      <c r="CL63" s="9"/>
      <c r="CM63" s="29">
        <f>SUM(F63:CL63)</f>
        <v>33171</v>
      </c>
      <c r="CN63" s="33">
        <f>CM63-CM54</f>
        <v>-3606</v>
      </c>
    </row>
    <row r="64" spans="2:92" x14ac:dyDescent="0.3">
      <c r="B64" s="75"/>
      <c r="I64" s="22"/>
      <c r="J64" s="22"/>
      <c r="K64" s="22"/>
      <c r="L64" s="22"/>
      <c r="M64" s="22"/>
      <c r="N64" s="22"/>
      <c r="O64" s="22"/>
      <c r="AY64" s="64">
        <v>216</v>
      </c>
      <c r="AZ64" s="64">
        <v>462</v>
      </c>
      <c r="BA64" s="64">
        <v>515</v>
      </c>
      <c r="BB64" s="64">
        <v>468</v>
      </c>
      <c r="BC64" s="64">
        <v>474</v>
      </c>
      <c r="BD64" s="64">
        <v>172</v>
      </c>
      <c r="BE64" s="64">
        <v>287</v>
      </c>
      <c r="BF64" s="64">
        <v>373</v>
      </c>
      <c r="BG64" s="64">
        <v>423</v>
      </c>
      <c r="BH64" s="64">
        <v>363</v>
      </c>
      <c r="BI64" s="64">
        <v>265</v>
      </c>
      <c r="BJ64" s="64">
        <v>369</v>
      </c>
      <c r="BK64" s="64">
        <v>259</v>
      </c>
      <c r="BL64" s="64">
        <v>136</v>
      </c>
      <c r="BM64" s="64">
        <v>355</v>
      </c>
      <c r="BN64" s="64">
        <v>410</v>
      </c>
      <c r="BO64" s="64">
        <v>322</v>
      </c>
      <c r="BP64" s="64">
        <v>319</v>
      </c>
      <c r="BQ64" s="64">
        <v>303</v>
      </c>
      <c r="BR64" s="64">
        <v>213</v>
      </c>
      <c r="BS64" s="64">
        <v>221</v>
      </c>
      <c r="BT64" s="64">
        <v>270</v>
      </c>
      <c r="BU64" s="64">
        <v>226</v>
      </c>
      <c r="BV64" s="64">
        <v>203</v>
      </c>
      <c r="BW64" s="64">
        <v>169</v>
      </c>
      <c r="BX64" s="64">
        <v>262</v>
      </c>
      <c r="BY64" s="64">
        <v>174</v>
      </c>
      <c r="BZ64" s="64">
        <v>83</v>
      </c>
      <c r="CA64" s="64">
        <v>267</v>
      </c>
      <c r="CB64" s="64">
        <v>191</v>
      </c>
      <c r="CC64" s="64">
        <v>266</v>
      </c>
      <c r="CD64" s="64">
        <v>211</v>
      </c>
      <c r="CE64" s="64">
        <v>191</v>
      </c>
      <c r="CF64" s="64">
        <v>122</v>
      </c>
      <c r="CG64" s="64">
        <v>71</v>
      </c>
      <c r="CH64" s="64">
        <v>277</v>
      </c>
    </row>
    <row r="65" spans="2:93" x14ac:dyDescent="0.3">
      <c r="B65" s="75"/>
      <c r="E65" s="37" t="s">
        <v>17</v>
      </c>
      <c r="I65" s="22"/>
      <c r="J65" s="22"/>
      <c r="K65" s="22"/>
      <c r="L65" s="22"/>
      <c r="M65" s="22"/>
      <c r="N65" s="22"/>
      <c r="O65" s="22"/>
      <c r="CM65" s="77" t="s">
        <v>34</v>
      </c>
      <c r="CN65" s="77"/>
      <c r="CO65" s="77"/>
    </row>
    <row r="66" spans="2:93" ht="20.399999999999999" customHeight="1" x14ac:dyDescent="0.3">
      <c r="B66" s="75"/>
      <c r="E66" s="38" t="s">
        <v>18</v>
      </c>
      <c r="F66" s="39">
        <f>F67+F68</f>
        <v>23</v>
      </c>
      <c r="G66" s="39">
        <f t="shared" ref="G66:BR66" si="55">G67+G68</f>
        <v>11</v>
      </c>
      <c r="H66" s="39">
        <f t="shared" si="55"/>
        <v>16</v>
      </c>
      <c r="I66" s="39">
        <f t="shared" si="55"/>
        <v>47</v>
      </c>
      <c r="J66" s="39">
        <f t="shared" si="55"/>
        <v>42</v>
      </c>
      <c r="K66" s="39">
        <f t="shared" si="55"/>
        <v>64</v>
      </c>
      <c r="L66" s="39">
        <f t="shared" si="55"/>
        <v>51</v>
      </c>
      <c r="M66" s="39">
        <f t="shared" si="55"/>
        <v>48</v>
      </c>
      <c r="N66" s="39">
        <f t="shared" si="55"/>
        <v>20</v>
      </c>
      <c r="O66" s="39">
        <f t="shared" si="55"/>
        <v>26</v>
      </c>
      <c r="P66" s="39">
        <f t="shared" si="55"/>
        <v>61</v>
      </c>
      <c r="Q66" s="39">
        <f t="shared" si="55"/>
        <v>47</v>
      </c>
      <c r="R66" s="39">
        <f t="shared" si="55"/>
        <v>70</v>
      </c>
      <c r="S66" s="39">
        <f t="shared" si="55"/>
        <v>51</v>
      </c>
      <c r="T66" s="39">
        <f t="shared" si="55"/>
        <v>54</v>
      </c>
      <c r="U66" s="39">
        <f t="shared" si="55"/>
        <v>23</v>
      </c>
      <c r="V66" s="39">
        <f t="shared" si="55"/>
        <v>24</v>
      </c>
      <c r="W66" s="39">
        <f t="shared" si="55"/>
        <v>44</v>
      </c>
      <c r="X66" s="39">
        <f t="shared" si="55"/>
        <v>66</v>
      </c>
      <c r="Y66" s="39">
        <f t="shared" si="55"/>
        <v>51</v>
      </c>
      <c r="Z66" s="39">
        <f t="shared" si="55"/>
        <v>32</v>
      </c>
      <c r="AA66" s="39">
        <f t="shared" si="55"/>
        <v>42</v>
      </c>
      <c r="AB66" s="39">
        <f t="shared" si="55"/>
        <v>14</v>
      </c>
      <c r="AC66" s="39">
        <f t="shared" si="55"/>
        <v>16</v>
      </c>
      <c r="AD66" s="39">
        <f t="shared" si="55"/>
        <v>45</v>
      </c>
      <c r="AE66" s="39">
        <f t="shared" si="55"/>
        <v>58</v>
      </c>
      <c r="AF66" s="39">
        <f t="shared" si="55"/>
        <v>39</v>
      </c>
      <c r="AG66" s="39">
        <f t="shared" si="55"/>
        <v>51</v>
      </c>
      <c r="AH66" s="39">
        <f t="shared" si="55"/>
        <v>39</v>
      </c>
      <c r="AI66" s="39">
        <f t="shared" si="55"/>
        <v>18</v>
      </c>
      <c r="AJ66" s="39">
        <f t="shared" si="55"/>
        <v>17</v>
      </c>
      <c r="AK66" s="39">
        <f t="shared" si="55"/>
        <v>64</v>
      </c>
      <c r="AL66" s="39">
        <f t="shared" si="55"/>
        <v>45</v>
      </c>
      <c r="AM66" s="39">
        <f t="shared" si="55"/>
        <v>80</v>
      </c>
      <c r="AN66" s="39">
        <f t="shared" si="55"/>
        <v>58</v>
      </c>
      <c r="AO66" s="39">
        <f t="shared" si="55"/>
        <v>54</v>
      </c>
      <c r="AP66" s="39">
        <f t="shared" si="55"/>
        <v>22</v>
      </c>
      <c r="AQ66" s="39">
        <f t="shared" si="55"/>
        <v>14</v>
      </c>
      <c r="AR66" s="39">
        <f t="shared" si="55"/>
        <v>24</v>
      </c>
      <c r="AS66" s="39">
        <f t="shared" si="55"/>
        <v>82</v>
      </c>
      <c r="AT66" s="39">
        <f t="shared" si="55"/>
        <v>71</v>
      </c>
      <c r="AU66" s="39">
        <f t="shared" si="55"/>
        <v>46</v>
      </c>
      <c r="AV66" s="39">
        <f t="shared" si="55"/>
        <v>47</v>
      </c>
      <c r="AW66" s="39">
        <f t="shared" si="55"/>
        <v>33</v>
      </c>
      <c r="AX66" s="39">
        <f t="shared" si="55"/>
        <v>31</v>
      </c>
      <c r="AY66" s="39">
        <f t="shared" si="55"/>
        <v>22</v>
      </c>
      <c r="AZ66" s="39">
        <f t="shared" si="55"/>
        <v>77</v>
      </c>
      <c r="BA66" s="39">
        <f t="shared" si="55"/>
        <v>79</v>
      </c>
      <c r="BB66" s="39">
        <f t="shared" si="55"/>
        <v>49</v>
      </c>
      <c r="BC66" s="39">
        <f t="shared" si="55"/>
        <v>45</v>
      </c>
      <c r="BD66" s="39">
        <f t="shared" si="55"/>
        <v>30</v>
      </c>
      <c r="BE66" s="39">
        <f t="shared" si="55"/>
        <v>20</v>
      </c>
      <c r="BF66" s="39">
        <f t="shared" si="55"/>
        <v>47</v>
      </c>
      <c r="BG66" s="39">
        <f t="shared" si="55"/>
        <v>60</v>
      </c>
      <c r="BH66" s="39">
        <f t="shared" si="55"/>
        <v>39</v>
      </c>
      <c r="BI66" s="39">
        <f t="shared" si="55"/>
        <v>46</v>
      </c>
      <c r="BJ66" s="39">
        <f t="shared" si="55"/>
        <v>37</v>
      </c>
      <c r="BK66" s="39">
        <f t="shared" si="55"/>
        <v>21</v>
      </c>
      <c r="BL66" s="39">
        <f t="shared" si="55"/>
        <v>16</v>
      </c>
      <c r="BM66" s="39">
        <f t="shared" si="55"/>
        <v>46</v>
      </c>
      <c r="BN66" s="39">
        <f t="shared" si="55"/>
        <v>56</v>
      </c>
      <c r="BO66" s="39">
        <f t="shared" si="55"/>
        <v>44</v>
      </c>
      <c r="BP66" s="39">
        <f t="shared" si="55"/>
        <v>49</v>
      </c>
      <c r="BQ66" s="39">
        <f t="shared" si="55"/>
        <v>39</v>
      </c>
      <c r="BR66" s="39">
        <f t="shared" si="55"/>
        <v>19</v>
      </c>
      <c r="BS66" s="39">
        <f t="shared" ref="BS66:CL66" si="56">BS67+BS68</f>
        <v>13</v>
      </c>
      <c r="BT66" s="39">
        <f t="shared" si="56"/>
        <v>47</v>
      </c>
      <c r="BU66" s="39">
        <f t="shared" si="56"/>
        <v>42</v>
      </c>
      <c r="BV66" s="39">
        <f t="shared" si="56"/>
        <v>20</v>
      </c>
      <c r="BW66" s="39">
        <f t="shared" si="56"/>
        <v>14</v>
      </c>
      <c r="BX66" s="39">
        <f t="shared" si="56"/>
        <v>18</v>
      </c>
      <c r="BY66" s="39">
        <f t="shared" si="56"/>
        <v>12</v>
      </c>
      <c r="BZ66" s="39">
        <f t="shared" si="56"/>
        <v>8</v>
      </c>
      <c r="CA66" s="39">
        <f t="shared" si="56"/>
        <v>29</v>
      </c>
      <c r="CB66" s="39">
        <f t="shared" si="56"/>
        <v>22</v>
      </c>
      <c r="CC66" s="39">
        <f t="shared" si="56"/>
        <v>31</v>
      </c>
      <c r="CD66" s="39">
        <f t="shared" si="56"/>
        <v>24</v>
      </c>
      <c r="CE66" s="39">
        <f t="shared" si="56"/>
        <v>29</v>
      </c>
      <c r="CF66" s="39">
        <f t="shared" si="56"/>
        <v>59</v>
      </c>
      <c r="CG66" s="39">
        <f t="shared" si="56"/>
        <v>15</v>
      </c>
      <c r="CH66" s="39">
        <f t="shared" si="56"/>
        <v>20</v>
      </c>
      <c r="CI66" s="39">
        <f t="shared" si="56"/>
        <v>34</v>
      </c>
      <c r="CJ66" s="39">
        <f t="shared" si="56"/>
        <v>0</v>
      </c>
      <c r="CK66" s="39">
        <f t="shared" si="56"/>
        <v>0</v>
      </c>
      <c r="CL66" s="39">
        <f t="shared" si="56"/>
        <v>0</v>
      </c>
      <c r="CM66" s="78"/>
      <c r="CN66" s="78"/>
      <c r="CO66" s="78"/>
    </row>
    <row r="67" spans="2:93" outlineLevel="1" x14ac:dyDescent="0.3">
      <c r="B67" s="75"/>
      <c r="E67" s="40" t="s">
        <v>21</v>
      </c>
      <c r="F67" s="22">
        <v>18</v>
      </c>
      <c r="G67" s="22">
        <v>6</v>
      </c>
      <c r="H67" s="22">
        <v>9</v>
      </c>
      <c r="I67" s="22">
        <v>39</v>
      </c>
      <c r="J67" s="22">
        <v>29</v>
      </c>
      <c r="K67" s="22">
        <v>42</v>
      </c>
      <c r="L67" s="22">
        <v>29</v>
      </c>
      <c r="M67" s="22">
        <v>30</v>
      </c>
      <c r="N67" s="22">
        <v>19</v>
      </c>
      <c r="O67" s="22">
        <v>17</v>
      </c>
      <c r="P67" s="22">
        <v>47</v>
      </c>
      <c r="Q67" s="22">
        <v>35</v>
      </c>
      <c r="R67" s="22">
        <v>47</v>
      </c>
      <c r="S67" s="22">
        <v>39</v>
      </c>
      <c r="T67" s="22">
        <v>28</v>
      </c>
      <c r="U67" s="22">
        <v>12</v>
      </c>
      <c r="V67" s="22">
        <v>19</v>
      </c>
      <c r="W67" s="22">
        <v>25</v>
      </c>
      <c r="X67" s="22">
        <v>27</v>
      </c>
      <c r="Y67" s="22">
        <v>32</v>
      </c>
      <c r="Z67" s="22">
        <v>21</v>
      </c>
      <c r="AA67" s="22">
        <v>29</v>
      </c>
      <c r="AB67" s="22">
        <v>12</v>
      </c>
      <c r="AC67" s="22">
        <v>12</v>
      </c>
      <c r="AD67" s="22">
        <v>28</v>
      </c>
      <c r="AE67" s="22">
        <v>46</v>
      </c>
      <c r="AF67" s="22">
        <v>25</v>
      </c>
      <c r="AG67" s="22">
        <v>38</v>
      </c>
      <c r="AH67" s="22">
        <v>28</v>
      </c>
      <c r="AI67" s="22">
        <v>16</v>
      </c>
      <c r="AJ67" s="22">
        <v>16</v>
      </c>
      <c r="AK67" s="22">
        <v>32</v>
      </c>
      <c r="AL67" s="22">
        <v>37</v>
      </c>
      <c r="AM67" s="22">
        <v>48</v>
      </c>
      <c r="AN67" s="22">
        <v>35</v>
      </c>
      <c r="AO67" s="22">
        <v>28</v>
      </c>
      <c r="AP67" s="22">
        <v>19</v>
      </c>
      <c r="AQ67" s="22">
        <v>13</v>
      </c>
      <c r="AR67" s="22">
        <v>19</v>
      </c>
      <c r="AS67" s="22">
        <v>59</v>
      </c>
      <c r="AT67" s="22">
        <v>39</v>
      </c>
      <c r="AU67" s="22">
        <v>27</v>
      </c>
      <c r="AV67" s="22">
        <v>26</v>
      </c>
      <c r="AW67" s="22">
        <v>27</v>
      </c>
      <c r="AX67" s="22">
        <v>15</v>
      </c>
      <c r="AY67" s="22">
        <v>17</v>
      </c>
      <c r="AZ67" s="22">
        <v>52</v>
      </c>
      <c r="BA67" s="22">
        <v>52</v>
      </c>
      <c r="BB67" s="22">
        <v>40</v>
      </c>
      <c r="BC67" s="22">
        <v>32</v>
      </c>
      <c r="BD67" s="22">
        <v>17</v>
      </c>
      <c r="BE67" s="22">
        <v>17</v>
      </c>
      <c r="BF67" s="22">
        <v>38</v>
      </c>
      <c r="BG67" s="22">
        <v>43</v>
      </c>
      <c r="BH67" s="22">
        <v>22</v>
      </c>
      <c r="BI67" s="22">
        <v>29</v>
      </c>
      <c r="BJ67" s="22">
        <v>23</v>
      </c>
      <c r="BK67" s="22">
        <v>15</v>
      </c>
      <c r="BL67" s="22">
        <v>13</v>
      </c>
      <c r="BM67" s="22">
        <v>30</v>
      </c>
      <c r="BN67" s="22">
        <v>34</v>
      </c>
      <c r="BO67" s="22">
        <v>30</v>
      </c>
      <c r="BP67" s="22">
        <v>43</v>
      </c>
      <c r="BQ67" s="22">
        <v>24</v>
      </c>
      <c r="BR67" s="22">
        <v>9</v>
      </c>
      <c r="BS67" s="22">
        <v>7</v>
      </c>
      <c r="BT67" s="22">
        <v>34</v>
      </c>
      <c r="BU67" s="22">
        <v>19</v>
      </c>
      <c r="BV67" s="22">
        <v>10</v>
      </c>
      <c r="BW67" s="22">
        <v>10</v>
      </c>
      <c r="BX67" s="22">
        <v>13</v>
      </c>
      <c r="BY67" s="22">
        <v>11</v>
      </c>
      <c r="BZ67" s="22">
        <v>7</v>
      </c>
      <c r="CA67" s="22">
        <v>23</v>
      </c>
      <c r="CB67" s="22">
        <v>18</v>
      </c>
      <c r="CC67" s="22">
        <v>27</v>
      </c>
      <c r="CD67" s="22">
        <v>21</v>
      </c>
      <c r="CE67" s="22">
        <v>20</v>
      </c>
      <c r="CF67" s="22">
        <v>57</v>
      </c>
      <c r="CG67" s="22">
        <v>13</v>
      </c>
      <c r="CH67" s="22">
        <v>14</v>
      </c>
      <c r="CI67" s="22">
        <v>34</v>
      </c>
      <c r="CJ67" s="22"/>
      <c r="CK67" s="22"/>
      <c r="CL67" s="22"/>
    </row>
    <row r="68" spans="2:93" outlineLevel="1" x14ac:dyDescent="0.3">
      <c r="B68" s="75"/>
      <c r="E68" s="41" t="s">
        <v>22</v>
      </c>
      <c r="F68" s="42">
        <v>5</v>
      </c>
      <c r="G68" s="42">
        <v>5</v>
      </c>
      <c r="H68" s="42">
        <v>7</v>
      </c>
      <c r="I68" s="42">
        <v>8</v>
      </c>
      <c r="J68" s="42">
        <v>13</v>
      </c>
      <c r="K68" s="42">
        <v>22</v>
      </c>
      <c r="L68" s="42">
        <v>22</v>
      </c>
      <c r="M68" s="42">
        <v>18</v>
      </c>
      <c r="N68" s="42">
        <v>1</v>
      </c>
      <c r="O68" s="42">
        <v>9</v>
      </c>
      <c r="P68" s="42">
        <v>14</v>
      </c>
      <c r="Q68" s="42">
        <v>12</v>
      </c>
      <c r="R68" s="42">
        <v>23</v>
      </c>
      <c r="S68" s="42">
        <v>12</v>
      </c>
      <c r="T68" s="42">
        <v>26</v>
      </c>
      <c r="U68" s="42">
        <v>11</v>
      </c>
      <c r="V68" s="42">
        <v>5</v>
      </c>
      <c r="W68" s="42">
        <v>19</v>
      </c>
      <c r="X68" s="42">
        <v>39</v>
      </c>
      <c r="Y68" s="42">
        <v>19</v>
      </c>
      <c r="Z68" s="42">
        <v>11</v>
      </c>
      <c r="AA68" s="42">
        <v>13</v>
      </c>
      <c r="AB68" s="42">
        <v>2</v>
      </c>
      <c r="AC68" s="42">
        <v>4</v>
      </c>
      <c r="AD68" s="42">
        <v>17</v>
      </c>
      <c r="AE68" s="42">
        <v>12</v>
      </c>
      <c r="AF68" s="42">
        <v>14</v>
      </c>
      <c r="AG68" s="42">
        <v>13</v>
      </c>
      <c r="AH68" s="42">
        <v>11</v>
      </c>
      <c r="AI68" s="42">
        <v>2</v>
      </c>
      <c r="AJ68" s="42">
        <v>1</v>
      </c>
      <c r="AK68" s="42">
        <v>32</v>
      </c>
      <c r="AL68" s="42">
        <v>8</v>
      </c>
      <c r="AM68" s="42">
        <v>32</v>
      </c>
      <c r="AN68" s="42">
        <v>23</v>
      </c>
      <c r="AO68" s="42">
        <v>26</v>
      </c>
      <c r="AP68" s="42">
        <v>3</v>
      </c>
      <c r="AQ68" s="42">
        <v>1</v>
      </c>
      <c r="AR68" s="42">
        <v>5</v>
      </c>
      <c r="AS68" s="42">
        <v>23</v>
      </c>
      <c r="AT68" s="42">
        <v>32</v>
      </c>
      <c r="AU68" s="42">
        <v>19</v>
      </c>
      <c r="AV68" s="42">
        <v>21</v>
      </c>
      <c r="AW68" s="42">
        <v>6</v>
      </c>
      <c r="AX68" s="42">
        <v>16</v>
      </c>
      <c r="AY68" s="42">
        <v>5</v>
      </c>
      <c r="AZ68" s="42">
        <v>25</v>
      </c>
      <c r="BA68" s="42">
        <v>27</v>
      </c>
      <c r="BB68" s="42">
        <v>9</v>
      </c>
      <c r="BC68" s="42">
        <v>13</v>
      </c>
      <c r="BD68" s="42">
        <v>13</v>
      </c>
      <c r="BE68" s="42">
        <v>3</v>
      </c>
      <c r="BF68" s="42">
        <v>9</v>
      </c>
      <c r="BG68" s="42">
        <v>17</v>
      </c>
      <c r="BH68" s="42">
        <v>17</v>
      </c>
      <c r="BI68" s="42">
        <v>17</v>
      </c>
      <c r="BJ68" s="42">
        <v>14</v>
      </c>
      <c r="BK68" s="42">
        <v>6</v>
      </c>
      <c r="BL68" s="42">
        <v>3</v>
      </c>
      <c r="BM68" s="42">
        <v>16</v>
      </c>
      <c r="BN68" s="42">
        <v>22</v>
      </c>
      <c r="BO68" s="42">
        <v>14</v>
      </c>
      <c r="BP68" s="42">
        <v>6</v>
      </c>
      <c r="BQ68" s="42">
        <v>15</v>
      </c>
      <c r="BR68" s="42">
        <v>10</v>
      </c>
      <c r="BS68" s="42">
        <v>6</v>
      </c>
      <c r="BT68" s="42">
        <v>13</v>
      </c>
      <c r="BU68" s="42">
        <v>23</v>
      </c>
      <c r="BV68" s="42">
        <v>10</v>
      </c>
      <c r="BW68" s="42">
        <v>4</v>
      </c>
      <c r="BX68" s="42">
        <v>5</v>
      </c>
      <c r="BY68" s="42">
        <v>1</v>
      </c>
      <c r="BZ68" s="42">
        <v>1</v>
      </c>
      <c r="CA68" s="42">
        <v>6</v>
      </c>
      <c r="CB68" s="42">
        <v>4</v>
      </c>
      <c r="CC68" s="42">
        <v>4</v>
      </c>
      <c r="CD68" s="42">
        <v>3</v>
      </c>
      <c r="CE68" s="42">
        <v>9</v>
      </c>
      <c r="CF68" s="42">
        <v>2</v>
      </c>
      <c r="CG68" s="42">
        <v>2</v>
      </c>
      <c r="CH68" s="42">
        <v>6</v>
      </c>
      <c r="CI68" s="42"/>
      <c r="CJ68" s="42"/>
      <c r="CK68" s="42"/>
      <c r="CL68" s="42"/>
    </row>
    <row r="69" spans="2:93" ht="20.399999999999999" customHeight="1" x14ac:dyDescent="0.3">
      <c r="B69" s="75"/>
      <c r="E69" s="43" t="s">
        <v>19</v>
      </c>
      <c r="F69" s="21">
        <v>79</v>
      </c>
      <c r="G69" s="21">
        <v>34</v>
      </c>
      <c r="H69" s="21">
        <v>31</v>
      </c>
      <c r="I69" s="21">
        <v>52</v>
      </c>
      <c r="J69" s="21">
        <v>57</v>
      </c>
      <c r="K69" s="21">
        <v>58</v>
      </c>
      <c r="L69" s="21">
        <v>62</v>
      </c>
      <c r="M69" s="21">
        <v>88</v>
      </c>
      <c r="N69" s="21">
        <v>35</v>
      </c>
      <c r="O69" s="21">
        <v>33</v>
      </c>
      <c r="P69" s="21">
        <v>93</v>
      </c>
      <c r="Q69" s="21">
        <v>65</v>
      </c>
      <c r="R69" s="21">
        <v>91</v>
      </c>
      <c r="S69" s="21">
        <v>109</v>
      </c>
      <c r="T69" s="21">
        <v>95</v>
      </c>
      <c r="U69" s="21">
        <v>57</v>
      </c>
      <c r="V69" s="21">
        <v>24</v>
      </c>
      <c r="W69" s="21">
        <v>71</v>
      </c>
      <c r="X69" s="21">
        <v>49</v>
      </c>
      <c r="Y69" s="21">
        <v>63</v>
      </c>
      <c r="Z69" s="21">
        <v>66</v>
      </c>
      <c r="AA69" s="21">
        <v>54</v>
      </c>
      <c r="AB69" s="21">
        <v>47</v>
      </c>
      <c r="AC69" s="21">
        <v>24</v>
      </c>
      <c r="AD69" s="21">
        <v>88</v>
      </c>
      <c r="AE69" s="21">
        <v>79</v>
      </c>
      <c r="AF69" s="21">
        <v>80</v>
      </c>
      <c r="AG69" s="21">
        <v>54</v>
      </c>
      <c r="AH69" s="21">
        <v>52</v>
      </c>
      <c r="AI69" s="21">
        <v>23</v>
      </c>
      <c r="AJ69" s="21">
        <v>14</v>
      </c>
      <c r="AK69" s="21">
        <v>66</v>
      </c>
      <c r="AL69" s="21">
        <v>38</v>
      </c>
      <c r="AM69" s="21">
        <v>56</v>
      </c>
      <c r="AN69" s="21">
        <v>47</v>
      </c>
      <c r="AO69" s="21">
        <v>41</v>
      </c>
      <c r="AP69" s="21">
        <v>21</v>
      </c>
      <c r="AQ69" s="21">
        <v>20</v>
      </c>
      <c r="AR69" s="21">
        <v>21</v>
      </c>
      <c r="AS69" s="21">
        <v>55</v>
      </c>
      <c r="AT69" s="21">
        <v>40</v>
      </c>
      <c r="AU69" s="21">
        <v>44</v>
      </c>
      <c r="AV69" s="21">
        <v>45</v>
      </c>
      <c r="AW69" s="21">
        <v>24</v>
      </c>
      <c r="AX69" s="21">
        <v>20</v>
      </c>
      <c r="AY69" s="21">
        <v>18</v>
      </c>
      <c r="AZ69" s="21">
        <v>37</v>
      </c>
      <c r="BA69" s="21">
        <v>43</v>
      </c>
      <c r="BB69" s="21">
        <v>43</v>
      </c>
      <c r="BC69" s="21">
        <v>33</v>
      </c>
      <c r="BD69" s="21">
        <v>20</v>
      </c>
      <c r="BE69" s="21">
        <v>11</v>
      </c>
      <c r="BF69" s="21">
        <v>33</v>
      </c>
      <c r="BG69" s="21">
        <v>32</v>
      </c>
      <c r="BH69" s="21">
        <v>23</v>
      </c>
      <c r="BI69" s="21">
        <v>22</v>
      </c>
      <c r="BJ69" s="21">
        <v>16</v>
      </c>
      <c r="BK69" s="21">
        <v>9</v>
      </c>
      <c r="BL69" s="21">
        <v>3</v>
      </c>
      <c r="BM69" s="21">
        <v>42</v>
      </c>
      <c r="BN69" s="21">
        <v>17</v>
      </c>
      <c r="BO69" s="21">
        <v>35</v>
      </c>
      <c r="BP69" s="21">
        <v>23</v>
      </c>
      <c r="BQ69" s="21">
        <v>21</v>
      </c>
      <c r="BR69" s="21">
        <v>8</v>
      </c>
      <c r="BS69" s="21">
        <v>6</v>
      </c>
      <c r="BT69" s="21">
        <v>21</v>
      </c>
      <c r="BU69" s="21">
        <v>19</v>
      </c>
      <c r="BV69" s="21">
        <v>25</v>
      </c>
      <c r="BW69" s="21">
        <v>26</v>
      </c>
      <c r="BX69" s="21">
        <v>23</v>
      </c>
      <c r="BY69" s="21">
        <v>8</v>
      </c>
      <c r="BZ69" s="21">
        <v>14</v>
      </c>
      <c r="CA69" s="21">
        <v>46</v>
      </c>
      <c r="CB69" s="21">
        <v>25</v>
      </c>
      <c r="CC69" s="21">
        <v>47</v>
      </c>
      <c r="CD69" s="21">
        <v>18</v>
      </c>
      <c r="CE69" s="21">
        <v>25</v>
      </c>
      <c r="CF69" s="21">
        <v>11</v>
      </c>
      <c r="CG69" s="21">
        <v>8</v>
      </c>
      <c r="CH69" s="21">
        <v>14</v>
      </c>
      <c r="CI69" s="21">
        <v>40</v>
      </c>
      <c r="CM69" s="78"/>
      <c r="CN69" s="78"/>
      <c r="CO69" s="78"/>
    </row>
    <row r="70" spans="2:93" ht="20.399999999999999" customHeight="1" x14ac:dyDescent="0.3">
      <c r="B70" s="75"/>
      <c r="E70" s="38" t="s">
        <v>20</v>
      </c>
      <c r="F70" s="39">
        <f>F71+F72</f>
        <v>515</v>
      </c>
      <c r="G70" s="39">
        <f t="shared" ref="G70:CL70" si="57">G71+G72</f>
        <v>424</v>
      </c>
      <c r="H70" s="39">
        <f t="shared" si="57"/>
        <v>438</v>
      </c>
      <c r="I70" s="39">
        <f t="shared" si="57"/>
        <v>626</v>
      </c>
      <c r="J70" s="39">
        <f t="shared" si="57"/>
        <v>976</v>
      </c>
      <c r="K70" s="39">
        <f t="shared" si="57"/>
        <v>952</v>
      </c>
      <c r="L70" s="39">
        <f t="shared" si="57"/>
        <v>962</v>
      </c>
      <c r="M70" s="39">
        <f t="shared" si="57"/>
        <v>948</v>
      </c>
      <c r="N70" s="39">
        <f t="shared" si="57"/>
        <v>770</v>
      </c>
      <c r="O70" s="39">
        <f t="shared" si="57"/>
        <v>494</v>
      </c>
      <c r="P70" s="39">
        <f t="shared" si="57"/>
        <v>1128</v>
      </c>
      <c r="Q70" s="39">
        <f t="shared" si="57"/>
        <v>873</v>
      </c>
      <c r="R70" s="39">
        <f t="shared" si="57"/>
        <v>982</v>
      </c>
      <c r="S70" s="39">
        <f t="shared" si="57"/>
        <v>748</v>
      </c>
      <c r="T70" s="39">
        <f t="shared" si="57"/>
        <v>733</v>
      </c>
      <c r="U70" s="39">
        <f t="shared" si="57"/>
        <v>455</v>
      </c>
      <c r="V70" s="39">
        <f t="shared" si="57"/>
        <v>256</v>
      </c>
      <c r="W70" s="39">
        <f t="shared" si="57"/>
        <v>500</v>
      </c>
      <c r="X70" s="39">
        <f t="shared" si="57"/>
        <v>480</v>
      </c>
      <c r="Y70" s="39">
        <f t="shared" si="57"/>
        <v>500</v>
      </c>
      <c r="Z70" s="39">
        <f t="shared" si="57"/>
        <v>463</v>
      </c>
      <c r="AA70" s="39">
        <f t="shared" si="57"/>
        <v>365</v>
      </c>
      <c r="AB70" s="39">
        <f t="shared" si="57"/>
        <v>256</v>
      </c>
      <c r="AC70" s="39">
        <f t="shared" si="57"/>
        <v>213</v>
      </c>
      <c r="AD70" s="39">
        <f t="shared" si="57"/>
        <v>473</v>
      </c>
      <c r="AE70" s="39">
        <f t="shared" si="57"/>
        <v>454</v>
      </c>
      <c r="AF70" s="39">
        <f t="shared" si="57"/>
        <v>441</v>
      </c>
      <c r="AG70" s="39">
        <f t="shared" si="57"/>
        <v>366</v>
      </c>
      <c r="AH70" s="39">
        <f t="shared" si="57"/>
        <v>341</v>
      </c>
      <c r="AI70" s="39">
        <f t="shared" si="57"/>
        <v>326</v>
      </c>
      <c r="AJ70" s="39">
        <f t="shared" si="57"/>
        <v>268</v>
      </c>
      <c r="AK70" s="39">
        <f t="shared" si="57"/>
        <v>757</v>
      </c>
      <c r="AL70" s="39">
        <f t="shared" si="57"/>
        <v>541</v>
      </c>
      <c r="AM70" s="39">
        <f t="shared" si="57"/>
        <v>519</v>
      </c>
      <c r="AN70" s="39">
        <f t="shared" si="57"/>
        <v>634</v>
      </c>
      <c r="AO70" s="39">
        <f t="shared" si="57"/>
        <v>613</v>
      </c>
      <c r="AP70" s="39">
        <f t="shared" si="57"/>
        <v>392</v>
      </c>
      <c r="AQ70" s="39">
        <f t="shared" si="57"/>
        <v>222</v>
      </c>
      <c r="AR70" s="39">
        <f t="shared" si="57"/>
        <v>132</v>
      </c>
      <c r="AS70" s="39">
        <f t="shared" si="57"/>
        <v>495</v>
      </c>
      <c r="AT70" s="39">
        <f t="shared" si="57"/>
        <v>377</v>
      </c>
      <c r="AU70" s="39">
        <f t="shared" si="57"/>
        <v>327</v>
      </c>
      <c r="AV70" s="39">
        <f t="shared" si="57"/>
        <v>320</v>
      </c>
      <c r="AW70" s="39">
        <f t="shared" si="57"/>
        <v>218</v>
      </c>
      <c r="AX70" s="39">
        <f t="shared" si="57"/>
        <v>125</v>
      </c>
      <c r="AY70" s="39">
        <f t="shared" si="57"/>
        <v>89</v>
      </c>
      <c r="AZ70" s="39">
        <f t="shared" si="57"/>
        <v>386</v>
      </c>
      <c r="BA70" s="39">
        <f t="shared" si="57"/>
        <v>373</v>
      </c>
      <c r="BB70" s="39">
        <f t="shared" si="57"/>
        <v>255</v>
      </c>
      <c r="BC70" s="39">
        <f t="shared" si="57"/>
        <v>245</v>
      </c>
      <c r="BD70" s="39">
        <f t="shared" si="57"/>
        <v>149</v>
      </c>
      <c r="BE70" s="39">
        <f t="shared" si="57"/>
        <v>145</v>
      </c>
      <c r="BF70" s="39">
        <f t="shared" si="57"/>
        <v>290</v>
      </c>
      <c r="BG70" s="39">
        <f t="shared" si="57"/>
        <v>265</v>
      </c>
      <c r="BH70" s="39">
        <f t="shared" si="57"/>
        <v>235</v>
      </c>
      <c r="BI70" s="39">
        <f t="shared" si="57"/>
        <v>217</v>
      </c>
      <c r="BJ70" s="39">
        <f t="shared" si="57"/>
        <v>190</v>
      </c>
      <c r="BK70" s="39">
        <f t="shared" si="57"/>
        <v>135</v>
      </c>
      <c r="BL70" s="39">
        <f t="shared" si="57"/>
        <v>105</v>
      </c>
      <c r="BM70" s="39">
        <f t="shared" si="57"/>
        <v>223</v>
      </c>
      <c r="BN70" s="39">
        <f t="shared" si="57"/>
        <v>280</v>
      </c>
      <c r="BO70" s="39">
        <f t="shared" si="57"/>
        <v>251</v>
      </c>
      <c r="BP70" s="39">
        <f t="shared" si="57"/>
        <v>251</v>
      </c>
      <c r="BQ70" s="39">
        <f t="shared" si="57"/>
        <v>250</v>
      </c>
      <c r="BR70" s="39">
        <f t="shared" si="57"/>
        <v>151</v>
      </c>
      <c r="BS70" s="39">
        <f t="shared" si="57"/>
        <v>75</v>
      </c>
      <c r="BT70" s="39">
        <f t="shared" si="57"/>
        <v>210</v>
      </c>
      <c r="BU70" s="39">
        <f t="shared" si="57"/>
        <v>224</v>
      </c>
      <c r="BV70" s="39">
        <f t="shared" si="57"/>
        <v>161</v>
      </c>
      <c r="BW70" s="39">
        <f t="shared" si="57"/>
        <v>174</v>
      </c>
      <c r="BX70" s="39">
        <f t="shared" si="57"/>
        <v>151</v>
      </c>
      <c r="BY70" s="39">
        <f t="shared" si="57"/>
        <v>129</v>
      </c>
      <c r="BZ70" s="39">
        <f t="shared" si="57"/>
        <v>62</v>
      </c>
      <c r="CA70" s="39">
        <f t="shared" si="57"/>
        <v>322</v>
      </c>
      <c r="CB70" s="39">
        <f t="shared" si="57"/>
        <v>198</v>
      </c>
      <c r="CC70" s="39">
        <f t="shared" si="57"/>
        <v>154</v>
      </c>
      <c r="CD70" s="39">
        <f t="shared" si="57"/>
        <v>166</v>
      </c>
      <c r="CE70" s="39">
        <f t="shared" si="57"/>
        <v>139</v>
      </c>
      <c r="CF70" s="39">
        <f t="shared" si="57"/>
        <v>110</v>
      </c>
      <c r="CG70" s="39">
        <f t="shared" si="57"/>
        <v>66</v>
      </c>
      <c r="CH70" s="39">
        <f t="shared" si="57"/>
        <v>134</v>
      </c>
      <c r="CI70" s="39">
        <f t="shared" si="57"/>
        <v>104</v>
      </c>
      <c r="CJ70" s="39">
        <f t="shared" si="57"/>
        <v>0</v>
      </c>
      <c r="CK70" s="39">
        <f t="shared" si="57"/>
        <v>0</v>
      </c>
      <c r="CL70" s="39">
        <f t="shared" si="57"/>
        <v>0</v>
      </c>
      <c r="CM70" s="78"/>
      <c r="CN70" s="78"/>
      <c r="CO70" s="78"/>
    </row>
    <row r="71" spans="2:93" outlineLevel="1" x14ac:dyDescent="0.3">
      <c r="B71" s="75"/>
      <c r="E71" s="40" t="s">
        <v>21</v>
      </c>
      <c r="F71" s="22">
        <v>298</v>
      </c>
      <c r="G71" s="22">
        <v>231</v>
      </c>
      <c r="H71" s="22">
        <v>266</v>
      </c>
      <c r="I71" s="22">
        <v>364</v>
      </c>
      <c r="J71" s="22">
        <v>526</v>
      </c>
      <c r="K71" s="22">
        <v>630</v>
      </c>
      <c r="L71" s="22">
        <v>698</v>
      </c>
      <c r="M71" s="22">
        <v>655</v>
      </c>
      <c r="N71" s="22">
        <v>519</v>
      </c>
      <c r="O71" s="22">
        <v>369</v>
      </c>
      <c r="P71" s="22">
        <v>792</v>
      </c>
      <c r="Q71" s="22">
        <v>439</v>
      </c>
      <c r="R71" s="22">
        <v>634</v>
      </c>
      <c r="S71" s="22">
        <v>340</v>
      </c>
      <c r="T71" s="22">
        <v>478</v>
      </c>
      <c r="U71" s="22">
        <v>299</v>
      </c>
      <c r="V71" s="22">
        <v>179</v>
      </c>
      <c r="W71" s="22">
        <v>280</v>
      </c>
      <c r="X71" s="22">
        <v>275</v>
      </c>
      <c r="Y71" s="22">
        <v>325</v>
      </c>
      <c r="Z71" s="22">
        <v>325</v>
      </c>
      <c r="AA71" s="22">
        <v>238</v>
      </c>
      <c r="AB71" s="22">
        <v>181</v>
      </c>
      <c r="AC71" s="22">
        <v>154</v>
      </c>
      <c r="AD71" s="22">
        <v>301</v>
      </c>
      <c r="AE71" s="22">
        <v>291</v>
      </c>
      <c r="AF71" s="22">
        <v>293</v>
      </c>
      <c r="AG71" s="22">
        <v>233</v>
      </c>
      <c r="AH71" s="22">
        <v>226</v>
      </c>
      <c r="AI71" s="22">
        <v>227</v>
      </c>
      <c r="AJ71" s="22">
        <v>187</v>
      </c>
      <c r="AK71" s="22">
        <v>439</v>
      </c>
      <c r="AL71" s="22">
        <v>335</v>
      </c>
      <c r="AM71" s="22">
        <v>347</v>
      </c>
      <c r="AN71" s="22">
        <v>456</v>
      </c>
      <c r="AO71" s="22">
        <v>403</v>
      </c>
      <c r="AP71" s="22">
        <v>256</v>
      </c>
      <c r="AQ71" s="22">
        <v>141</v>
      </c>
      <c r="AR71" s="22">
        <v>132</v>
      </c>
      <c r="AS71" s="22">
        <v>342</v>
      </c>
      <c r="AT71" s="22">
        <v>238</v>
      </c>
      <c r="AU71" s="22">
        <v>227</v>
      </c>
      <c r="AV71" s="22">
        <v>207</v>
      </c>
      <c r="AW71" s="22">
        <v>155</v>
      </c>
      <c r="AX71" s="22">
        <v>78</v>
      </c>
      <c r="AY71" s="22">
        <v>89</v>
      </c>
      <c r="AZ71" s="22">
        <v>253</v>
      </c>
      <c r="BA71" s="22">
        <v>222</v>
      </c>
      <c r="BB71" s="22">
        <v>147</v>
      </c>
      <c r="BC71" s="22">
        <v>149</v>
      </c>
      <c r="BD71" s="22">
        <v>92</v>
      </c>
      <c r="BE71" s="22">
        <v>96</v>
      </c>
      <c r="BF71" s="22">
        <v>161</v>
      </c>
      <c r="BG71" s="22">
        <v>169</v>
      </c>
      <c r="BH71" s="22">
        <v>149</v>
      </c>
      <c r="BI71" s="22">
        <v>133</v>
      </c>
      <c r="BJ71" s="22">
        <v>110</v>
      </c>
      <c r="BK71" s="22">
        <v>84</v>
      </c>
      <c r="BL71" s="22">
        <v>83</v>
      </c>
      <c r="BM71" s="22">
        <v>128</v>
      </c>
      <c r="BN71" s="22">
        <v>140</v>
      </c>
      <c r="BO71" s="22">
        <v>137</v>
      </c>
      <c r="BP71" s="22">
        <v>142</v>
      </c>
      <c r="BQ71" s="22">
        <v>113</v>
      </c>
      <c r="BR71" s="22">
        <v>87</v>
      </c>
      <c r="BS71" s="22">
        <v>51</v>
      </c>
      <c r="BT71" s="22">
        <v>115</v>
      </c>
      <c r="BU71" s="22">
        <v>123</v>
      </c>
      <c r="BV71" s="22">
        <v>94</v>
      </c>
      <c r="BW71" s="22">
        <v>101</v>
      </c>
      <c r="BX71" s="22">
        <v>89</v>
      </c>
      <c r="BY71" s="22">
        <v>77</v>
      </c>
      <c r="BZ71" s="22">
        <v>51</v>
      </c>
      <c r="CA71" s="22">
        <v>106</v>
      </c>
      <c r="CB71" s="22">
        <v>118</v>
      </c>
      <c r="CC71" s="22">
        <v>102</v>
      </c>
      <c r="CD71" s="22">
        <v>113</v>
      </c>
      <c r="CE71" s="22">
        <v>72</v>
      </c>
      <c r="CF71" s="22">
        <v>67</v>
      </c>
      <c r="CG71" s="22">
        <v>53</v>
      </c>
      <c r="CH71" s="22">
        <v>67</v>
      </c>
      <c r="CI71" s="22">
        <v>104</v>
      </c>
      <c r="CJ71" s="22"/>
      <c r="CK71" s="22"/>
      <c r="CL71" s="22"/>
    </row>
    <row r="72" spans="2:93" outlineLevel="1" x14ac:dyDescent="0.3">
      <c r="B72" s="75"/>
      <c r="E72" s="41" t="s">
        <v>23</v>
      </c>
      <c r="F72" s="42">
        <v>217</v>
      </c>
      <c r="G72" s="42">
        <v>193</v>
      </c>
      <c r="H72" s="42">
        <v>172</v>
      </c>
      <c r="I72" s="42">
        <v>262</v>
      </c>
      <c r="J72" s="42">
        <v>450</v>
      </c>
      <c r="K72" s="42">
        <v>322</v>
      </c>
      <c r="L72" s="42">
        <v>264</v>
      </c>
      <c r="M72" s="42">
        <v>293</v>
      </c>
      <c r="N72" s="42">
        <v>251</v>
      </c>
      <c r="O72" s="42">
        <v>125</v>
      </c>
      <c r="P72" s="42">
        <v>336</v>
      </c>
      <c r="Q72" s="42">
        <v>434</v>
      </c>
      <c r="R72" s="42">
        <v>348</v>
      </c>
      <c r="S72" s="42">
        <v>408</v>
      </c>
      <c r="T72" s="42">
        <v>255</v>
      </c>
      <c r="U72" s="42">
        <v>156</v>
      </c>
      <c r="V72" s="42">
        <v>77</v>
      </c>
      <c r="W72" s="42">
        <v>220</v>
      </c>
      <c r="X72" s="42">
        <v>205</v>
      </c>
      <c r="Y72" s="42">
        <v>175</v>
      </c>
      <c r="Z72" s="42">
        <v>138</v>
      </c>
      <c r="AA72" s="42">
        <v>127</v>
      </c>
      <c r="AB72" s="42">
        <v>75</v>
      </c>
      <c r="AC72" s="42">
        <v>59</v>
      </c>
      <c r="AD72" s="42">
        <v>172</v>
      </c>
      <c r="AE72" s="42">
        <v>163</v>
      </c>
      <c r="AF72" s="42">
        <v>148</v>
      </c>
      <c r="AG72" s="42">
        <v>133</v>
      </c>
      <c r="AH72" s="42">
        <v>115</v>
      </c>
      <c r="AI72" s="42">
        <v>99</v>
      </c>
      <c r="AJ72" s="42">
        <v>81</v>
      </c>
      <c r="AK72" s="42">
        <v>318</v>
      </c>
      <c r="AL72" s="42">
        <v>206</v>
      </c>
      <c r="AM72" s="42">
        <v>172</v>
      </c>
      <c r="AN72" s="42">
        <v>178</v>
      </c>
      <c r="AO72" s="42">
        <v>210</v>
      </c>
      <c r="AP72" s="42">
        <v>136</v>
      </c>
      <c r="AQ72" s="42">
        <v>81</v>
      </c>
      <c r="AR72" s="42">
        <v>0</v>
      </c>
      <c r="AS72" s="42">
        <v>153</v>
      </c>
      <c r="AT72" s="42">
        <v>139</v>
      </c>
      <c r="AU72" s="42">
        <v>100</v>
      </c>
      <c r="AV72" s="42">
        <v>113</v>
      </c>
      <c r="AW72" s="42">
        <v>63</v>
      </c>
      <c r="AX72" s="42">
        <v>47</v>
      </c>
      <c r="AY72" s="42">
        <v>0</v>
      </c>
      <c r="AZ72" s="42">
        <v>133</v>
      </c>
      <c r="BA72" s="42">
        <v>151</v>
      </c>
      <c r="BB72" s="42">
        <v>108</v>
      </c>
      <c r="BC72" s="42">
        <v>96</v>
      </c>
      <c r="BD72" s="42">
        <v>57</v>
      </c>
      <c r="BE72" s="42">
        <v>49</v>
      </c>
      <c r="BF72" s="42">
        <v>129</v>
      </c>
      <c r="BG72" s="42">
        <v>96</v>
      </c>
      <c r="BH72" s="42">
        <v>86</v>
      </c>
      <c r="BI72" s="42">
        <v>84</v>
      </c>
      <c r="BJ72" s="42">
        <v>80</v>
      </c>
      <c r="BK72" s="42">
        <v>51</v>
      </c>
      <c r="BL72" s="42">
        <v>22</v>
      </c>
      <c r="BM72" s="42">
        <v>95</v>
      </c>
      <c r="BN72" s="42">
        <v>140</v>
      </c>
      <c r="BO72" s="42">
        <v>114</v>
      </c>
      <c r="BP72" s="42">
        <v>109</v>
      </c>
      <c r="BQ72" s="42">
        <v>137</v>
      </c>
      <c r="BR72" s="42">
        <v>64</v>
      </c>
      <c r="BS72" s="42">
        <v>24</v>
      </c>
      <c r="BT72" s="42">
        <v>95</v>
      </c>
      <c r="BU72" s="42">
        <v>101</v>
      </c>
      <c r="BV72" s="42">
        <v>67</v>
      </c>
      <c r="BW72" s="42">
        <v>73</v>
      </c>
      <c r="BX72" s="42">
        <v>62</v>
      </c>
      <c r="BY72" s="42">
        <v>52</v>
      </c>
      <c r="BZ72" s="42">
        <v>11</v>
      </c>
      <c r="CA72" s="42">
        <v>216</v>
      </c>
      <c r="CB72" s="42">
        <v>80</v>
      </c>
      <c r="CC72" s="42">
        <v>52</v>
      </c>
      <c r="CD72" s="42">
        <v>53</v>
      </c>
      <c r="CE72" s="42">
        <v>67</v>
      </c>
      <c r="CF72" s="42">
        <v>43</v>
      </c>
      <c r="CG72" s="42">
        <v>13</v>
      </c>
      <c r="CH72" s="42">
        <v>67</v>
      </c>
      <c r="CI72" s="42"/>
      <c r="CJ72" s="42"/>
      <c r="CK72" s="42"/>
      <c r="CL72" s="42"/>
    </row>
    <row r="73" spans="2:93" x14ac:dyDescent="0.3">
      <c r="B73" s="75"/>
      <c r="F73" s="34"/>
      <c r="G73" s="34"/>
      <c r="H73" s="34"/>
    </row>
    <row r="97" spans="1:92" x14ac:dyDescent="0.3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</row>
    <row r="98" spans="1:92" x14ac:dyDescent="0.3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</row>
    <row r="100" spans="1:92" x14ac:dyDescent="0.3">
      <c r="B100" s="75" t="s">
        <v>15</v>
      </c>
    </row>
    <row r="101" spans="1:92" x14ac:dyDescent="0.3">
      <c r="B101" s="75"/>
    </row>
    <row r="102" spans="1:92" x14ac:dyDescent="0.3">
      <c r="B102" s="75"/>
      <c r="F102" s="79" t="s">
        <v>0</v>
      </c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1"/>
    </row>
    <row r="103" spans="1:92" x14ac:dyDescent="0.3">
      <c r="B103" s="75"/>
      <c r="E103" s="1"/>
      <c r="F103" s="14">
        <f t="shared" ref="F103:BQ103" si="58">F104</f>
        <v>45247</v>
      </c>
      <c r="G103" s="14">
        <f t="shared" si="58"/>
        <v>45248</v>
      </c>
      <c r="H103" s="14">
        <f t="shared" si="58"/>
        <v>45249</v>
      </c>
      <c r="I103" s="14">
        <f t="shared" si="58"/>
        <v>45250</v>
      </c>
      <c r="J103" s="14">
        <f t="shared" si="58"/>
        <v>45251</v>
      </c>
      <c r="K103" s="14">
        <f t="shared" si="58"/>
        <v>45252</v>
      </c>
      <c r="L103" s="14">
        <f t="shared" si="58"/>
        <v>45253</v>
      </c>
      <c r="M103" s="14">
        <f t="shared" si="58"/>
        <v>45254</v>
      </c>
      <c r="N103" s="14">
        <f t="shared" si="58"/>
        <v>45255</v>
      </c>
      <c r="O103" s="14">
        <f t="shared" si="58"/>
        <v>45256</v>
      </c>
      <c r="P103" s="14">
        <f t="shared" si="58"/>
        <v>45257</v>
      </c>
      <c r="Q103" s="14">
        <f t="shared" si="58"/>
        <v>45258</v>
      </c>
      <c r="R103" s="14">
        <f t="shared" si="58"/>
        <v>45259</v>
      </c>
      <c r="S103" s="14">
        <f t="shared" si="58"/>
        <v>45260</v>
      </c>
      <c r="T103" s="14">
        <f t="shared" si="58"/>
        <v>45261</v>
      </c>
      <c r="U103" s="14">
        <f t="shared" si="58"/>
        <v>45262</v>
      </c>
      <c r="V103" s="14">
        <f t="shared" si="58"/>
        <v>45263</v>
      </c>
      <c r="W103" s="14">
        <f t="shared" si="58"/>
        <v>45264</v>
      </c>
      <c r="X103" s="14">
        <f t="shared" si="58"/>
        <v>45265</v>
      </c>
      <c r="Y103" s="14">
        <f t="shared" si="58"/>
        <v>45266</v>
      </c>
      <c r="Z103" s="14">
        <f t="shared" si="58"/>
        <v>45267</v>
      </c>
      <c r="AA103" s="14">
        <f t="shared" si="58"/>
        <v>45268</v>
      </c>
      <c r="AB103" s="14">
        <f t="shared" si="58"/>
        <v>45269</v>
      </c>
      <c r="AC103" s="14">
        <f t="shared" si="58"/>
        <v>45270</v>
      </c>
      <c r="AD103" s="14">
        <f t="shared" si="58"/>
        <v>45271</v>
      </c>
      <c r="AE103" s="14">
        <f t="shared" si="58"/>
        <v>45272</v>
      </c>
      <c r="AF103" s="14">
        <f t="shared" si="58"/>
        <v>45273</v>
      </c>
      <c r="AG103" s="14">
        <f t="shared" si="58"/>
        <v>45274</v>
      </c>
      <c r="AH103" s="14">
        <f t="shared" si="58"/>
        <v>45275</v>
      </c>
      <c r="AI103" s="14">
        <f t="shared" si="58"/>
        <v>45276</v>
      </c>
      <c r="AJ103" s="14">
        <f t="shared" si="58"/>
        <v>45277</v>
      </c>
      <c r="AK103" s="14">
        <f t="shared" si="58"/>
        <v>45278</v>
      </c>
      <c r="AL103" s="14">
        <f t="shared" si="58"/>
        <v>45279</v>
      </c>
      <c r="AM103" s="14">
        <f t="shared" si="58"/>
        <v>45280</v>
      </c>
      <c r="AN103" s="14">
        <f t="shared" si="58"/>
        <v>45281</v>
      </c>
      <c r="AO103" s="14">
        <f t="shared" si="58"/>
        <v>45282</v>
      </c>
      <c r="AP103" s="14">
        <f t="shared" si="58"/>
        <v>45283</v>
      </c>
      <c r="AQ103" s="14">
        <f t="shared" si="58"/>
        <v>45284</v>
      </c>
      <c r="AR103" s="14">
        <f t="shared" si="58"/>
        <v>45285</v>
      </c>
      <c r="AS103" s="14">
        <f t="shared" si="58"/>
        <v>45286</v>
      </c>
      <c r="AT103" s="14">
        <f t="shared" si="58"/>
        <v>45287</v>
      </c>
      <c r="AU103" s="14">
        <f t="shared" si="58"/>
        <v>45288</v>
      </c>
      <c r="AV103" s="14">
        <f t="shared" si="58"/>
        <v>45289</v>
      </c>
      <c r="AW103" s="14">
        <f t="shared" si="58"/>
        <v>45290</v>
      </c>
      <c r="AX103" s="14">
        <f t="shared" si="58"/>
        <v>45291</v>
      </c>
      <c r="AY103" s="14">
        <f t="shared" si="58"/>
        <v>45292</v>
      </c>
      <c r="AZ103" s="14">
        <f t="shared" si="58"/>
        <v>45293</v>
      </c>
      <c r="BA103" s="14">
        <f t="shared" si="58"/>
        <v>45294</v>
      </c>
      <c r="BB103" s="14">
        <f t="shared" si="58"/>
        <v>45295</v>
      </c>
      <c r="BC103" s="14">
        <f t="shared" si="58"/>
        <v>45296</v>
      </c>
      <c r="BD103" s="14">
        <f t="shared" si="58"/>
        <v>45297</v>
      </c>
      <c r="BE103" s="14">
        <f t="shared" si="58"/>
        <v>45298</v>
      </c>
      <c r="BF103" s="14">
        <f t="shared" si="58"/>
        <v>45299</v>
      </c>
      <c r="BG103" s="14">
        <f t="shared" si="58"/>
        <v>45300</v>
      </c>
      <c r="BH103" s="14">
        <f t="shared" si="58"/>
        <v>45301</v>
      </c>
      <c r="BI103" s="14">
        <f t="shared" si="58"/>
        <v>45302</v>
      </c>
      <c r="BJ103" s="14">
        <f t="shared" si="58"/>
        <v>45303</v>
      </c>
      <c r="BK103" s="14">
        <f t="shared" si="58"/>
        <v>45304</v>
      </c>
      <c r="BL103" s="14">
        <f t="shared" si="58"/>
        <v>45305</v>
      </c>
      <c r="BM103" s="14">
        <f t="shared" si="58"/>
        <v>45306</v>
      </c>
      <c r="BN103" s="14">
        <f t="shared" si="58"/>
        <v>45307</v>
      </c>
      <c r="BO103" s="14">
        <f t="shared" si="58"/>
        <v>45308</v>
      </c>
      <c r="BP103" s="14">
        <f t="shared" si="58"/>
        <v>45309</v>
      </c>
      <c r="BQ103" s="14">
        <f t="shared" si="58"/>
        <v>45310</v>
      </c>
      <c r="BR103" s="14">
        <f t="shared" ref="BR103:CL103" si="59">BR104</f>
        <v>45311</v>
      </c>
      <c r="BS103" s="14">
        <f t="shared" si="59"/>
        <v>45312</v>
      </c>
      <c r="BT103" s="14">
        <f t="shared" si="59"/>
        <v>45313</v>
      </c>
      <c r="BU103" s="14">
        <f t="shared" si="59"/>
        <v>45314</v>
      </c>
      <c r="BV103" s="14">
        <f t="shared" si="59"/>
        <v>45315</v>
      </c>
      <c r="BW103" s="14">
        <f t="shared" si="59"/>
        <v>45316</v>
      </c>
      <c r="BX103" s="14">
        <f t="shared" si="59"/>
        <v>45317</v>
      </c>
      <c r="BY103" s="14">
        <f t="shared" si="59"/>
        <v>45318</v>
      </c>
      <c r="BZ103" s="14">
        <f t="shared" si="59"/>
        <v>45319</v>
      </c>
      <c r="CA103" s="14">
        <f t="shared" si="59"/>
        <v>45320</v>
      </c>
      <c r="CB103" s="14">
        <f t="shared" si="59"/>
        <v>45321</v>
      </c>
      <c r="CC103" s="14">
        <f t="shared" si="59"/>
        <v>45322</v>
      </c>
      <c r="CD103" s="14">
        <f t="shared" si="59"/>
        <v>45323</v>
      </c>
      <c r="CE103" s="14">
        <f t="shared" si="59"/>
        <v>45324</v>
      </c>
      <c r="CF103" s="14">
        <f t="shared" si="59"/>
        <v>45325</v>
      </c>
      <c r="CG103" s="14">
        <f t="shared" si="59"/>
        <v>45326</v>
      </c>
      <c r="CH103" s="14">
        <f t="shared" si="59"/>
        <v>45327</v>
      </c>
      <c r="CI103" s="14">
        <f t="shared" si="59"/>
        <v>45328</v>
      </c>
      <c r="CJ103" s="14">
        <f t="shared" si="59"/>
        <v>45329</v>
      </c>
      <c r="CK103" s="14">
        <f t="shared" si="59"/>
        <v>45330</v>
      </c>
      <c r="CL103" s="14">
        <f t="shared" si="59"/>
        <v>45331</v>
      </c>
    </row>
    <row r="104" spans="1:92" x14ac:dyDescent="0.3">
      <c r="B104" s="75"/>
      <c r="E104" s="1"/>
      <c r="F104" s="19">
        <v>45247</v>
      </c>
      <c r="G104" s="19">
        <f t="shared" ref="G104:BR104" si="60">F104+1</f>
        <v>45248</v>
      </c>
      <c r="H104" s="19">
        <f t="shared" si="60"/>
        <v>45249</v>
      </c>
      <c r="I104" s="19">
        <f t="shared" si="60"/>
        <v>45250</v>
      </c>
      <c r="J104" s="19">
        <f t="shared" si="60"/>
        <v>45251</v>
      </c>
      <c r="K104" s="19">
        <f t="shared" si="60"/>
        <v>45252</v>
      </c>
      <c r="L104" s="19">
        <f t="shared" si="60"/>
        <v>45253</v>
      </c>
      <c r="M104" s="19">
        <f t="shared" si="60"/>
        <v>45254</v>
      </c>
      <c r="N104" s="19">
        <f t="shared" si="60"/>
        <v>45255</v>
      </c>
      <c r="O104" s="19">
        <f t="shared" si="60"/>
        <v>45256</v>
      </c>
      <c r="P104" s="19">
        <f t="shared" si="60"/>
        <v>45257</v>
      </c>
      <c r="Q104" s="19">
        <f t="shared" si="60"/>
        <v>45258</v>
      </c>
      <c r="R104" s="19">
        <f t="shared" si="60"/>
        <v>45259</v>
      </c>
      <c r="S104" s="19">
        <f t="shared" si="60"/>
        <v>45260</v>
      </c>
      <c r="T104" s="19">
        <f t="shared" si="60"/>
        <v>45261</v>
      </c>
      <c r="U104" s="19">
        <f t="shared" si="60"/>
        <v>45262</v>
      </c>
      <c r="V104" s="19">
        <f t="shared" si="60"/>
        <v>45263</v>
      </c>
      <c r="W104" s="19">
        <f t="shared" si="60"/>
        <v>45264</v>
      </c>
      <c r="X104" s="19">
        <f t="shared" si="60"/>
        <v>45265</v>
      </c>
      <c r="Y104" s="19">
        <f t="shared" si="60"/>
        <v>45266</v>
      </c>
      <c r="Z104" s="19">
        <f t="shared" si="60"/>
        <v>45267</v>
      </c>
      <c r="AA104" s="19">
        <f t="shared" si="60"/>
        <v>45268</v>
      </c>
      <c r="AB104" s="19">
        <f t="shared" si="60"/>
        <v>45269</v>
      </c>
      <c r="AC104" s="19">
        <f t="shared" si="60"/>
        <v>45270</v>
      </c>
      <c r="AD104" s="19">
        <f t="shared" si="60"/>
        <v>45271</v>
      </c>
      <c r="AE104" s="19">
        <f t="shared" si="60"/>
        <v>45272</v>
      </c>
      <c r="AF104" s="19">
        <f t="shared" si="60"/>
        <v>45273</v>
      </c>
      <c r="AG104" s="19">
        <f t="shared" si="60"/>
        <v>45274</v>
      </c>
      <c r="AH104" s="19">
        <f t="shared" si="60"/>
        <v>45275</v>
      </c>
      <c r="AI104" s="19">
        <f t="shared" si="60"/>
        <v>45276</v>
      </c>
      <c r="AJ104" s="19">
        <f t="shared" si="60"/>
        <v>45277</v>
      </c>
      <c r="AK104" s="19">
        <f t="shared" si="60"/>
        <v>45278</v>
      </c>
      <c r="AL104" s="19">
        <f t="shared" si="60"/>
        <v>45279</v>
      </c>
      <c r="AM104" s="19">
        <f t="shared" si="60"/>
        <v>45280</v>
      </c>
      <c r="AN104" s="19">
        <f t="shared" si="60"/>
        <v>45281</v>
      </c>
      <c r="AO104" s="19">
        <f t="shared" si="60"/>
        <v>45282</v>
      </c>
      <c r="AP104" s="19">
        <f t="shared" si="60"/>
        <v>45283</v>
      </c>
      <c r="AQ104" s="19">
        <f t="shared" si="60"/>
        <v>45284</v>
      </c>
      <c r="AR104" s="19">
        <f t="shared" si="60"/>
        <v>45285</v>
      </c>
      <c r="AS104" s="19">
        <f t="shared" si="60"/>
        <v>45286</v>
      </c>
      <c r="AT104" s="19">
        <f t="shared" si="60"/>
        <v>45287</v>
      </c>
      <c r="AU104" s="19">
        <f t="shared" si="60"/>
        <v>45288</v>
      </c>
      <c r="AV104" s="19">
        <f t="shared" si="60"/>
        <v>45289</v>
      </c>
      <c r="AW104" s="19">
        <f t="shared" si="60"/>
        <v>45290</v>
      </c>
      <c r="AX104" s="19">
        <f t="shared" si="60"/>
        <v>45291</v>
      </c>
      <c r="AY104" s="19">
        <f t="shared" si="60"/>
        <v>45292</v>
      </c>
      <c r="AZ104" s="19">
        <f t="shared" si="60"/>
        <v>45293</v>
      </c>
      <c r="BA104" s="19">
        <f t="shared" si="60"/>
        <v>45294</v>
      </c>
      <c r="BB104" s="19">
        <f t="shared" si="60"/>
        <v>45295</v>
      </c>
      <c r="BC104" s="19">
        <f t="shared" si="60"/>
        <v>45296</v>
      </c>
      <c r="BD104" s="19">
        <f t="shared" si="60"/>
        <v>45297</v>
      </c>
      <c r="BE104" s="19">
        <f t="shared" si="60"/>
        <v>45298</v>
      </c>
      <c r="BF104" s="19">
        <f t="shared" si="60"/>
        <v>45299</v>
      </c>
      <c r="BG104" s="19">
        <f t="shared" si="60"/>
        <v>45300</v>
      </c>
      <c r="BH104" s="19">
        <f t="shared" si="60"/>
        <v>45301</v>
      </c>
      <c r="BI104" s="19">
        <f t="shared" si="60"/>
        <v>45302</v>
      </c>
      <c r="BJ104" s="19">
        <f t="shared" si="60"/>
        <v>45303</v>
      </c>
      <c r="BK104" s="19">
        <f t="shared" si="60"/>
        <v>45304</v>
      </c>
      <c r="BL104" s="19">
        <f t="shared" si="60"/>
        <v>45305</v>
      </c>
      <c r="BM104" s="19">
        <f t="shared" si="60"/>
        <v>45306</v>
      </c>
      <c r="BN104" s="19">
        <f t="shared" si="60"/>
        <v>45307</v>
      </c>
      <c r="BO104" s="19">
        <f t="shared" si="60"/>
        <v>45308</v>
      </c>
      <c r="BP104" s="19">
        <f t="shared" si="60"/>
        <v>45309</v>
      </c>
      <c r="BQ104" s="19">
        <f t="shared" si="60"/>
        <v>45310</v>
      </c>
      <c r="BR104" s="19">
        <f t="shared" si="60"/>
        <v>45311</v>
      </c>
      <c r="BS104" s="19">
        <f t="shared" ref="BS104:CL104" si="61">BR104+1</f>
        <v>45312</v>
      </c>
      <c r="BT104" s="19">
        <f t="shared" si="61"/>
        <v>45313</v>
      </c>
      <c r="BU104" s="19">
        <f t="shared" si="61"/>
        <v>45314</v>
      </c>
      <c r="BV104" s="19">
        <f t="shared" si="61"/>
        <v>45315</v>
      </c>
      <c r="BW104" s="19">
        <f t="shared" si="61"/>
        <v>45316</v>
      </c>
      <c r="BX104" s="19">
        <f t="shared" si="61"/>
        <v>45317</v>
      </c>
      <c r="BY104" s="19">
        <f t="shared" si="61"/>
        <v>45318</v>
      </c>
      <c r="BZ104" s="19">
        <f t="shared" si="61"/>
        <v>45319</v>
      </c>
      <c r="CA104" s="19">
        <f t="shared" si="61"/>
        <v>45320</v>
      </c>
      <c r="CB104" s="19">
        <f t="shared" si="61"/>
        <v>45321</v>
      </c>
      <c r="CC104" s="19">
        <f t="shared" si="61"/>
        <v>45322</v>
      </c>
      <c r="CD104" s="19">
        <f t="shared" si="61"/>
        <v>45323</v>
      </c>
      <c r="CE104" s="19">
        <f t="shared" si="61"/>
        <v>45324</v>
      </c>
      <c r="CF104" s="19">
        <f t="shared" si="61"/>
        <v>45325</v>
      </c>
      <c r="CG104" s="19">
        <f t="shared" si="61"/>
        <v>45326</v>
      </c>
      <c r="CH104" s="19">
        <f t="shared" si="61"/>
        <v>45327</v>
      </c>
      <c r="CI104" s="19">
        <f t="shared" si="61"/>
        <v>45328</v>
      </c>
      <c r="CJ104" s="19">
        <f t="shared" si="61"/>
        <v>45329</v>
      </c>
      <c r="CK104" s="19">
        <f t="shared" si="61"/>
        <v>45330</v>
      </c>
      <c r="CL104" s="19">
        <f t="shared" si="61"/>
        <v>45331</v>
      </c>
    </row>
    <row r="105" spans="1:92" x14ac:dyDescent="0.3">
      <c r="B105" s="75"/>
      <c r="E105" s="15" t="s">
        <v>1</v>
      </c>
      <c r="F105" s="3">
        <f t="shared" ref="F105:BQ106" si="62">F11-F54</f>
        <v>885</v>
      </c>
      <c r="G105" s="3">
        <f t="shared" si="62"/>
        <v>735</v>
      </c>
      <c r="H105" s="3">
        <f t="shared" si="62"/>
        <v>721</v>
      </c>
      <c r="I105" s="3">
        <f t="shared" si="62"/>
        <v>1256</v>
      </c>
      <c r="J105" s="3">
        <f t="shared" si="62"/>
        <v>1562</v>
      </c>
      <c r="K105" s="3">
        <f t="shared" si="62"/>
        <v>1514</v>
      </c>
      <c r="L105" s="3">
        <f t="shared" si="62"/>
        <v>1398</v>
      </c>
      <c r="M105" s="3">
        <f t="shared" si="62"/>
        <v>1723</v>
      </c>
      <c r="N105" s="3">
        <f t="shared" si="62"/>
        <v>1186</v>
      </c>
      <c r="O105" s="3">
        <f t="shared" si="62"/>
        <v>788</v>
      </c>
      <c r="P105" s="3">
        <f t="shared" si="62"/>
        <v>3405</v>
      </c>
      <c r="Q105" s="3">
        <f t="shared" si="62"/>
        <v>3408</v>
      </c>
      <c r="R105" s="3">
        <f t="shared" si="62"/>
        <v>3224</v>
      </c>
      <c r="S105" s="3">
        <f t="shared" si="62"/>
        <v>2722</v>
      </c>
      <c r="T105" s="3">
        <f t="shared" si="62"/>
        <v>2170</v>
      </c>
      <c r="U105" s="3">
        <f t="shared" si="62"/>
        <v>1647</v>
      </c>
      <c r="V105" s="3">
        <f t="shared" si="62"/>
        <v>748</v>
      </c>
      <c r="W105" s="3">
        <f t="shared" si="62"/>
        <v>2332</v>
      </c>
      <c r="X105" s="3">
        <f t="shared" si="62"/>
        <v>2417</v>
      </c>
      <c r="Y105" s="3">
        <f t="shared" si="62"/>
        <v>1650</v>
      </c>
      <c r="Z105" s="3">
        <f t="shared" si="62"/>
        <v>1358</v>
      </c>
      <c r="AA105" s="3">
        <f t="shared" si="62"/>
        <v>1456</v>
      </c>
      <c r="AB105" s="3">
        <f t="shared" si="62"/>
        <v>947</v>
      </c>
      <c r="AC105" s="3">
        <f t="shared" si="62"/>
        <v>829</v>
      </c>
      <c r="AD105" s="3">
        <f t="shared" si="62"/>
        <v>2066</v>
      </c>
      <c r="AE105" s="3">
        <f t="shared" si="62"/>
        <v>1861</v>
      </c>
      <c r="AF105" s="3">
        <f t="shared" si="62"/>
        <v>1962</v>
      </c>
      <c r="AG105" s="3">
        <f t="shared" si="62"/>
        <v>1833</v>
      </c>
      <c r="AH105" s="3">
        <f t="shared" si="62"/>
        <v>1800</v>
      </c>
      <c r="AI105" s="3">
        <f t="shared" si="62"/>
        <v>1093</v>
      </c>
      <c r="AJ105" s="3">
        <f t="shared" si="62"/>
        <v>924</v>
      </c>
      <c r="AK105" s="3">
        <f t="shared" si="62"/>
        <v>2576</v>
      </c>
      <c r="AL105" s="3">
        <f t="shared" si="62"/>
        <v>2207</v>
      </c>
      <c r="AM105" s="3">
        <f t="shared" si="62"/>
        <v>1906</v>
      </c>
      <c r="AN105" s="3">
        <f t="shared" si="62"/>
        <v>1623</v>
      </c>
      <c r="AO105" s="3">
        <f t="shared" si="62"/>
        <v>1496</v>
      </c>
      <c r="AP105" s="3">
        <f t="shared" si="62"/>
        <v>949</v>
      </c>
      <c r="AQ105" s="3">
        <f t="shared" si="62"/>
        <v>482</v>
      </c>
      <c r="AR105" s="3">
        <f t="shared" si="62"/>
        <v>463</v>
      </c>
      <c r="AS105" s="3">
        <f t="shared" si="62"/>
        <v>1921</v>
      </c>
      <c r="AT105" s="3">
        <f t="shared" si="62"/>
        <v>1400</v>
      </c>
      <c r="AU105" s="3">
        <f t="shared" si="62"/>
        <v>1612</v>
      </c>
      <c r="AV105" s="3">
        <f t="shared" si="62"/>
        <v>1199</v>
      </c>
      <c r="AW105" s="3">
        <f t="shared" si="62"/>
        <v>797</v>
      </c>
      <c r="AX105" s="3">
        <f t="shared" si="62"/>
        <v>372</v>
      </c>
      <c r="AY105" s="3">
        <f t="shared" si="62"/>
        <v>345</v>
      </c>
      <c r="AZ105" s="3">
        <f t="shared" si="62"/>
        <v>1831</v>
      </c>
      <c r="BA105" s="3">
        <f t="shared" si="62"/>
        <v>1711</v>
      </c>
      <c r="BB105" s="3">
        <f t="shared" si="62"/>
        <v>1593</v>
      </c>
      <c r="BC105" s="3">
        <f t="shared" si="62"/>
        <v>1570</v>
      </c>
      <c r="BD105" s="3">
        <f t="shared" si="62"/>
        <v>939</v>
      </c>
      <c r="BE105" s="3">
        <f t="shared" si="62"/>
        <v>609</v>
      </c>
      <c r="BF105" s="3">
        <f t="shared" si="62"/>
        <v>1764</v>
      </c>
      <c r="BG105" s="3">
        <f t="shared" si="62"/>
        <v>1929</v>
      </c>
      <c r="BH105" s="3">
        <f t="shared" si="62"/>
        <v>2221</v>
      </c>
      <c r="BI105" s="3">
        <f t="shared" si="62"/>
        <v>2167</v>
      </c>
      <c r="BJ105" s="3">
        <f t="shared" si="62"/>
        <v>1904</v>
      </c>
      <c r="BK105" s="3">
        <f t="shared" si="62"/>
        <v>925</v>
      </c>
      <c r="BL105" s="3">
        <f t="shared" si="62"/>
        <v>585</v>
      </c>
      <c r="BM105" s="3">
        <f t="shared" si="62"/>
        <v>2882</v>
      </c>
      <c r="BN105" s="3">
        <f t="shared" si="62"/>
        <v>2666</v>
      </c>
      <c r="BO105" s="3">
        <f t="shared" si="62"/>
        <v>2316</v>
      </c>
      <c r="BP105" s="3">
        <f t="shared" si="62"/>
        <v>1844</v>
      </c>
      <c r="BQ105" s="3">
        <f t="shared" si="62"/>
        <v>1582</v>
      </c>
      <c r="BR105" s="3">
        <f t="shared" ref="BR105:CL106" si="63">BR11-BR54</f>
        <v>740</v>
      </c>
      <c r="BS105" s="3">
        <f t="shared" si="63"/>
        <v>474</v>
      </c>
      <c r="BT105" s="3">
        <f t="shared" si="63"/>
        <v>2163</v>
      </c>
      <c r="BU105" s="3">
        <f t="shared" si="63"/>
        <v>1935</v>
      </c>
      <c r="BV105" s="3">
        <f t="shared" si="63"/>
        <v>1124</v>
      </c>
      <c r="BW105" s="3">
        <f t="shared" si="63"/>
        <v>1106</v>
      </c>
      <c r="BX105" s="3">
        <f t="shared" si="63"/>
        <v>728</v>
      </c>
      <c r="BY105" s="3">
        <f t="shared" si="63"/>
        <v>369</v>
      </c>
      <c r="BZ105" s="3">
        <f t="shared" si="63"/>
        <v>275</v>
      </c>
      <c r="CA105" s="3">
        <f t="shared" si="63"/>
        <v>985</v>
      </c>
      <c r="CB105" s="3">
        <f t="shared" si="63"/>
        <v>948</v>
      </c>
      <c r="CC105" s="3">
        <f t="shared" si="63"/>
        <v>974</v>
      </c>
      <c r="CD105" s="3">
        <f t="shared" si="63"/>
        <v>830</v>
      </c>
      <c r="CE105" s="3">
        <f t="shared" si="63"/>
        <v>675</v>
      </c>
      <c r="CF105" s="3">
        <f t="shared" si="63"/>
        <v>396</v>
      </c>
      <c r="CG105" s="3">
        <f t="shared" si="63"/>
        <v>310</v>
      </c>
      <c r="CH105" s="3">
        <f t="shared" si="63"/>
        <v>445</v>
      </c>
      <c r="CI105" s="3">
        <f t="shared" si="63"/>
        <v>826</v>
      </c>
      <c r="CJ105" s="3">
        <f t="shared" si="63"/>
        <v>0</v>
      </c>
      <c r="CK105" s="3">
        <f t="shared" si="63"/>
        <v>0</v>
      </c>
      <c r="CL105" s="3">
        <f t="shared" si="63"/>
        <v>0</v>
      </c>
      <c r="CM105" s="29">
        <f>SUM(F105:CL105)</f>
        <v>117309</v>
      </c>
    </row>
    <row r="106" spans="1:92" x14ac:dyDescent="0.3">
      <c r="B106" s="75"/>
      <c r="E106" s="16" t="s">
        <v>2</v>
      </c>
      <c r="F106" s="18">
        <v>1196</v>
      </c>
      <c r="G106" s="17">
        <v>607</v>
      </c>
      <c r="H106" s="17">
        <v>527</v>
      </c>
      <c r="I106" s="18">
        <v>1196</v>
      </c>
      <c r="J106" s="18">
        <v>1196</v>
      </c>
      <c r="K106" s="18">
        <v>1196</v>
      </c>
      <c r="L106" s="18">
        <v>1196</v>
      </c>
      <c r="M106" s="18">
        <v>1196</v>
      </c>
      <c r="N106" s="17">
        <v>638</v>
      </c>
      <c r="O106" s="17">
        <v>527</v>
      </c>
      <c r="P106" s="18">
        <v>1196</v>
      </c>
      <c r="Q106" s="18">
        <v>1044</v>
      </c>
      <c r="R106" s="18">
        <v>1080</v>
      </c>
      <c r="S106" s="18">
        <v>1170</v>
      </c>
      <c r="T106" s="18">
        <v>1170</v>
      </c>
      <c r="U106" s="18">
        <v>643</v>
      </c>
      <c r="V106" s="18">
        <v>643</v>
      </c>
      <c r="W106" s="18">
        <v>1170</v>
      </c>
      <c r="X106" s="18">
        <v>1170</v>
      </c>
      <c r="Y106" s="18">
        <v>1170</v>
      </c>
      <c r="Z106" s="18">
        <v>1728</v>
      </c>
      <c r="AA106" s="18">
        <f>Z106</f>
        <v>1728</v>
      </c>
      <c r="AB106" s="18">
        <v>955</v>
      </c>
      <c r="AC106" s="18">
        <f>AC12-AC55</f>
        <v>890</v>
      </c>
      <c r="AD106" s="18">
        <f>AA106</f>
        <v>1728</v>
      </c>
      <c r="AE106" s="18">
        <f t="shared" ref="AE106:AH106" si="64">AD106</f>
        <v>1728</v>
      </c>
      <c r="AF106" s="18">
        <f t="shared" si="64"/>
        <v>1728</v>
      </c>
      <c r="AG106" s="18">
        <f t="shared" si="64"/>
        <v>1728</v>
      </c>
      <c r="AH106" s="18">
        <f t="shared" si="64"/>
        <v>1728</v>
      </c>
      <c r="AI106" s="18">
        <v>917</v>
      </c>
      <c r="AJ106" s="18">
        <v>689</v>
      </c>
      <c r="AK106" s="18">
        <f>AK12-AK55</f>
        <v>1909</v>
      </c>
      <c r="AL106" s="18">
        <f t="shared" ref="AL106" si="65">AK106</f>
        <v>1909</v>
      </c>
      <c r="AM106" s="18">
        <v>1766</v>
      </c>
      <c r="AN106" s="18">
        <f t="shared" ref="AN106:AO106" si="66">AM106</f>
        <v>1766</v>
      </c>
      <c r="AO106" s="18">
        <f t="shared" si="66"/>
        <v>1766</v>
      </c>
      <c r="AP106" s="18">
        <f t="shared" si="62"/>
        <v>791.125</v>
      </c>
      <c r="AQ106" s="18">
        <f t="shared" si="62"/>
        <v>750</v>
      </c>
      <c r="AR106" s="18">
        <f t="shared" si="62"/>
        <v>1125.25</v>
      </c>
      <c r="AS106" s="18">
        <f>AO106</f>
        <v>1766</v>
      </c>
      <c r="AT106" s="18">
        <f t="shared" ref="AT106:AV106" si="67">AS106</f>
        <v>1766</v>
      </c>
      <c r="AU106" s="18">
        <f t="shared" si="67"/>
        <v>1766</v>
      </c>
      <c r="AV106" s="18">
        <f t="shared" si="67"/>
        <v>1766</v>
      </c>
      <c r="AW106" s="18">
        <f t="shared" si="62"/>
        <v>941</v>
      </c>
      <c r="AX106" s="18">
        <f t="shared" si="62"/>
        <v>892</v>
      </c>
      <c r="AY106" s="18">
        <f t="shared" si="62"/>
        <v>1329</v>
      </c>
      <c r="AZ106" s="18">
        <f t="shared" si="62"/>
        <v>1547</v>
      </c>
      <c r="BA106" s="18">
        <f t="shared" si="62"/>
        <v>1547</v>
      </c>
      <c r="BB106" s="18">
        <f t="shared" si="62"/>
        <v>1547</v>
      </c>
      <c r="BC106" s="18">
        <f t="shared" si="62"/>
        <v>1547</v>
      </c>
      <c r="BD106" s="18">
        <f t="shared" si="62"/>
        <v>737</v>
      </c>
      <c r="BE106" s="18">
        <f t="shared" si="62"/>
        <v>673</v>
      </c>
      <c r="BF106" s="18">
        <f t="shared" si="62"/>
        <v>1547</v>
      </c>
      <c r="BG106" s="18">
        <f t="shared" si="62"/>
        <v>1508</v>
      </c>
      <c r="BH106" s="18">
        <f t="shared" si="62"/>
        <v>1508</v>
      </c>
      <c r="BI106" s="18">
        <f t="shared" si="62"/>
        <v>1508</v>
      </c>
      <c r="BJ106" s="18">
        <f t="shared" si="62"/>
        <v>1508</v>
      </c>
      <c r="BK106" s="18">
        <f t="shared" si="62"/>
        <v>736</v>
      </c>
      <c r="BL106" s="18">
        <f t="shared" si="62"/>
        <v>611</v>
      </c>
      <c r="BM106" s="18">
        <f t="shared" si="62"/>
        <v>1508</v>
      </c>
      <c r="BN106" s="18">
        <f t="shared" si="62"/>
        <v>1454</v>
      </c>
      <c r="BO106" s="18">
        <f t="shared" si="62"/>
        <v>1598</v>
      </c>
      <c r="BP106" s="18">
        <f t="shared" si="62"/>
        <v>1598</v>
      </c>
      <c r="BQ106" s="18">
        <f t="shared" si="62"/>
        <v>1598</v>
      </c>
      <c r="BR106" s="18">
        <f t="shared" si="63"/>
        <v>755</v>
      </c>
      <c r="BS106" s="18">
        <f t="shared" si="63"/>
        <v>689</v>
      </c>
      <c r="BT106" s="18">
        <f t="shared" si="63"/>
        <v>1598</v>
      </c>
      <c r="BU106" s="18">
        <f t="shared" si="63"/>
        <v>1598</v>
      </c>
      <c r="BV106" s="18">
        <f t="shared" si="63"/>
        <v>1598</v>
      </c>
      <c r="BW106" s="18">
        <f t="shared" si="63"/>
        <v>1598</v>
      </c>
      <c r="BX106" s="18">
        <f t="shared" si="63"/>
        <v>1598</v>
      </c>
      <c r="BY106" s="18">
        <f t="shared" si="63"/>
        <v>789</v>
      </c>
      <c r="BZ106" s="18">
        <f t="shared" si="63"/>
        <v>746</v>
      </c>
      <c r="CA106" s="18">
        <f t="shared" si="63"/>
        <v>1598</v>
      </c>
      <c r="CB106" s="18">
        <f t="shared" si="63"/>
        <v>1598</v>
      </c>
      <c r="CC106" s="18">
        <f t="shared" si="63"/>
        <v>1598</v>
      </c>
      <c r="CD106" s="18">
        <f t="shared" si="63"/>
        <v>1598</v>
      </c>
      <c r="CE106" s="18">
        <f t="shared" si="63"/>
        <v>1598</v>
      </c>
      <c r="CF106" s="18">
        <f t="shared" si="63"/>
        <v>760</v>
      </c>
      <c r="CG106" s="18">
        <f t="shared" si="63"/>
        <v>591</v>
      </c>
      <c r="CH106" s="18">
        <f t="shared" si="63"/>
        <v>550</v>
      </c>
      <c r="CI106" s="18">
        <f t="shared" si="63"/>
        <v>1406</v>
      </c>
      <c r="CJ106" s="18">
        <f t="shared" si="63"/>
        <v>1406</v>
      </c>
      <c r="CK106" s="18">
        <f t="shared" si="63"/>
        <v>1406</v>
      </c>
      <c r="CL106" s="18">
        <f t="shared" si="63"/>
        <v>1406</v>
      </c>
      <c r="CM106" s="30">
        <f>SUM(F106:CL106)</f>
        <v>108250.375</v>
      </c>
    </row>
    <row r="107" spans="1:92" x14ac:dyDescent="0.3">
      <c r="B107" s="75"/>
      <c r="E107" s="16" t="s">
        <v>3</v>
      </c>
      <c r="F107" s="31">
        <f t="shared" ref="F107:BQ107" si="68">IFERROR((F106-F105)/F105,"")</f>
        <v>0.35141242937853107</v>
      </c>
      <c r="G107" s="31">
        <f t="shared" si="68"/>
        <v>-0.17414965986394557</v>
      </c>
      <c r="H107" s="31">
        <f t="shared" si="68"/>
        <v>-0.26907073509015256</v>
      </c>
      <c r="I107" s="31">
        <f t="shared" si="68"/>
        <v>-4.7770700636942678E-2</v>
      </c>
      <c r="J107" s="31">
        <f t="shared" si="68"/>
        <v>-0.23431498079385404</v>
      </c>
      <c r="K107" s="31">
        <f t="shared" si="68"/>
        <v>-0.21003963011889035</v>
      </c>
      <c r="L107" s="31">
        <f t="shared" si="68"/>
        <v>-0.14449213161659513</v>
      </c>
      <c r="M107" s="31">
        <f t="shared" si="68"/>
        <v>-0.30586186883343008</v>
      </c>
      <c r="N107" s="31">
        <f t="shared" si="68"/>
        <v>-0.46205733558178752</v>
      </c>
      <c r="O107" s="31">
        <f t="shared" si="68"/>
        <v>-0.33121827411167515</v>
      </c>
      <c r="P107" s="31">
        <f t="shared" si="68"/>
        <v>-0.64875183553597648</v>
      </c>
      <c r="Q107" s="31">
        <f t="shared" si="68"/>
        <v>-0.69366197183098588</v>
      </c>
      <c r="R107" s="31">
        <f t="shared" si="68"/>
        <v>-0.66501240694789077</v>
      </c>
      <c r="S107" s="31">
        <f t="shared" si="68"/>
        <v>-0.57016899338721527</v>
      </c>
      <c r="T107" s="31">
        <f t="shared" si="68"/>
        <v>-0.46082949308755761</v>
      </c>
      <c r="U107" s="31">
        <f t="shared" si="68"/>
        <v>-0.60959319975713422</v>
      </c>
      <c r="V107" s="31">
        <f t="shared" si="68"/>
        <v>-0.14037433155080214</v>
      </c>
      <c r="W107" s="31">
        <f t="shared" si="68"/>
        <v>-0.49828473413379076</v>
      </c>
      <c r="X107" s="31">
        <f t="shared" si="68"/>
        <v>-0.51592883740173767</v>
      </c>
      <c r="Y107" s="31">
        <f t="shared" si="68"/>
        <v>-0.29090909090909089</v>
      </c>
      <c r="Z107" s="31">
        <f t="shared" si="68"/>
        <v>0.27245949926362295</v>
      </c>
      <c r="AA107" s="31">
        <f t="shared" si="68"/>
        <v>0.18681318681318682</v>
      </c>
      <c r="AB107" s="31">
        <f t="shared" si="68"/>
        <v>8.4477296726504746E-3</v>
      </c>
      <c r="AC107" s="31">
        <f t="shared" si="68"/>
        <v>7.3582629674306399E-2</v>
      </c>
      <c r="AD107" s="31">
        <f t="shared" si="68"/>
        <v>-0.16360116166505323</v>
      </c>
      <c r="AE107" s="31">
        <f t="shared" si="68"/>
        <v>-7.1466953250940352E-2</v>
      </c>
      <c r="AF107" s="31">
        <f t="shared" si="68"/>
        <v>-0.11926605504587157</v>
      </c>
      <c r="AG107" s="31">
        <f t="shared" si="68"/>
        <v>-5.7283142389525366E-2</v>
      </c>
      <c r="AH107" s="31">
        <f t="shared" si="68"/>
        <v>-0.04</v>
      </c>
      <c r="AI107" s="31">
        <f t="shared" si="68"/>
        <v>-0.16102470265324795</v>
      </c>
      <c r="AJ107" s="31">
        <f t="shared" si="68"/>
        <v>-0.25432900432900435</v>
      </c>
      <c r="AK107" s="31">
        <f t="shared" si="68"/>
        <v>-0.25892857142857145</v>
      </c>
      <c r="AL107" s="31">
        <f t="shared" si="68"/>
        <v>-0.13502492070684186</v>
      </c>
      <c r="AM107" s="31">
        <f t="shared" si="68"/>
        <v>-7.3452256033578175E-2</v>
      </c>
      <c r="AN107" s="31">
        <f t="shared" si="68"/>
        <v>8.8108441158348733E-2</v>
      </c>
      <c r="AO107" s="31">
        <f t="shared" si="68"/>
        <v>0.18048128342245989</v>
      </c>
      <c r="AP107" s="31">
        <f t="shared" si="68"/>
        <v>-0.16635932560590094</v>
      </c>
      <c r="AQ107" s="31">
        <f t="shared" si="68"/>
        <v>0.55601659751037347</v>
      </c>
      <c r="AR107" s="31">
        <f t="shared" si="68"/>
        <v>1.4303455723542116</v>
      </c>
      <c r="AS107" s="31">
        <f t="shared" si="68"/>
        <v>-8.068714211348256E-2</v>
      </c>
      <c r="AT107" s="31">
        <f t="shared" si="68"/>
        <v>0.26142857142857145</v>
      </c>
      <c r="AU107" s="31">
        <f t="shared" si="68"/>
        <v>9.553349875930521E-2</v>
      </c>
      <c r="AV107" s="31">
        <f t="shared" si="68"/>
        <v>0.47289407839866554</v>
      </c>
      <c r="AW107" s="31">
        <f t="shared" si="68"/>
        <v>0.1806775407779172</v>
      </c>
      <c r="AX107" s="31">
        <f t="shared" si="68"/>
        <v>1.3978494623655915</v>
      </c>
      <c r="AY107" s="31">
        <f t="shared" si="68"/>
        <v>2.8521739130434782</v>
      </c>
      <c r="AZ107" s="31">
        <f t="shared" si="68"/>
        <v>-0.15510649918077554</v>
      </c>
      <c r="BA107" s="31">
        <f t="shared" si="68"/>
        <v>-9.585037989479836E-2</v>
      </c>
      <c r="BB107" s="31">
        <f>IFERROR((BB106-BB105)/BB105,"")</f>
        <v>-2.8876333961079723E-2</v>
      </c>
      <c r="BC107" s="31">
        <f t="shared" ref="BC107" si="69">IFERROR((BC106-BC105)/BC105,"")</f>
        <v>-1.4649681528662421E-2</v>
      </c>
      <c r="BD107" s="31">
        <f t="shared" si="68"/>
        <v>-0.21512247071352503</v>
      </c>
      <c r="BE107" s="31">
        <f t="shared" si="68"/>
        <v>0.10509031198686371</v>
      </c>
      <c r="BF107" s="31">
        <f t="shared" si="68"/>
        <v>-0.12301587301587301</v>
      </c>
      <c r="BG107" s="31">
        <f t="shared" si="68"/>
        <v>-0.21824779678589942</v>
      </c>
      <c r="BH107" s="31">
        <f t="shared" si="68"/>
        <v>-0.3210265646105358</v>
      </c>
      <c r="BI107" s="31">
        <f t="shared" si="68"/>
        <v>-0.30410706045223812</v>
      </c>
      <c r="BJ107" s="31">
        <f t="shared" si="68"/>
        <v>-0.20798319327731093</v>
      </c>
      <c r="BK107" s="31">
        <f t="shared" si="68"/>
        <v>-0.20432432432432432</v>
      </c>
      <c r="BL107" s="31">
        <f t="shared" si="68"/>
        <v>4.4444444444444446E-2</v>
      </c>
      <c r="BM107" s="31">
        <f t="shared" si="68"/>
        <v>-0.47675225537820959</v>
      </c>
      <c r="BN107" s="31">
        <f t="shared" si="68"/>
        <v>-0.45461365341335336</v>
      </c>
      <c r="BO107" s="31">
        <f t="shared" si="68"/>
        <v>-0.31001727115716754</v>
      </c>
      <c r="BP107" s="31">
        <f t="shared" si="68"/>
        <v>-0.13340563991323209</v>
      </c>
      <c r="BQ107" s="31">
        <f t="shared" si="68"/>
        <v>1.0113780025284451E-2</v>
      </c>
      <c r="BR107" s="31">
        <f t="shared" ref="BR107:CL107" si="70">IFERROR((BR106-BR105)/BR105,"")</f>
        <v>2.0270270270270271E-2</v>
      </c>
      <c r="BS107" s="31">
        <f t="shared" si="70"/>
        <v>0.45358649789029537</v>
      </c>
      <c r="BT107" s="31">
        <f t="shared" si="70"/>
        <v>-0.26121128062875637</v>
      </c>
      <c r="BU107" s="31">
        <f t="shared" si="70"/>
        <v>-0.17416020671834626</v>
      </c>
      <c r="BV107" s="31">
        <f t="shared" si="70"/>
        <v>0.42170818505338076</v>
      </c>
      <c r="BW107" s="31">
        <f t="shared" si="70"/>
        <v>0.44484629294755879</v>
      </c>
      <c r="BX107" s="31">
        <f t="shared" si="70"/>
        <v>1.195054945054945</v>
      </c>
      <c r="BY107" s="31">
        <f t="shared" si="70"/>
        <v>1.1382113821138211</v>
      </c>
      <c r="BZ107" s="31">
        <f t="shared" si="70"/>
        <v>1.7127272727272727</v>
      </c>
      <c r="CA107" s="31">
        <f t="shared" si="70"/>
        <v>0.62233502538071062</v>
      </c>
      <c r="CB107" s="31">
        <f t="shared" si="70"/>
        <v>0.68565400843881852</v>
      </c>
      <c r="CC107" s="31">
        <f t="shared" si="70"/>
        <v>0.64065708418891165</v>
      </c>
      <c r="CD107" s="31">
        <f t="shared" si="70"/>
        <v>0.92530120481927713</v>
      </c>
      <c r="CE107" s="31">
        <f t="shared" si="70"/>
        <v>1.3674074074074074</v>
      </c>
      <c r="CF107" s="31">
        <f t="shared" si="70"/>
        <v>0.91919191919191923</v>
      </c>
      <c r="CG107" s="31">
        <f t="shared" si="70"/>
        <v>0.90645161290322585</v>
      </c>
      <c r="CH107" s="31">
        <f t="shared" si="70"/>
        <v>0.23595505617977527</v>
      </c>
      <c r="CI107" s="31">
        <f t="shared" si="70"/>
        <v>0.70217917675544794</v>
      </c>
      <c r="CJ107" s="31" t="str">
        <f t="shared" si="70"/>
        <v/>
      </c>
      <c r="CK107" s="31" t="str">
        <f t="shared" si="70"/>
        <v/>
      </c>
      <c r="CL107" s="31" t="str">
        <f t="shared" si="70"/>
        <v/>
      </c>
    </row>
    <row r="108" spans="1:92" x14ac:dyDescent="0.3">
      <c r="B108" s="75"/>
      <c r="E108" s="16" t="s">
        <v>4</v>
      </c>
      <c r="F108" s="5">
        <f t="shared" ref="F108:BQ108" si="71">F106-F105</f>
        <v>311</v>
      </c>
      <c r="G108" s="5">
        <f t="shared" si="71"/>
        <v>-128</v>
      </c>
      <c r="H108" s="5">
        <f t="shared" si="71"/>
        <v>-194</v>
      </c>
      <c r="I108" s="5">
        <f t="shared" si="71"/>
        <v>-60</v>
      </c>
      <c r="J108" s="5">
        <f t="shared" si="71"/>
        <v>-366</v>
      </c>
      <c r="K108" s="5">
        <f t="shared" si="71"/>
        <v>-318</v>
      </c>
      <c r="L108" s="5">
        <f t="shared" si="71"/>
        <v>-202</v>
      </c>
      <c r="M108" s="5">
        <f t="shared" si="71"/>
        <v>-527</v>
      </c>
      <c r="N108" s="5">
        <f t="shared" si="71"/>
        <v>-548</v>
      </c>
      <c r="O108" s="5">
        <f t="shared" si="71"/>
        <v>-261</v>
      </c>
      <c r="P108" s="5">
        <f t="shared" si="71"/>
        <v>-2209</v>
      </c>
      <c r="Q108" s="5">
        <f t="shared" si="71"/>
        <v>-2364</v>
      </c>
      <c r="R108" s="5">
        <f t="shared" si="71"/>
        <v>-2144</v>
      </c>
      <c r="S108" s="5">
        <f t="shared" si="71"/>
        <v>-1552</v>
      </c>
      <c r="T108" s="5">
        <f t="shared" si="71"/>
        <v>-1000</v>
      </c>
      <c r="U108" s="5">
        <f t="shared" si="71"/>
        <v>-1004</v>
      </c>
      <c r="V108" s="5">
        <f t="shared" si="71"/>
        <v>-105</v>
      </c>
      <c r="W108" s="5">
        <f t="shared" si="71"/>
        <v>-1162</v>
      </c>
      <c r="X108" s="5">
        <f t="shared" si="71"/>
        <v>-1247</v>
      </c>
      <c r="Y108" s="5">
        <f t="shared" si="71"/>
        <v>-480</v>
      </c>
      <c r="Z108" s="5">
        <f t="shared" si="71"/>
        <v>370</v>
      </c>
      <c r="AA108" s="5">
        <f t="shared" si="71"/>
        <v>272</v>
      </c>
      <c r="AB108" s="5">
        <f t="shared" si="71"/>
        <v>8</v>
      </c>
      <c r="AC108" s="5">
        <f t="shared" si="71"/>
        <v>61</v>
      </c>
      <c r="AD108" s="5">
        <f t="shared" si="71"/>
        <v>-338</v>
      </c>
      <c r="AE108" s="5">
        <f t="shared" si="71"/>
        <v>-133</v>
      </c>
      <c r="AF108" s="5">
        <f t="shared" si="71"/>
        <v>-234</v>
      </c>
      <c r="AG108" s="5">
        <f t="shared" si="71"/>
        <v>-105</v>
      </c>
      <c r="AH108" s="5">
        <f t="shared" si="71"/>
        <v>-72</v>
      </c>
      <c r="AI108" s="5">
        <f t="shared" si="71"/>
        <v>-176</v>
      </c>
      <c r="AJ108" s="5">
        <f t="shared" si="71"/>
        <v>-235</v>
      </c>
      <c r="AK108" s="5">
        <f t="shared" si="71"/>
        <v>-667</v>
      </c>
      <c r="AL108" s="5">
        <f t="shared" si="71"/>
        <v>-298</v>
      </c>
      <c r="AM108" s="5">
        <f t="shared" si="71"/>
        <v>-140</v>
      </c>
      <c r="AN108" s="5">
        <f t="shared" si="71"/>
        <v>143</v>
      </c>
      <c r="AO108" s="5">
        <f t="shared" si="71"/>
        <v>270</v>
      </c>
      <c r="AP108" s="5">
        <f t="shared" si="71"/>
        <v>-157.875</v>
      </c>
      <c r="AQ108" s="5">
        <f t="shared" si="71"/>
        <v>268</v>
      </c>
      <c r="AR108" s="5">
        <f t="shared" si="71"/>
        <v>662.25</v>
      </c>
      <c r="AS108" s="5">
        <f t="shared" si="71"/>
        <v>-155</v>
      </c>
      <c r="AT108" s="5">
        <f t="shared" si="71"/>
        <v>366</v>
      </c>
      <c r="AU108" s="5">
        <f t="shared" si="71"/>
        <v>154</v>
      </c>
      <c r="AV108" s="5">
        <f t="shared" si="71"/>
        <v>567</v>
      </c>
      <c r="AW108" s="5">
        <f t="shared" si="71"/>
        <v>144</v>
      </c>
      <c r="AX108" s="5">
        <f t="shared" si="71"/>
        <v>520</v>
      </c>
      <c r="AY108" s="5">
        <f t="shared" si="71"/>
        <v>984</v>
      </c>
      <c r="AZ108" s="5">
        <f t="shared" si="71"/>
        <v>-284</v>
      </c>
      <c r="BA108" s="5">
        <f t="shared" si="71"/>
        <v>-164</v>
      </c>
      <c r="BB108" s="5">
        <f t="shared" si="71"/>
        <v>-46</v>
      </c>
      <c r="BC108" s="5">
        <f t="shared" si="71"/>
        <v>-23</v>
      </c>
      <c r="BD108" s="5">
        <f t="shared" si="71"/>
        <v>-202</v>
      </c>
      <c r="BE108" s="5">
        <f t="shared" si="71"/>
        <v>64</v>
      </c>
      <c r="BF108" s="5">
        <f t="shared" si="71"/>
        <v>-217</v>
      </c>
      <c r="BG108" s="5">
        <f t="shared" si="71"/>
        <v>-421</v>
      </c>
      <c r="BH108" s="5">
        <f t="shared" si="71"/>
        <v>-713</v>
      </c>
      <c r="BI108" s="5">
        <f t="shared" si="71"/>
        <v>-659</v>
      </c>
      <c r="BJ108" s="5">
        <f t="shared" si="71"/>
        <v>-396</v>
      </c>
      <c r="BK108" s="5">
        <f t="shared" si="71"/>
        <v>-189</v>
      </c>
      <c r="BL108" s="5">
        <f t="shared" si="71"/>
        <v>26</v>
      </c>
      <c r="BM108" s="5">
        <f t="shared" si="71"/>
        <v>-1374</v>
      </c>
      <c r="BN108" s="5">
        <f t="shared" si="71"/>
        <v>-1212</v>
      </c>
      <c r="BO108" s="5">
        <f t="shared" si="71"/>
        <v>-718</v>
      </c>
      <c r="BP108" s="5">
        <f t="shared" si="71"/>
        <v>-246</v>
      </c>
      <c r="BQ108" s="5">
        <f t="shared" si="71"/>
        <v>16</v>
      </c>
      <c r="BR108" s="5">
        <f t="shared" ref="BR108:CL108" si="72">BR106-BR105</f>
        <v>15</v>
      </c>
      <c r="BS108" s="5">
        <f t="shared" si="72"/>
        <v>215</v>
      </c>
      <c r="BT108" s="5">
        <f t="shared" si="72"/>
        <v>-565</v>
      </c>
      <c r="BU108" s="5">
        <f t="shared" si="72"/>
        <v>-337</v>
      </c>
      <c r="BV108" s="5">
        <f t="shared" si="72"/>
        <v>474</v>
      </c>
      <c r="BW108" s="5">
        <f t="shared" si="72"/>
        <v>492</v>
      </c>
      <c r="BX108" s="5">
        <f t="shared" si="72"/>
        <v>870</v>
      </c>
      <c r="BY108" s="5">
        <f t="shared" si="72"/>
        <v>420</v>
      </c>
      <c r="BZ108" s="5">
        <f t="shared" si="72"/>
        <v>471</v>
      </c>
      <c r="CA108" s="5">
        <f t="shared" si="72"/>
        <v>613</v>
      </c>
      <c r="CB108" s="5">
        <f t="shared" si="72"/>
        <v>650</v>
      </c>
      <c r="CC108" s="5">
        <f t="shared" si="72"/>
        <v>624</v>
      </c>
      <c r="CD108" s="5">
        <f t="shared" si="72"/>
        <v>768</v>
      </c>
      <c r="CE108" s="5">
        <f t="shared" si="72"/>
        <v>923</v>
      </c>
      <c r="CF108" s="5">
        <f t="shared" si="72"/>
        <v>364</v>
      </c>
      <c r="CG108" s="5">
        <f t="shared" si="72"/>
        <v>281</v>
      </c>
      <c r="CH108" s="5">
        <f t="shared" si="72"/>
        <v>105</v>
      </c>
      <c r="CI108" s="5">
        <f t="shared" si="72"/>
        <v>580</v>
      </c>
      <c r="CJ108" s="5">
        <f t="shared" si="72"/>
        <v>1406</v>
      </c>
      <c r="CK108" s="5">
        <f t="shared" si="72"/>
        <v>1406</v>
      </c>
      <c r="CL108" s="5">
        <f t="shared" si="72"/>
        <v>1406</v>
      </c>
    </row>
    <row r="109" spans="1:92" x14ac:dyDescent="0.3">
      <c r="B109" s="75"/>
      <c r="E109" s="50" t="s">
        <v>66</v>
      </c>
      <c r="F109" s="3">
        <f t="shared" ref="F109:BQ109" si="73">F15-F58</f>
        <v>0</v>
      </c>
      <c r="G109" s="3">
        <f t="shared" si="73"/>
        <v>0</v>
      </c>
      <c r="H109" s="3">
        <f t="shared" si="73"/>
        <v>0</v>
      </c>
      <c r="I109" s="3">
        <f t="shared" si="73"/>
        <v>0</v>
      </c>
      <c r="J109" s="3">
        <f t="shared" si="73"/>
        <v>0</v>
      </c>
      <c r="K109" s="56">
        <f t="shared" si="73"/>
        <v>447</v>
      </c>
      <c r="L109" s="56">
        <f t="shared" si="73"/>
        <v>553</v>
      </c>
      <c r="M109" s="56">
        <f t="shared" si="73"/>
        <v>600</v>
      </c>
      <c r="N109" s="56">
        <f t="shared" si="73"/>
        <v>920</v>
      </c>
      <c r="O109" s="56">
        <f t="shared" si="73"/>
        <v>1101</v>
      </c>
      <c r="P109" s="56">
        <f t="shared" si="73"/>
        <v>1317</v>
      </c>
      <c r="Q109" s="56">
        <f t="shared" si="73"/>
        <v>2097</v>
      </c>
      <c r="R109" s="56">
        <f t="shared" si="73"/>
        <v>1707</v>
      </c>
      <c r="S109" s="56">
        <f t="shared" si="73"/>
        <v>2256</v>
      </c>
      <c r="T109" s="56">
        <f t="shared" si="73"/>
        <v>2424</v>
      </c>
      <c r="U109" s="56">
        <f t="shared" si="73"/>
        <v>2848</v>
      </c>
      <c r="V109" s="56">
        <f t="shared" si="73"/>
        <v>3365</v>
      </c>
      <c r="W109" s="56">
        <f t="shared" si="73"/>
        <v>3267</v>
      </c>
      <c r="X109" s="56">
        <f t="shared" si="73"/>
        <v>3081</v>
      </c>
      <c r="Y109" s="56">
        <f t="shared" si="73"/>
        <v>2873</v>
      </c>
      <c r="Z109" s="56">
        <f t="shared" si="73"/>
        <v>2944</v>
      </c>
      <c r="AA109" s="56">
        <f t="shared" si="73"/>
        <v>2669</v>
      </c>
      <c r="AB109" s="56">
        <f t="shared" si="73"/>
        <v>2324</v>
      </c>
      <c r="AC109" s="56">
        <f t="shared" si="73"/>
        <v>2524</v>
      </c>
      <c r="AD109" s="56">
        <f t="shared" si="73"/>
        <v>2048</v>
      </c>
      <c r="AE109" s="56">
        <f t="shared" si="73"/>
        <v>2200</v>
      </c>
      <c r="AF109" s="56">
        <f t="shared" si="73"/>
        <v>2182</v>
      </c>
      <c r="AG109" s="56">
        <f t="shared" si="73"/>
        <v>2290</v>
      </c>
      <c r="AH109" s="56">
        <f t="shared" si="73"/>
        <v>2069</v>
      </c>
      <c r="AI109" s="56">
        <f t="shared" si="73"/>
        <v>2261</v>
      </c>
      <c r="AJ109" s="56">
        <f t="shared" si="73"/>
        <v>2421</v>
      </c>
      <c r="AK109" s="3">
        <f t="shared" si="73"/>
        <v>3200</v>
      </c>
      <c r="AL109" s="3">
        <f t="shared" si="73"/>
        <v>3871</v>
      </c>
      <c r="AM109" s="3">
        <f t="shared" si="73"/>
        <v>3893</v>
      </c>
      <c r="AN109" s="3">
        <f t="shared" si="73"/>
        <v>3518</v>
      </c>
      <c r="AO109" s="3">
        <f t="shared" si="73"/>
        <v>3644</v>
      </c>
      <c r="AP109" s="3">
        <f t="shared" si="73"/>
        <v>3646</v>
      </c>
      <c r="AQ109" s="3">
        <f t="shared" si="73"/>
        <v>3568</v>
      </c>
      <c r="AR109" s="3">
        <f t="shared" si="73"/>
        <v>3364</v>
      </c>
      <c r="AS109" s="3">
        <f t="shared" si="73"/>
        <v>2768</v>
      </c>
      <c r="AT109" s="3">
        <f t="shared" si="73"/>
        <v>2945</v>
      </c>
      <c r="AU109" s="3">
        <f t="shared" si="73"/>
        <v>2188</v>
      </c>
      <c r="AV109" s="3">
        <f t="shared" si="73"/>
        <v>1551</v>
      </c>
      <c r="AW109" s="3">
        <f t="shared" si="73"/>
        <v>1295</v>
      </c>
      <c r="AX109" s="3">
        <f t="shared" si="73"/>
        <v>1224</v>
      </c>
      <c r="AY109" s="3">
        <f t="shared" si="73"/>
        <v>616</v>
      </c>
      <c r="AZ109" s="3">
        <f t="shared" si="73"/>
        <v>261</v>
      </c>
      <c r="BA109" s="3">
        <f t="shared" si="73"/>
        <v>606</v>
      </c>
      <c r="BB109" s="3">
        <f t="shared" si="73"/>
        <v>777</v>
      </c>
      <c r="BC109" s="3">
        <f t="shared" si="73"/>
        <v>886</v>
      </c>
      <c r="BD109" s="3">
        <f t="shared" si="73"/>
        <v>1107</v>
      </c>
      <c r="BE109" s="3">
        <f t="shared" si="73"/>
        <v>1256</v>
      </c>
      <c r="BF109" s="3">
        <f t="shared" si="73"/>
        <v>1010</v>
      </c>
      <c r="BG109" s="3">
        <f t="shared" si="73"/>
        <v>1208</v>
      </c>
      <c r="BH109" s="3">
        <f t="shared" si="73"/>
        <v>1447</v>
      </c>
      <c r="BI109" s="3">
        <f t="shared" si="73"/>
        <v>1647</v>
      </c>
      <c r="BJ109" s="3">
        <f t="shared" si="73"/>
        <v>1793</v>
      </c>
      <c r="BK109" s="3">
        <f t="shared" si="73"/>
        <v>1562</v>
      </c>
      <c r="BL109" s="3">
        <f t="shared" si="73"/>
        <v>1700</v>
      </c>
      <c r="BM109" s="3">
        <f t="shared" si="73"/>
        <v>1784</v>
      </c>
      <c r="BN109" s="3">
        <f t="shared" si="73"/>
        <v>2016</v>
      </c>
      <c r="BO109" s="3">
        <f t="shared" si="73"/>
        <v>1989</v>
      </c>
      <c r="BP109" s="3">
        <f t="shared" si="73"/>
        <v>1823</v>
      </c>
      <c r="BQ109" s="3">
        <f t="shared" si="73"/>
        <v>1400</v>
      </c>
      <c r="BR109" s="3">
        <f t="shared" ref="BR109:CL109" si="74">BR15-BR58</f>
        <v>1046</v>
      </c>
      <c r="BS109" s="3">
        <f t="shared" si="74"/>
        <v>779</v>
      </c>
      <c r="BT109" s="3">
        <f t="shared" si="74"/>
        <v>640</v>
      </c>
      <c r="BU109" s="3">
        <f t="shared" si="74"/>
        <v>342</v>
      </c>
      <c r="BV109" s="3">
        <f t="shared" si="74"/>
        <v>102</v>
      </c>
      <c r="BW109" s="3">
        <f t="shared" si="74"/>
        <v>179</v>
      </c>
      <c r="BX109" s="3">
        <f t="shared" si="74"/>
        <v>201</v>
      </c>
      <c r="BY109" s="3">
        <f t="shared" si="74"/>
        <v>203</v>
      </c>
      <c r="BZ109" s="3">
        <f t="shared" si="74"/>
        <v>324</v>
      </c>
      <c r="CA109" s="3">
        <f t="shared" si="74"/>
        <v>179</v>
      </c>
      <c r="CB109" s="3">
        <f t="shared" si="74"/>
        <v>169</v>
      </c>
      <c r="CC109" s="3">
        <f t="shared" si="74"/>
        <v>179</v>
      </c>
      <c r="CD109" s="3">
        <f t="shared" si="74"/>
        <v>163</v>
      </c>
      <c r="CE109" s="3">
        <f t="shared" si="74"/>
        <v>58</v>
      </c>
      <c r="CF109" s="3">
        <f t="shared" si="74"/>
        <v>67</v>
      </c>
      <c r="CG109" s="3">
        <f t="shared" si="74"/>
        <v>41</v>
      </c>
      <c r="CH109" s="3">
        <f t="shared" si="74"/>
        <v>80</v>
      </c>
      <c r="CI109" s="3">
        <f t="shared" si="74"/>
        <v>99</v>
      </c>
      <c r="CJ109" s="3">
        <f t="shared" si="74"/>
        <v>165</v>
      </c>
      <c r="CK109" s="3">
        <f t="shared" si="74"/>
        <v>0</v>
      </c>
      <c r="CL109" s="3">
        <f t="shared" si="74"/>
        <v>0</v>
      </c>
    </row>
    <row r="110" spans="1:92" x14ac:dyDescent="0.3">
      <c r="B110" s="75"/>
      <c r="E110" s="50" t="s">
        <v>67</v>
      </c>
      <c r="F110" s="49"/>
      <c r="G110" s="49" t="str">
        <f t="shared" ref="G110:AU110" si="75">IFERROR((G109-F109)/F109,"")</f>
        <v/>
      </c>
      <c r="H110" s="49" t="str">
        <f t="shared" si="75"/>
        <v/>
      </c>
      <c r="I110" s="49" t="str">
        <f t="shared" si="75"/>
        <v/>
      </c>
      <c r="J110" s="49" t="str">
        <f t="shared" si="75"/>
        <v/>
      </c>
      <c r="K110" s="49" t="str">
        <f t="shared" si="75"/>
        <v/>
      </c>
      <c r="L110" s="49">
        <f t="shared" si="75"/>
        <v>0.23713646532438479</v>
      </c>
      <c r="M110" s="49">
        <f t="shared" si="75"/>
        <v>8.4990958408679929E-2</v>
      </c>
      <c r="N110" s="49">
        <f t="shared" si="75"/>
        <v>0.53333333333333333</v>
      </c>
      <c r="O110" s="49">
        <f t="shared" si="75"/>
        <v>0.19673913043478261</v>
      </c>
      <c r="P110" s="49">
        <f t="shared" si="75"/>
        <v>0.19618528610354224</v>
      </c>
      <c r="Q110" s="49">
        <f t="shared" si="75"/>
        <v>0.592255125284738</v>
      </c>
      <c r="R110" s="49">
        <f t="shared" si="75"/>
        <v>-0.1859799713876967</v>
      </c>
      <c r="S110" s="49">
        <f t="shared" si="75"/>
        <v>0.32161687170474518</v>
      </c>
      <c r="T110" s="49">
        <f t="shared" si="75"/>
        <v>7.4468085106382975E-2</v>
      </c>
      <c r="U110" s="49">
        <f t="shared" si="75"/>
        <v>0.17491749174917492</v>
      </c>
      <c r="V110" s="49">
        <f t="shared" si="75"/>
        <v>0.1815308988764045</v>
      </c>
      <c r="W110" s="49">
        <f t="shared" si="75"/>
        <v>-2.912332838038633E-2</v>
      </c>
      <c r="X110" s="49">
        <f t="shared" si="75"/>
        <v>-5.6932966023875112E-2</v>
      </c>
      <c r="Y110" s="49">
        <f t="shared" si="75"/>
        <v>-6.7510548523206745E-2</v>
      </c>
      <c r="Z110" s="49">
        <f t="shared" si="75"/>
        <v>2.4712843717368604E-2</v>
      </c>
      <c r="AA110" s="49">
        <f t="shared" si="75"/>
        <v>-9.3410326086956527E-2</v>
      </c>
      <c r="AB110" s="49">
        <f t="shared" si="75"/>
        <v>-0.12926189584113901</v>
      </c>
      <c r="AC110" s="49">
        <f t="shared" si="75"/>
        <v>8.6058519793459548E-2</v>
      </c>
      <c r="AD110" s="49">
        <f t="shared" si="75"/>
        <v>-0.18858954041204437</v>
      </c>
      <c r="AE110" s="49">
        <f t="shared" si="75"/>
        <v>7.421875E-2</v>
      </c>
      <c r="AF110" s="49">
        <f t="shared" si="75"/>
        <v>-8.1818181818181825E-3</v>
      </c>
      <c r="AG110" s="49">
        <f t="shared" si="75"/>
        <v>4.9495875343721359E-2</v>
      </c>
      <c r="AH110" s="49">
        <f t="shared" si="75"/>
        <v>-9.6506550218340606E-2</v>
      </c>
      <c r="AI110" s="49">
        <f t="shared" si="75"/>
        <v>9.2798453359110675E-2</v>
      </c>
      <c r="AJ110" s="49">
        <f t="shared" si="75"/>
        <v>7.0765148164528974E-2</v>
      </c>
      <c r="AK110" s="49">
        <f t="shared" si="75"/>
        <v>0.32176786451879391</v>
      </c>
      <c r="AL110" s="49">
        <f t="shared" si="75"/>
        <v>0.2096875</v>
      </c>
      <c r="AM110" s="49">
        <f t="shared" si="75"/>
        <v>5.6832859726168947E-3</v>
      </c>
      <c r="AN110" s="49">
        <f t="shared" si="75"/>
        <v>-9.6326740303108144E-2</v>
      </c>
      <c r="AO110" s="49">
        <f t="shared" si="75"/>
        <v>3.5815804434337691E-2</v>
      </c>
      <c r="AP110" s="49">
        <f t="shared" si="75"/>
        <v>5.4884742041712406E-4</v>
      </c>
      <c r="AQ110" s="49">
        <f t="shared" si="75"/>
        <v>-2.1393307734503566E-2</v>
      </c>
      <c r="AR110" s="49">
        <f t="shared" si="75"/>
        <v>-5.717488789237668E-2</v>
      </c>
      <c r="AS110" s="49">
        <f t="shared" si="75"/>
        <v>-0.17717003567181927</v>
      </c>
      <c r="AT110" s="49">
        <f t="shared" si="75"/>
        <v>6.3945086705202311E-2</v>
      </c>
      <c r="AU110" s="49">
        <f t="shared" si="75"/>
        <v>-0.25704584040747031</v>
      </c>
      <c r="AV110" s="49">
        <f>IFERROR((AV109-AR109)/AR109,"")</f>
        <v>-0.53894173602853745</v>
      </c>
      <c r="AW110" s="49">
        <f>IFERROR((AW109-AS109)/AS109,"")</f>
        <v>-0.53215317919075145</v>
      </c>
      <c r="AX110" s="49">
        <f>IFERROR((AX109-AT109)/AT109,"")</f>
        <v>-0.58438030560271648</v>
      </c>
      <c r="AY110" s="49">
        <f>IFERROR((AY109-AR109)/AR109,"")</f>
        <v>-0.81688466111771696</v>
      </c>
      <c r="AZ110" s="49">
        <f>IFERROR((AZ109-AS109)/AS109,"")</f>
        <v>-0.90570809248554918</v>
      </c>
      <c r="BA110" s="49">
        <f>IFERROR((BA109-AT109)/AT109,"")</f>
        <v>-0.79422750424448219</v>
      </c>
      <c r="BB110" s="49">
        <f>IFERROR((BB109-AR109)/AR109,"")</f>
        <v>-0.76902497027348393</v>
      </c>
      <c r="BC110" s="49">
        <f>IFERROR((BC109-AS109)/AS109,"")</f>
        <v>-0.67991329479768781</v>
      </c>
      <c r="BD110" s="49">
        <f>IFERROR((BD109-AT109)/AT109,"")</f>
        <v>-0.6241086587436333</v>
      </c>
      <c r="BE110" s="49">
        <f>IFERROR((BE109-AS109)/AS109,"")</f>
        <v>-0.54624277456647397</v>
      </c>
      <c r="BF110" s="49">
        <f>IFERROR((BF109-AT109)/AT109,"")</f>
        <v>-0.65704584040747027</v>
      </c>
      <c r="BG110" s="49">
        <f>IFERROR((BG109-AS109)/AS109,"")</f>
        <v>-0.56358381502890176</v>
      </c>
      <c r="BH110" s="49">
        <f>IFERROR((BH109-AT109)/AT109,"")</f>
        <v>-0.50865874363327679</v>
      </c>
      <c r="BI110" s="49">
        <f>IFERROR((BI109-AS109)/AS109,"")</f>
        <v>-0.40498554913294799</v>
      </c>
      <c r="BJ110" s="49">
        <f>IFERROR((BJ109-AT109)/AT109,"")</f>
        <v>-0.39117147707979627</v>
      </c>
      <c r="BK110" s="49">
        <f t="shared" ref="BK110:BO110" si="76">IFERROR((BK109-AP109)/AP109,"")</f>
        <v>-0.57158529895776189</v>
      </c>
      <c r="BL110" s="49">
        <f t="shared" si="76"/>
        <v>-0.523542600896861</v>
      </c>
      <c r="BM110" s="49">
        <f t="shared" si="76"/>
        <v>-0.46967895362663498</v>
      </c>
      <c r="BN110" s="49">
        <f t="shared" si="76"/>
        <v>-0.27167630057803466</v>
      </c>
      <c r="BO110" s="49">
        <f t="shared" si="76"/>
        <v>-0.32461799660441426</v>
      </c>
      <c r="BP110" s="49">
        <f>IFERROR((BP109-AS109)/AS109,"")</f>
        <v>-0.34140173410404623</v>
      </c>
      <c r="BQ110" s="49">
        <f>IFERROR((BQ109-AT109)/AT109,"")</f>
        <v>-0.52461799660441422</v>
      </c>
      <c r="BR110" s="49">
        <f>IFERROR((BR109-AS109)/AS109,"")</f>
        <v>-0.62210982658959535</v>
      </c>
      <c r="BS110" s="49">
        <f>IFERROR((BS109-AT109)/AT109,"")</f>
        <v>-0.73548387096774193</v>
      </c>
      <c r="BT110" s="49">
        <f>IFERROR((BT109-AT109)/AT109,"")</f>
        <v>-0.78268251273344647</v>
      </c>
      <c r="BU110" s="49">
        <f>IFERROR((BU109-AR109)/AR109,"")</f>
        <v>-0.89833531510107012</v>
      </c>
      <c r="BV110" s="49">
        <f>IFERROR((BV109-AS109)/AS109,"")</f>
        <v>-0.96315028901734101</v>
      </c>
      <c r="BW110" s="49">
        <f>IFERROR((BW109-AT109)/AT109,"")</f>
        <v>-0.93921901528013585</v>
      </c>
      <c r="BX110" s="49">
        <f>IFERROR((BX109-AT109)/AT109,"")</f>
        <v>-0.93174872665534803</v>
      </c>
      <c r="BY110" s="49">
        <f>IFERROR((BY109-AR109)/AR109,"")</f>
        <v>-0.93965517241379315</v>
      </c>
      <c r="BZ110" s="49">
        <f>IFERROR((BZ109-AS109)/AS109,"")</f>
        <v>-0.88294797687861271</v>
      </c>
      <c r="CA110" s="49">
        <f>IFERROR((CA109-AT109)/AT109,"")</f>
        <v>-0.93921901528013585</v>
      </c>
      <c r="CB110" s="49">
        <f>IFERROR((CB109-AT109)/AT109,"")</f>
        <v>-0.94261460101867567</v>
      </c>
      <c r="CC110" s="49">
        <f>IFERROR((CC109-AS109)/AS109,"")</f>
        <v>-0.93533236994219648</v>
      </c>
      <c r="CD110" s="49">
        <f>IFERROR((CD109-AT109)/AT109,"")</f>
        <v>-0.94465195246179967</v>
      </c>
      <c r="CE110" s="49">
        <f>IFERROR((CE109-AR109)/AR109,"")</f>
        <v>-0.98275862068965514</v>
      </c>
      <c r="CF110" s="49">
        <f>IFERROR((CF109-AS109)/AS109,"")</f>
        <v>-0.97579479768786126</v>
      </c>
      <c r="CG110" s="49">
        <f>IFERROR((CG109-AT109)/AT109,"")</f>
        <v>-0.98607809847198646</v>
      </c>
      <c r="CH110" s="49">
        <f>IFERROR((CH109-AR109)/AR109,"")</f>
        <v>-0.97621878715814503</v>
      </c>
      <c r="CI110" s="49">
        <f>IFERROR((CI109-AS109)/AS109,"")</f>
        <v>-0.96423410404624277</v>
      </c>
      <c r="CJ110" s="49">
        <f>IFERROR((CJ109-AT109)/AT109,"")</f>
        <v>-0.94397283531409171</v>
      </c>
      <c r="CK110" s="49">
        <f>IFERROR((CK109-AU109)/AU109,"")</f>
        <v>-1</v>
      </c>
      <c r="CL110" s="49" t="str">
        <f t="shared" ref="CL110" si="77">IFERROR((CL109-CK109)/CK109,"")</f>
        <v/>
      </c>
    </row>
    <row r="111" spans="1:92" x14ac:dyDescent="0.3">
      <c r="B111" s="75"/>
      <c r="E111" s="52" t="s">
        <v>69</v>
      </c>
      <c r="F111" s="53">
        <f t="shared" ref="F111:AW111" si="78">F17-F60</f>
        <v>964</v>
      </c>
      <c r="G111" s="53">
        <f t="shared" si="78"/>
        <v>685</v>
      </c>
      <c r="H111" s="53">
        <f t="shared" si="78"/>
        <v>647</v>
      </c>
      <c r="I111" s="53">
        <f t="shared" si="78"/>
        <v>1247</v>
      </c>
      <c r="J111" s="53">
        <f t="shared" si="78"/>
        <v>1691</v>
      </c>
      <c r="K111" s="53">
        <f t="shared" si="78"/>
        <v>1684</v>
      </c>
      <c r="L111" s="53">
        <f t="shared" si="78"/>
        <v>1488</v>
      </c>
      <c r="M111" s="53">
        <f t="shared" si="78"/>
        <v>1666</v>
      </c>
      <c r="N111" s="53">
        <f t="shared" si="78"/>
        <v>1209</v>
      </c>
      <c r="O111" s="53">
        <f t="shared" si="78"/>
        <v>781</v>
      </c>
      <c r="P111" s="53">
        <f t="shared" si="78"/>
        <v>3558</v>
      </c>
      <c r="Q111" s="53">
        <f t="shared" si="78"/>
        <v>3124</v>
      </c>
      <c r="R111" s="53">
        <f t="shared" si="78"/>
        <v>3237</v>
      </c>
      <c r="S111" s="53">
        <f t="shared" si="78"/>
        <v>2599</v>
      </c>
      <c r="T111" s="53">
        <f t="shared" si="78"/>
        <v>2239</v>
      </c>
      <c r="U111" s="53">
        <f t="shared" si="78"/>
        <v>1439</v>
      </c>
      <c r="V111" s="53">
        <f t="shared" si="78"/>
        <v>469</v>
      </c>
      <c r="W111" s="53">
        <f t="shared" si="78"/>
        <v>1555</v>
      </c>
      <c r="X111" s="53">
        <f t="shared" si="78"/>
        <v>1539</v>
      </c>
      <c r="Y111" s="53">
        <f t="shared" si="78"/>
        <v>1592</v>
      </c>
      <c r="Z111" s="53">
        <f t="shared" si="78"/>
        <v>1519</v>
      </c>
      <c r="AA111" s="53">
        <f t="shared" si="78"/>
        <v>1577</v>
      </c>
      <c r="AB111" s="53">
        <f t="shared" si="78"/>
        <v>1073</v>
      </c>
      <c r="AC111" s="53">
        <f t="shared" si="78"/>
        <v>821</v>
      </c>
      <c r="AD111" s="53">
        <f t="shared" si="78"/>
        <v>1049</v>
      </c>
      <c r="AE111" s="53">
        <f t="shared" si="78"/>
        <v>1016</v>
      </c>
      <c r="AF111" s="53">
        <f t="shared" si="78"/>
        <v>1722</v>
      </c>
      <c r="AG111" s="53">
        <f t="shared" si="78"/>
        <v>1708</v>
      </c>
      <c r="AH111" s="53">
        <f t="shared" si="78"/>
        <v>1636</v>
      </c>
      <c r="AI111" s="53">
        <f t="shared" si="78"/>
        <v>1056</v>
      </c>
      <c r="AJ111" s="53">
        <f t="shared" si="78"/>
        <v>845</v>
      </c>
      <c r="AK111" s="53">
        <f t="shared" si="78"/>
        <v>2042</v>
      </c>
      <c r="AL111" s="53">
        <f t="shared" si="78"/>
        <v>2441</v>
      </c>
      <c r="AM111" s="53">
        <f t="shared" si="78"/>
        <v>2165</v>
      </c>
      <c r="AN111" s="53">
        <f t="shared" si="78"/>
        <v>1997</v>
      </c>
      <c r="AO111" s="53">
        <f t="shared" si="78"/>
        <v>1799</v>
      </c>
      <c r="AP111" s="53">
        <f t="shared" si="78"/>
        <v>923</v>
      </c>
      <c r="AQ111" s="53">
        <f t="shared" si="78"/>
        <v>520</v>
      </c>
      <c r="AR111" s="53">
        <f t="shared" si="78"/>
        <v>527</v>
      </c>
      <c r="AS111" s="53">
        <f t="shared" si="78"/>
        <v>1707</v>
      </c>
      <c r="AT111" s="53">
        <f t="shared" si="78"/>
        <v>1448</v>
      </c>
      <c r="AU111" s="53">
        <f t="shared" si="78"/>
        <v>1381</v>
      </c>
      <c r="AV111" s="53">
        <f t="shared" si="78"/>
        <v>1288</v>
      </c>
      <c r="AW111" s="53">
        <f t="shared" si="78"/>
        <v>759</v>
      </c>
      <c r="AX111" s="53">
        <f>AX17-AX60</f>
        <v>411</v>
      </c>
      <c r="AY111" s="53">
        <f>AY17-AY60</f>
        <v>346</v>
      </c>
      <c r="AZ111" s="53">
        <f>AZ17-AZ60</f>
        <v>2169</v>
      </c>
      <c r="BA111" s="53">
        <f>BA17-BA60</f>
        <v>1887</v>
      </c>
      <c r="BB111" s="53">
        <f>BB17-BB60</f>
        <v>1602</v>
      </c>
      <c r="BC111" s="53">
        <f t="shared" ref="BC111:CL111" si="79">BC17-BC60</f>
        <v>1462</v>
      </c>
      <c r="BD111" s="53">
        <f t="shared" si="79"/>
        <v>902</v>
      </c>
      <c r="BE111" s="53">
        <f t="shared" si="79"/>
        <v>479</v>
      </c>
      <c r="BF111" s="53">
        <f t="shared" si="79"/>
        <v>1879</v>
      </c>
      <c r="BG111" s="53">
        <f t="shared" si="79"/>
        <v>1541</v>
      </c>
      <c r="BH111" s="53">
        <f t="shared" si="79"/>
        <v>2065</v>
      </c>
      <c r="BI111" s="53">
        <f t="shared" si="79"/>
        <v>2042</v>
      </c>
      <c r="BJ111" s="53">
        <f t="shared" si="79"/>
        <v>1962</v>
      </c>
      <c r="BK111" s="53">
        <f t="shared" si="79"/>
        <v>1101</v>
      </c>
      <c r="BL111" s="53">
        <f t="shared" si="79"/>
        <v>696</v>
      </c>
      <c r="BM111" s="53">
        <f t="shared" si="79"/>
        <v>2230</v>
      </c>
      <c r="BN111" s="53">
        <f t="shared" si="79"/>
        <v>2097</v>
      </c>
      <c r="BO111" s="53">
        <f t="shared" si="79"/>
        <v>2339</v>
      </c>
      <c r="BP111" s="53">
        <f t="shared" si="79"/>
        <v>2042</v>
      </c>
      <c r="BQ111" s="53">
        <f t="shared" si="79"/>
        <v>2023</v>
      </c>
      <c r="BR111" s="53">
        <f t="shared" si="79"/>
        <v>1201</v>
      </c>
      <c r="BS111" s="53">
        <f t="shared" si="79"/>
        <v>727</v>
      </c>
      <c r="BT111" s="53">
        <f t="shared" si="79"/>
        <v>2603</v>
      </c>
      <c r="BU111" s="53">
        <f t="shared" si="79"/>
        <v>2227</v>
      </c>
      <c r="BV111" s="53">
        <f t="shared" si="79"/>
        <v>1673</v>
      </c>
      <c r="BW111" s="53">
        <f t="shared" si="79"/>
        <v>1578</v>
      </c>
      <c r="BX111" s="53">
        <f t="shared" si="79"/>
        <v>1414</v>
      </c>
      <c r="BY111" s="53">
        <f t="shared" si="79"/>
        <v>695</v>
      </c>
      <c r="BZ111" s="53">
        <f t="shared" si="79"/>
        <v>485</v>
      </c>
      <c r="CA111" s="53">
        <f t="shared" si="79"/>
        <v>1343</v>
      </c>
      <c r="CB111" s="53">
        <f t="shared" si="79"/>
        <v>1268</v>
      </c>
      <c r="CC111" s="53">
        <f t="shared" si="79"/>
        <v>1118</v>
      </c>
      <c r="CD111" s="53">
        <f t="shared" si="79"/>
        <v>1032</v>
      </c>
      <c r="CE111" s="53">
        <f t="shared" si="79"/>
        <v>943</v>
      </c>
      <c r="CF111" s="53">
        <f t="shared" si="79"/>
        <v>508</v>
      </c>
      <c r="CG111" s="53">
        <f t="shared" si="79"/>
        <v>346</v>
      </c>
      <c r="CH111" s="53">
        <f t="shared" si="79"/>
        <v>404</v>
      </c>
      <c r="CI111" s="53">
        <f t="shared" si="79"/>
        <v>948</v>
      </c>
      <c r="CJ111" s="53">
        <f t="shared" si="79"/>
        <v>879</v>
      </c>
      <c r="CK111" s="53">
        <f t="shared" si="79"/>
        <v>1051</v>
      </c>
      <c r="CL111" s="53">
        <f t="shared" si="79"/>
        <v>0</v>
      </c>
    </row>
    <row r="112" spans="1:92" x14ac:dyDescent="0.3">
      <c r="B112" s="75"/>
      <c r="E112" s="51" t="s">
        <v>68</v>
      </c>
      <c r="F112" s="3">
        <f t="shared" ref="F112:BQ112" si="80">F111+F109</f>
        <v>964</v>
      </c>
      <c r="G112" s="3">
        <f t="shared" si="80"/>
        <v>685</v>
      </c>
      <c r="H112" s="3">
        <f t="shared" si="80"/>
        <v>647</v>
      </c>
      <c r="I112" s="3">
        <f t="shared" si="80"/>
        <v>1247</v>
      </c>
      <c r="J112" s="3">
        <f t="shared" si="80"/>
        <v>1691</v>
      </c>
      <c r="K112" s="3">
        <f t="shared" si="80"/>
        <v>2131</v>
      </c>
      <c r="L112" s="3">
        <f t="shared" si="80"/>
        <v>2041</v>
      </c>
      <c r="M112" s="3">
        <f t="shared" si="80"/>
        <v>2266</v>
      </c>
      <c r="N112" s="3">
        <f t="shared" si="80"/>
        <v>2129</v>
      </c>
      <c r="O112" s="3">
        <f t="shared" si="80"/>
        <v>1882</v>
      </c>
      <c r="P112" s="3">
        <f t="shared" si="80"/>
        <v>4875</v>
      </c>
      <c r="Q112" s="3">
        <f t="shared" si="80"/>
        <v>5221</v>
      </c>
      <c r="R112" s="3">
        <f t="shared" si="80"/>
        <v>4944</v>
      </c>
      <c r="S112" s="3">
        <f t="shared" si="80"/>
        <v>4855</v>
      </c>
      <c r="T112" s="3">
        <f t="shared" si="80"/>
        <v>4663</v>
      </c>
      <c r="U112" s="3">
        <f t="shared" si="80"/>
        <v>4287</v>
      </c>
      <c r="V112" s="3">
        <f t="shared" si="80"/>
        <v>3834</v>
      </c>
      <c r="W112" s="3">
        <f t="shared" si="80"/>
        <v>4822</v>
      </c>
      <c r="X112" s="3">
        <f t="shared" si="80"/>
        <v>4620</v>
      </c>
      <c r="Y112" s="3">
        <f t="shared" si="80"/>
        <v>4465</v>
      </c>
      <c r="Z112" s="3">
        <f t="shared" si="80"/>
        <v>4463</v>
      </c>
      <c r="AA112" s="3">
        <f t="shared" si="80"/>
        <v>4246</v>
      </c>
      <c r="AB112" s="3">
        <f t="shared" si="80"/>
        <v>3397</v>
      </c>
      <c r="AC112" s="3">
        <f t="shared" si="80"/>
        <v>3345</v>
      </c>
      <c r="AD112" s="3">
        <f t="shared" si="80"/>
        <v>3097</v>
      </c>
      <c r="AE112" s="3">
        <f t="shared" si="80"/>
        <v>3216</v>
      </c>
      <c r="AF112" s="3">
        <f t="shared" si="80"/>
        <v>3904</v>
      </c>
      <c r="AG112" s="3">
        <f t="shared" si="80"/>
        <v>3998</v>
      </c>
      <c r="AH112" s="3">
        <f t="shared" si="80"/>
        <v>3705</v>
      </c>
      <c r="AI112" s="3">
        <f t="shared" si="80"/>
        <v>3317</v>
      </c>
      <c r="AJ112" s="3">
        <f t="shared" si="80"/>
        <v>3266</v>
      </c>
      <c r="AK112" s="3">
        <f t="shared" si="80"/>
        <v>5242</v>
      </c>
      <c r="AL112" s="3">
        <f t="shared" si="80"/>
        <v>6312</v>
      </c>
      <c r="AM112" s="3">
        <f t="shared" si="80"/>
        <v>6058</v>
      </c>
      <c r="AN112" s="3">
        <f t="shared" si="80"/>
        <v>5515</v>
      </c>
      <c r="AO112" s="3">
        <f t="shared" si="80"/>
        <v>5443</v>
      </c>
      <c r="AP112" s="3">
        <f t="shared" si="80"/>
        <v>4569</v>
      </c>
      <c r="AQ112" s="3">
        <f t="shared" si="80"/>
        <v>4088</v>
      </c>
      <c r="AR112" s="3">
        <f t="shared" si="80"/>
        <v>3891</v>
      </c>
      <c r="AS112" s="3">
        <f t="shared" si="80"/>
        <v>4475</v>
      </c>
      <c r="AT112" s="3">
        <f t="shared" si="80"/>
        <v>4393</v>
      </c>
      <c r="AU112" s="3">
        <f t="shared" si="80"/>
        <v>3569</v>
      </c>
      <c r="AV112" s="3">
        <f t="shared" si="80"/>
        <v>2839</v>
      </c>
      <c r="AW112" s="3">
        <f t="shared" si="80"/>
        <v>2054</v>
      </c>
      <c r="AX112" s="3">
        <f t="shared" si="80"/>
        <v>1635</v>
      </c>
      <c r="AY112" s="3">
        <f t="shared" si="80"/>
        <v>962</v>
      </c>
      <c r="AZ112" s="3">
        <f t="shared" si="80"/>
        <v>2430</v>
      </c>
      <c r="BA112" s="3">
        <f t="shared" si="80"/>
        <v>2493</v>
      </c>
      <c r="BB112" s="3">
        <f t="shared" si="80"/>
        <v>2379</v>
      </c>
      <c r="BC112" s="3">
        <f t="shared" si="80"/>
        <v>2348</v>
      </c>
      <c r="BD112" s="3">
        <f t="shared" si="80"/>
        <v>2009</v>
      </c>
      <c r="BE112" s="3">
        <f t="shared" si="80"/>
        <v>1735</v>
      </c>
      <c r="BF112" s="3">
        <f t="shared" si="80"/>
        <v>2889</v>
      </c>
      <c r="BG112" s="3">
        <f t="shared" si="80"/>
        <v>2749</v>
      </c>
      <c r="BH112" s="3">
        <f t="shared" si="80"/>
        <v>3512</v>
      </c>
      <c r="BI112" s="3">
        <f t="shared" si="80"/>
        <v>3689</v>
      </c>
      <c r="BJ112" s="3">
        <f t="shared" si="80"/>
        <v>3755</v>
      </c>
      <c r="BK112" s="3">
        <f t="shared" si="80"/>
        <v>2663</v>
      </c>
      <c r="BL112" s="3">
        <f t="shared" si="80"/>
        <v>2396</v>
      </c>
      <c r="BM112" s="3">
        <f t="shared" si="80"/>
        <v>4014</v>
      </c>
      <c r="BN112" s="3">
        <f t="shared" si="80"/>
        <v>4113</v>
      </c>
      <c r="BO112" s="3">
        <f t="shared" si="80"/>
        <v>4328</v>
      </c>
      <c r="BP112" s="3">
        <f t="shared" si="80"/>
        <v>3865</v>
      </c>
      <c r="BQ112" s="3">
        <f t="shared" si="80"/>
        <v>3423</v>
      </c>
      <c r="BR112" s="3">
        <f t="shared" ref="BR112:CL112" si="81">BR111+BR109</f>
        <v>2247</v>
      </c>
      <c r="BS112" s="3">
        <f t="shared" si="81"/>
        <v>1506</v>
      </c>
      <c r="BT112" s="3">
        <f t="shared" si="81"/>
        <v>3243</v>
      </c>
      <c r="BU112" s="3">
        <f t="shared" si="81"/>
        <v>2569</v>
      </c>
      <c r="BV112" s="3">
        <f t="shared" si="81"/>
        <v>1775</v>
      </c>
      <c r="BW112" s="3">
        <f t="shared" si="81"/>
        <v>1757</v>
      </c>
      <c r="BX112" s="3">
        <f t="shared" si="81"/>
        <v>1615</v>
      </c>
      <c r="BY112" s="3">
        <f t="shared" si="81"/>
        <v>898</v>
      </c>
      <c r="BZ112" s="3">
        <f t="shared" si="81"/>
        <v>809</v>
      </c>
      <c r="CA112" s="3">
        <f t="shared" si="81"/>
        <v>1522</v>
      </c>
      <c r="CB112" s="3">
        <f t="shared" si="81"/>
        <v>1437</v>
      </c>
      <c r="CC112" s="3">
        <f t="shared" si="81"/>
        <v>1297</v>
      </c>
      <c r="CD112" s="3">
        <f t="shared" si="81"/>
        <v>1195</v>
      </c>
      <c r="CE112" s="3">
        <f t="shared" si="81"/>
        <v>1001</v>
      </c>
      <c r="CF112" s="3">
        <f t="shared" si="81"/>
        <v>575</v>
      </c>
      <c r="CG112" s="3">
        <f t="shared" si="81"/>
        <v>387</v>
      </c>
      <c r="CH112" s="3">
        <f t="shared" si="81"/>
        <v>484</v>
      </c>
      <c r="CI112" s="3">
        <f t="shared" si="81"/>
        <v>1047</v>
      </c>
      <c r="CJ112" s="3">
        <f t="shared" si="81"/>
        <v>1044</v>
      </c>
      <c r="CK112" s="3">
        <f t="shared" si="81"/>
        <v>1051</v>
      </c>
      <c r="CL112" s="3">
        <f t="shared" si="81"/>
        <v>0</v>
      </c>
    </row>
    <row r="113" spans="2:93" ht="15" thickBot="1" x14ac:dyDescent="0.35">
      <c r="B113" s="75"/>
      <c r="C113" s="32"/>
      <c r="D113" s="32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</row>
    <row r="114" spans="2:93" ht="15" thickBot="1" x14ac:dyDescent="0.35">
      <c r="B114" s="75"/>
      <c r="E114" s="23" t="s">
        <v>5</v>
      </c>
      <c r="F114" s="8">
        <v>320</v>
      </c>
      <c r="G114" s="8">
        <v>588</v>
      </c>
      <c r="H114" s="8">
        <v>603</v>
      </c>
      <c r="I114" s="8">
        <v>918</v>
      </c>
      <c r="J114" s="8">
        <v>1169</v>
      </c>
      <c r="K114" s="8">
        <v>1191</v>
      </c>
      <c r="L114" s="8">
        <v>1298</v>
      </c>
      <c r="M114" s="8">
        <v>1369</v>
      </c>
      <c r="N114" s="8">
        <v>1000</v>
      </c>
      <c r="O114" s="8">
        <v>463</v>
      </c>
      <c r="P114" s="8">
        <v>1214</v>
      </c>
      <c r="Q114" s="8">
        <v>1097</v>
      </c>
      <c r="R114" s="8">
        <v>1187</v>
      </c>
      <c r="S114" s="8">
        <v>1164</v>
      </c>
      <c r="T114" s="8">
        <v>957</v>
      </c>
      <c r="U114" s="8">
        <v>473</v>
      </c>
      <c r="V114" s="8">
        <v>692</v>
      </c>
      <c r="W114" s="8">
        <v>1210</v>
      </c>
      <c r="X114" s="8">
        <v>1143</v>
      </c>
      <c r="Y114" s="8">
        <v>1137</v>
      </c>
      <c r="Z114" s="8">
        <v>1598</v>
      </c>
      <c r="AA114" s="8">
        <v>1759</v>
      </c>
      <c r="AB114" s="8">
        <f t="shared" ref="AB114:CL114" si="82">AB20-AB63</f>
        <v>766</v>
      </c>
      <c r="AC114" s="8">
        <f t="shared" si="82"/>
        <v>1121</v>
      </c>
      <c r="AD114" s="8">
        <f t="shared" si="82"/>
        <v>1808</v>
      </c>
      <c r="AE114" s="8">
        <f t="shared" si="82"/>
        <v>1759</v>
      </c>
      <c r="AF114" s="8">
        <f t="shared" si="82"/>
        <v>1943</v>
      </c>
      <c r="AG114" s="8">
        <f t="shared" si="82"/>
        <v>1790</v>
      </c>
      <c r="AH114" s="8">
        <f t="shared" si="82"/>
        <v>1658</v>
      </c>
      <c r="AI114" s="8">
        <f t="shared" si="82"/>
        <v>906</v>
      </c>
      <c r="AJ114" s="8">
        <f t="shared" si="82"/>
        <v>647</v>
      </c>
      <c r="AK114" s="8">
        <f t="shared" si="82"/>
        <v>1642</v>
      </c>
      <c r="AL114" s="8">
        <f t="shared" si="82"/>
        <v>1627</v>
      </c>
      <c r="AM114" s="8">
        <f t="shared" si="82"/>
        <v>1415</v>
      </c>
      <c r="AN114" s="8">
        <f t="shared" si="82"/>
        <v>1626</v>
      </c>
      <c r="AO114" s="8">
        <f t="shared" si="82"/>
        <v>1636</v>
      </c>
      <c r="AP114" s="8">
        <f t="shared" si="82"/>
        <v>813</v>
      </c>
      <c r="AQ114" s="8">
        <f t="shared" si="82"/>
        <v>834</v>
      </c>
      <c r="AR114" s="8">
        <f t="shared" si="82"/>
        <v>1102</v>
      </c>
      <c r="AS114" s="8">
        <f t="shared" si="82"/>
        <v>1657</v>
      </c>
      <c r="AT114" s="8">
        <f t="shared" si="82"/>
        <v>1870</v>
      </c>
      <c r="AU114" s="8">
        <f t="shared" si="82"/>
        <v>1858</v>
      </c>
      <c r="AV114" s="8">
        <f t="shared" si="82"/>
        <v>1961</v>
      </c>
      <c r="AW114" s="8">
        <f t="shared" si="82"/>
        <v>1008</v>
      </c>
      <c r="AX114" s="8">
        <f t="shared" si="82"/>
        <v>999</v>
      </c>
      <c r="AY114" s="8">
        <f t="shared" si="82"/>
        <v>861</v>
      </c>
      <c r="AZ114" s="8">
        <f t="shared" si="82"/>
        <v>1643</v>
      </c>
      <c r="BA114" s="8">
        <f t="shared" si="82"/>
        <v>1661</v>
      </c>
      <c r="BB114" s="8">
        <f t="shared" si="82"/>
        <v>1578</v>
      </c>
      <c r="BC114" s="8">
        <f t="shared" si="82"/>
        <v>1666</v>
      </c>
      <c r="BD114" s="8">
        <f t="shared" si="82"/>
        <v>841</v>
      </c>
      <c r="BE114" s="8">
        <f t="shared" si="82"/>
        <v>664</v>
      </c>
      <c r="BF114" s="8">
        <f t="shared" si="82"/>
        <v>1636</v>
      </c>
      <c r="BG114" s="8">
        <f t="shared" si="82"/>
        <v>1607</v>
      </c>
      <c r="BH114" s="8">
        <f t="shared" si="82"/>
        <v>1583</v>
      </c>
      <c r="BI114" s="8">
        <f t="shared" si="82"/>
        <v>1661</v>
      </c>
      <c r="BJ114" s="8">
        <f t="shared" si="82"/>
        <v>1454</v>
      </c>
      <c r="BK114" s="8">
        <f t="shared" si="82"/>
        <v>776</v>
      </c>
      <c r="BL114" s="8">
        <f t="shared" si="82"/>
        <v>591</v>
      </c>
      <c r="BM114" s="8">
        <f t="shared" si="82"/>
        <v>1431</v>
      </c>
      <c r="BN114" s="8">
        <f t="shared" si="82"/>
        <v>1476</v>
      </c>
      <c r="BO114" s="8">
        <f t="shared" si="82"/>
        <v>1467</v>
      </c>
      <c r="BP114" s="8">
        <f t="shared" si="82"/>
        <v>1627</v>
      </c>
      <c r="BQ114" s="8">
        <f t="shared" si="82"/>
        <v>1620</v>
      </c>
      <c r="BR114" s="8">
        <f t="shared" si="82"/>
        <v>995</v>
      </c>
      <c r="BS114" s="8">
        <f t="shared" si="82"/>
        <v>624</v>
      </c>
      <c r="BT114" s="8">
        <f t="shared" si="82"/>
        <v>1707</v>
      </c>
      <c r="BU114" s="8">
        <f t="shared" si="82"/>
        <v>1707</v>
      </c>
      <c r="BV114" s="8">
        <f t="shared" si="82"/>
        <v>1509</v>
      </c>
      <c r="BW114" s="8">
        <f t="shared" si="82"/>
        <v>1180</v>
      </c>
      <c r="BX114" s="8">
        <f t="shared" si="82"/>
        <v>1505</v>
      </c>
      <c r="BY114" s="8">
        <f t="shared" si="82"/>
        <v>514</v>
      </c>
      <c r="BZ114" s="8">
        <f t="shared" si="82"/>
        <v>599</v>
      </c>
      <c r="CA114" s="8">
        <f t="shared" si="82"/>
        <v>1243</v>
      </c>
      <c r="CB114" s="8">
        <f t="shared" si="82"/>
        <v>1349</v>
      </c>
      <c r="CC114" s="8">
        <f t="shared" si="82"/>
        <v>1577</v>
      </c>
      <c r="CD114" s="8">
        <f t="shared" si="82"/>
        <v>1275</v>
      </c>
      <c r="CE114" s="8">
        <f t="shared" si="82"/>
        <v>1085</v>
      </c>
      <c r="CF114" s="8">
        <f t="shared" si="82"/>
        <v>645</v>
      </c>
      <c r="CG114" s="8">
        <f t="shared" si="82"/>
        <v>431</v>
      </c>
      <c r="CH114" s="8">
        <f t="shared" si="82"/>
        <v>593</v>
      </c>
      <c r="CI114" s="8">
        <f t="shared" si="82"/>
        <v>1645</v>
      </c>
      <c r="CJ114" s="8">
        <f t="shared" si="82"/>
        <v>0</v>
      </c>
      <c r="CK114" s="8">
        <f t="shared" si="82"/>
        <v>0</v>
      </c>
      <c r="CL114" s="9">
        <f t="shared" si="82"/>
        <v>0</v>
      </c>
      <c r="CM114" s="29">
        <f>SUM(F114:CL114)</f>
        <v>101022</v>
      </c>
      <c r="CN114" s="33">
        <f>CM114-CM105</f>
        <v>-16287</v>
      </c>
    </row>
    <row r="115" spans="2:93" x14ac:dyDescent="0.3">
      <c r="B115" s="75"/>
      <c r="I115" s="22"/>
      <c r="J115" s="22"/>
      <c r="K115" s="22"/>
      <c r="L115" s="22"/>
      <c r="M115" s="22"/>
      <c r="N115" s="22"/>
      <c r="O115" s="22"/>
    </row>
    <row r="116" spans="2:93" x14ac:dyDescent="0.3">
      <c r="B116" s="75"/>
      <c r="E116" s="37" t="s">
        <v>17</v>
      </c>
      <c r="I116" s="22"/>
      <c r="J116" s="22"/>
      <c r="K116" s="22"/>
      <c r="L116" s="22"/>
      <c r="M116" s="22"/>
      <c r="N116" s="22"/>
      <c r="O116" s="22"/>
      <c r="CM116" s="76" t="s">
        <v>34</v>
      </c>
      <c r="CN116" s="76"/>
      <c r="CO116" s="76"/>
    </row>
    <row r="117" spans="2:93" ht="20.399999999999999" customHeight="1" outlineLevel="1" x14ac:dyDescent="0.3">
      <c r="B117" s="75"/>
      <c r="E117" s="38" t="s">
        <v>24</v>
      </c>
      <c r="F117" s="39">
        <v>102</v>
      </c>
      <c r="G117" s="39">
        <v>98</v>
      </c>
      <c r="H117" s="39">
        <v>72</v>
      </c>
      <c r="I117" s="39">
        <v>81</v>
      </c>
      <c r="J117" s="39">
        <v>96</v>
      </c>
      <c r="K117" s="39">
        <v>79</v>
      </c>
      <c r="L117" s="39">
        <v>87</v>
      </c>
      <c r="M117" s="39">
        <v>119</v>
      </c>
      <c r="N117" s="39">
        <v>95</v>
      </c>
      <c r="O117" s="39">
        <v>61</v>
      </c>
      <c r="P117" s="39">
        <v>374</v>
      </c>
      <c r="Q117" s="39">
        <v>262</v>
      </c>
      <c r="R117" s="39">
        <v>345</v>
      </c>
      <c r="S117" s="39">
        <v>401</v>
      </c>
      <c r="T117" s="39">
        <v>290</v>
      </c>
      <c r="U117" s="39">
        <v>177</v>
      </c>
      <c r="V117" s="39">
        <v>78</v>
      </c>
      <c r="W117" s="39">
        <v>290</v>
      </c>
      <c r="X117" s="39">
        <v>332</v>
      </c>
      <c r="Y117" s="39">
        <v>194</v>
      </c>
      <c r="Z117" s="39">
        <v>148</v>
      </c>
      <c r="AA117" s="39">
        <v>148</v>
      </c>
      <c r="AB117" s="39">
        <v>116</v>
      </c>
      <c r="AC117" s="39">
        <v>98</v>
      </c>
      <c r="AD117" s="39">
        <v>133</v>
      </c>
      <c r="AE117" s="39">
        <v>170</v>
      </c>
      <c r="AF117" s="39">
        <v>154</v>
      </c>
      <c r="AG117" s="39">
        <v>147</v>
      </c>
      <c r="AH117" s="39">
        <v>157</v>
      </c>
      <c r="AI117" s="39">
        <v>106</v>
      </c>
      <c r="AJ117" s="39">
        <v>93</v>
      </c>
      <c r="AK117" s="39">
        <v>223</v>
      </c>
      <c r="AL117" s="39">
        <v>216</v>
      </c>
      <c r="AM117" s="39">
        <v>237</v>
      </c>
      <c r="AN117" s="39">
        <v>218</v>
      </c>
      <c r="AO117" s="39">
        <v>156</v>
      </c>
      <c r="AP117" s="39">
        <v>136</v>
      </c>
      <c r="AQ117" s="39">
        <v>35</v>
      </c>
      <c r="AR117" s="39">
        <v>40</v>
      </c>
      <c r="AS117" s="39">
        <v>154</v>
      </c>
      <c r="AT117" s="39">
        <v>163</v>
      </c>
      <c r="AU117" s="39">
        <v>171</v>
      </c>
      <c r="AV117" s="39">
        <v>133</v>
      </c>
      <c r="AW117" s="39">
        <v>94</v>
      </c>
      <c r="AX117" s="39">
        <v>27</v>
      </c>
      <c r="AY117" s="39">
        <v>29</v>
      </c>
      <c r="AZ117" s="39">
        <v>116</v>
      </c>
      <c r="BA117" s="39">
        <v>98</v>
      </c>
      <c r="BB117" s="39">
        <v>130</v>
      </c>
      <c r="BC117" s="39">
        <v>78</v>
      </c>
      <c r="BD117" s="39">
        <v>64</v>
      </c>
      <c r="BE117" s="39">
        <v>36</v>
      </c>
      <c r="BF117" s="39">
        <v>90</v>
      </c>
      <c r="BG117" s="39">
        <v>92</v>
      </c>
      <c r="BH117" s="39">
        <v>78</v>
      </c>
      <c r="BI117" s="39">
        <v>61</v>
      </c>
      <c r="BJ117" s="39">
        <v>69</v>
      </c>
      <c r="BK117" s="39">
        <v>44</v>
      </c>
      <c r="BL117" s="39">
        <v>22</v>
      </c>
      <c r="BM117" s="39">
        <v>93</v>
      </c>
      <c r="BN117" s="39">
        <v>104</v>
      </c>
      <c r="BO117" s="39">
        <v>67</v>
      </c>
      <c r="BP117" s="39">
        <v>72</v>
      </c>
      <c r="BQ117" s="39">
        <v>79</v>
      </c>
      <c r="BR117" s="39">
        <v>23</v>
      </c>
      <c r="BS117" s="39">
        <v>20</v>
      </c>
      <c r="BT117" s="39">
        <v>74</v>
      </c>
      <c r="BU117" s="39">
        <v>75</v>
      </c>
      <c r="BV117" s="39">
        <v>62</v>
      </c>
      <c r="BW117" s="39">
        <v>43</v>
      </c>
      <c r="BX117" s="39">
        <v>43</v>
      </c>
      <c r="BY117" s="39">
        <v>31</v>
      </c>
      <c r="BZ117" s="39">
        <v>13</v>
      </c>
      <c r="CA117" s="39">
        <v>48</v>
      </c>
      <c r="CB117" s="39">
        <v>57</v>
      </c>
      <c r="CC117" s="39">
        <v>54</v>
      </c>
      <c r="CD117" s="39">
        <v>41</v>
      </c>
      <c r="CE117" s="39">
        <v>26</v>
      </c>
      <c r="CF117" s="39">
        <v>25</v>
      </c>
      <c r="CG117" s="39">
        <v>7</v>
      </c>
      <c r="CH117" s="39">
        <v>15</v>
      </c>
      <c r="CI117" s="39">
        <v>72</v>
      </c>
      <c r="CJ117" s="39"/>
      <c r="CK117" s="39"/>
      <c r="CL117" s="39"/>
      <c r="CM117" s="84"/>
      <c r="CN117" s="84"/>
      <c r="CO117" s="84"/>
    </row>
    <row r="118" spans="2:93" ht="20.399999999999999" customHeight="1" outlineLevel="1" x14ac:dyDescent="0.3">
      <c r="B118" s="75"/>
      <c r="E118" s="43" t="s">
        <v>25</v>
      </c>
      <c r="F118" s="44">
        <v>188</v>
      </c>
      <c r="G118" s="44">
        <v>148</v>
      </c>
      <c r="H118" s="44">
        <v>150</v>
      </c>
      <c r="I118" s="44">
        <v>141</v>
      </c>
      <c r="J118" s="44">
        <v>196</v>
      </c>
      <c r="K118" s="44">
        <v>173</v>
      </c>
      <c r="L118" s="44">
        <v>248</v>
      </c>
      <c r="M118" s="44">
        <v>220</v>
      </c>
      <c r="N118" s="44">
        <v>179</v>
      </c>
      <c r="O118" s="44">
        <v>150</v>
      </c>
      <c r="P118" s="44">
        <v>690</v>
      </c>
      <c r="Q118" s="44">
        <v>429</v>
      </c>
      <c r="R118" s="44">
        <v>474</v>
      </c>
      <c r="S118" s="44">
        <v>356</v>
      </c>
      <c r="T118" s="44">
        <v>314</v>
      </c>
      <c r="U118" s="44">
        <v>588</v>
      </c>
      <c r="V118" s="44">
        <v>215</v>
      </c>
      <c r="W118" s="44">
        <v>500</v>
      </c>
      <c r="X118" s="44">
        <v>516</v>
      </c>
      <c r="Y118" s="44">
        <v>427</v>
      </c>
      <c r="Z118" s="44">
        <v>353</v>
      </c>
      <c r="AA118" s="44">
        <v>469</v>
      </c>
      <c r="AB118" s="44">
        <v>302</v>
      </c>
      <c r="AC118" s="44">
        <v>321</v>
      </c>
      <c r="AD118" s="44">
        <v>696</v>
      </c>
      <c r="AE118" s="44">
        <v>614</v>
      </c>
      <c r="AF118" s="44">
        <v>746</v>
      </c>
      <c r="AG118" s="44">
        <v>570</v>
      </c>
      <c r="AH118" s="44">
        <v>447</v>
      </c>
      <c r="AI118" s="44">
        <v>210</v>
      </c>
      <c r="AJ118" s="44">
        <v>204</v>
      </c>
      <c r="AK118" s="44">
        <v>604</v>
      </c>
      <c r="AL118" s="44">
        <v>413</v>
      </c>
      <c r="AM118" s="44">
        <v>412</v>
      </c>
      <c r="AN118" s="44">
        <v>395</v>
      </c>
      <c r="AO118" s="44">
        <v>324</v>
      </c>
      <c r="AP118" s="44">
        <v>185</v>
      </c>
      <c r="AQ118" s="44">
        <v>105</v>
      </c>
      <c r="AR118" s="44">
        <v>93</v>
      </c>
      <c r="AS118" s="44">
        <v>608</v>
      </c>
      <c r="AT118" s="44">
        <v>296</v>
      </c>
      <c r="AU118" s="44">
        <v>423</v>
      </c>
      <c r="AV118" s="44">
        <v>293</v>
      </c>
      <c r="AW118" s="44">
        <v>239</v>
      </c>
      <c r="AX118" s="44">
        <v>112</v>
      </c>
      <c r="AY118" s="44">
        <v>105</v>
      </c>
      <c r="AZ118" s="44">
        <v>288</v>
      </c>
      <c r="BA118" s="44">
        <v>317</v>
      </c>
      <c r="BB118" s="44">
        <v>264</v>
      </c>
      <c r="BC118" s="44">
        <v>261</v>
      </c>
      <c r="BD118" s="44">
        <v>150</v>
      </c>
      <c r="BE118" s="44">
        <v>120</v>
      </c>
      <c r="BF118" s="44">
        <v>286</v>
      </c>
      <c r="BG118" s="44">
        <v>399</v>
      </c>
      <c r="BH118" s="44">
        <v>557</v>
      </c>
      <c r="BI118" s="44">
        <v>528</v>
      </c>
      <c r="BJ118" s="44">
        <v>409</v>
      </c>
      <c r="BK118" s="44">
        <v>243</v>
      </c>
      <c r="BL118" s="44">
        <v>140</v>
      </c>
      <c r="BM118" s="44">
        <v>483</v>
      </c>
      <c r="BN118" s="44">
        <v>437</v>
      </c>
      <c r="BO118" s="44">
        <v>353</v>
      </c>
      <c r="BP118" s="44">
        <v>305</v>
      </c>
      <c r="BQ118" s="44">
        <v>223</v>
      </c>
      <c r="BR118" s="44">
        <v>134</v>
      </c>
      <c r="BS118" s="44">
        <v>100</v>
      </c>
      <c r="BT118" s="44">
        <v>232</v>
      </c>
      <c r="BU118" s="44">
        <v>254</v>
      </c>
      <c r="BV118" s="44">
        <v>147</v>
      </c>
      <c r="BW118" s="44">
        <v>144</v>
      </c>
      <c r="BX118" s="44">
        <v>121</v>
      </c>
      <c r="BY118" s="44">
        <v>101</v>
      </c>
      <c r="BZ118" s="44">
        <v>72</v>
      </c>
      <c r="CA118" s="44">
        <v>104</v>
      </c>
      <c r="CB118" s="44">
        <v>102</v>
      </c>
      <c r="CC118" s="44">
        <v>110</v>
      </c>
      <c r="CD118" s="44">
        <v>85</v>
      </c>
      <c r="CE118" s="44">
        <v>75</v>
      </c>
      <c r="CF118" s="44">
        <v>43</v>
      </c>
      <c r="CG118" s="44">
        <v>31</v>
      </c>
      <c r="CH118" s="44">
        <v>24</v>
      </c>
      <c r="CI118" s="44">
        <v>58</v>
      </c>
      <c r="CJ118" s="44"/>
      <c r="CK118" s="44"/>
      <c r="CL118" s="44"/>
      <c r="CM118" s="82"/>
      <c r="CN118" s="82"/>
      <c r="CO118" s="82"/>
    </row>
    <row r="119" spans="2:93" ht="20.399999999999999" customHeight="1" outlineLevel="1" x14ac:dyDescent="0.3">
      <c r="B119" s="75"/>
      <c r="E119" s="38" t="s">
        <v>26</v>
      </c>
      <c r="F119" s="39">
        <v>133</v>
      </c>
      <c r="G119" s="39">
        <v>110</v>
      </c>
      <c r="H119" s="39">
        <v>80</v>
      </c>
      <c r="I119" s="39">
        <v>86</v>
      </c>
      <c r="J119" s="39">
        <v>90</v>
      </c>
      <c r="K119" s="39">
        <v>111</v>
      </c>
      <c r="L119" s="39">
        <v>86</v>
      </c>
      <c r="M119" s="39">
        <v>159</v>
      </c>
      <c r="N119" s="39">
        <v>87</v>
      </c>
      <c r="O119" s="39">
        <v>75</v>
      </c>
      <c r="P119" s="39">
        <v>551</v>
      </c>
      <c r="Q119" s="39">
        <v>555</v>
      </c>
      <c r="R119" s="39">
        <v>493</v>
      </c>
      <c r="S119" s="39">
        <v>341</v>
      </c>
      <c r="T119" s="39">
        <v>247</v>
      </c>
      <c r="U119" s="39">
        <v>120</v>
      </c>
      <c r="V119" s="39">
        <v>87</v>
      </c>
      <c r="W119" s="39">
        <v>281</v>
      </c>
      <c r="X119" s="39">
        <v>241</v>
      </c>
      <c r="Y119" s="39">
        <v>116</v>
      </c>
      <c r="Z119" s="39">
        <v>76</v>
      </c>
      <c r="AA119" s="39">
        <v>82</v>
      </c>
      <c r="AB119" s="39">
        <v>64</v>
      </c>
      <c r="AC119" s="39">
        <v>49</v>
      </c>
      <c r="AD119" s="39">
        <v>130</v>
      </c>
      <c r="AE119" s="39">
        <v>133</v>
      </c>
      <c r="AF119" s="39">
        <v>144</v>
      </c>
      <c r="AG119" s="39">
        <v>220</v>
      </c>
      <c r="AH119" s="39">
        <v>373</v>
      </c>
      <c r="AI119" s="39">
        <v>225</v>
      </c>
      <c r="AJ119" s="39">
        <v>227</v>
      </c>
      <c r="AK119" s="39">
        <v>506</v>
      </c>
      <c r="AL119" s="39">
        <v>490</v>
      </c>
      <c r="AM119" s="39">
        <v>372</v>
      </c>
      <c r="AN119" s="39">
        <v>235</v>
      </c>
      <c r="AO119" s="39">
        <v>192</v>
      </c>
      <c r="AP119" s="39">
        <v>132</v>
      </c>
      <c r="AQ119" s="39">
        <v>65</v>
      </c>
      <c r="AR119" s="39">
        <v>54</v>
      </c>
      <c r="AS119" s="39">
        <v>258</v>
      </c>
      <c r="AT119" s="39">
        <v>224</v>
      </c>
      <c r="AU119" s="39">
        <v>218</v>
      </c>
      <c r="AV119" s="39">
        <v>179</v>
      </c>
      <c r="AW119" s="39">
        <v>100</v>
      </c>
      <c r="AX119" s="39">
        <v>62</v>
      </c>
      <c r="AY119" s="39">
        <v>45</v>
      </c>
      <c r="AZ119" s="39">
        <v>228</v>
      </c>
      <c r="BA119" s="39">
        <v>213</v>
      </c>
      <c r="BB119" s="39">
        <v>179</v>
      </c>
      <c r="BC119" s="39">
        <v>181</v>
      </c>
      <c r="BD119" s="39">
        <v>81</v>
      </c>
      <c r="BE119" s="39">
        <v>95</v>
      </c>
      <c r="BF119" s="39">
        <v>241</v>
      </c>
      <c r="BG119" s="39">
        <v>175</v>
      </c>
      <c r="BH119" s="39">
        <v>157</v>
      </c>
      <c r="BI119" s="39">
        <v>170</v>
      </c>
      <c r="BJ119" s="39">
        <v>142</v>
      </c>
      <c r="BK119" s="39">
        <v>93</v>
      </c>
      <c r="BL119" s="39">
        <v>83</v>
      </c>
      <c r="BM119" s="39">
        <v>216</v>
      </c>
      <c r="BN119" s="39">
        <v>201</v>
      </c>
      <c r="BO119" s="39">
        <v>206</v>
      </c>
      <c r="BP119" s="39">
        <v>205</v>
      </c>
      <c r="BQ119" s="39">
        <v>200</v>
      </c>
      <c r="BR119" s="39">
        <v>117</v>
      </c>
      <c r="BS119" s="39">
        <v>89</v>
      </c>
      <c r="BT119" s="39">
        <v>260</v>
      </c>
      <c r="BU119" s="39">
        <v>204</v>
      </c>
      <c r="BV119" s="39">
        <v>196</v>
      </c>
      <c r="BW119" s="39">
        <v>201</v>
      </c>
      <c r="BX119" s="39">
        <v>173</v>
      </c>
      <c r="BY119" s="39">
        <v>117</v>
      </c>
      <c r="BZ119" s="39">
        <v>58</v>
      </c>
      <c r="CA119" s="39">
        <v>136</v>
      </c>
      <c r="CB119" s="39">
        <v>160</v>
      </c>
      <c r="CC119" s="39">
        <v>123</v>
      </c>
      <c r="CD119" s="39">
        <v>147</v>
      </c>
      <c r="CE119" s="39">
        <v>81</v>
      </c>
      <c r="CF119" s="39">
        <v>68</v>
      </c>
      <c r="CG119" s="39">
        <v>58</v>
      </c>
      <c r="CH119" s="39">
        <v>63</v>
      </c>
      <c r="CI119" s="39">
        <v>93</v>
      </c>
      <c r="CJ119" s="39"/>
      <c r="CK119" s="39"/>
      <c r="CL119" s="39"/>
      <c r="CM119" s="82"/>
      <c r="CN119" s="82"/>
      <c r="CO119" s="82"/>
    </row>
    <row r="120" spans="2:93" ht="20.399999999999999" customHeight="1" outlineLevel="1" x14ac:dyDescent="0.3">
      <c r="B120" s="75"/>
      <c r="E120" s="43" t="s">
        <v>27</v>
      </c>
      <c r="F120" s="44">
        <v>145</v>
      </c>
      <c r="G120" s="44">
        <v>103</v>
      </c>
      <c r="H120" s="44">
        <v>168</v>
      </c>
      <c r="I120" s="44">
        <v>173</v>
      </c>
      <c r="J120" s="44">
        <v>198</v>
      </c>
      <c r="K120" s="44">
        <v>199</v>
      </c>
      <c r="L120" s="44">
        <v>251</v>
      </c>
      <c r="M120" s="44">
        <v>297</v>
      </c>
      <c r="N120" s="44">
        <v>175</v>
      </c>
      <c r="O120" s="44">
        <v>142</v>
      </c>
      <c r="P120" s="44">
        <v>851</v>
      </c>
      <c r="Q120" s="44">
        <v>668</v>
      </c>
      <c r="R120" s="44">
        <v>654</v>
      </c>
      <c r="S120" s="44">
        <v>511</v>
      </c>
      <c r="T120" s="44">
        <v>530</v>
      </c>
      <c r="U120" s="44">
        <v>345</v>
      </c>
      <c r="V120" s="44">
        <v>168</v>
      </c>
      <c r="W120" s="44">
        <v>443</v>
      </c>
      <c r="X120" s="44">
        <v>504</v>
      </c>
      <c r="Y120" s="44">
        <v>442</v>
      </c>
      <c r="Z120" s="44">
        <v>326</v>
      </c>
      <c r="AA120" s="44">
        <v>300</v>
      </c>
      <c r="AB120" s="44">
        <v>176</v>
      </c>
      <c r="AC120" s="44">
        <v>129</v>
      </c>
      <c r="AD120" s="44">
        <v>459</v>
      </c>
      <c r="AE120" s="44">
        <v>424</v>
      </c>
      <c r="AF120" s="44">
        <v>343</v>
      </c>
      <c r="AG120" s="44">
        <v>397</v>
      </c>
      <c r="AH120" s="44">
        <v>338</v>
      </c>
      <c r="AI120" s="44">
        <v>219</v>
      </c>
      <c r="AJ120" s="44">
        <v>150</v>
      </c>
      <c r="AK120" s="44">
        <v>511</v>
      </c>
      <c r="AL120" s="44">
        <v>430</v>
      </c>
      <c r="AM120" s="44">
        <v>305</v>
      </c>
      <c r="AN120" s="44">
        <v>264</v>
      </c>
      <c r="AO120" s="44">
        <v>301</v>
      </c>
      <c r="AP120" s="44">
        <v>173</v>
      </c>
      <c r="AQ120" s="44">
        <v>110</v>
      </c>
      <c r="AR120" s="44">
        <v>107</v>
      </c>
      <c r="AS120" s="44">
        <v>294</v>
      </c>
      <c r="AT120" s="44">
        <v>253</v>
      </c>
      <c r="AU120" s="44">
        <v>247</v>
      </c>
      <c r="AV120" s="44">
        <v>186</v>
      </c>
      <c r="AW120" s="44">
        <v>114</v>
      </c>
      <c r="AX120" s="44">
        <v>66</v>
      </c>
      <c r="AY120" s="44">
        <v>48</v>
      </c>
      <c r="AZ120" s="44">
        <v>245</v>
      </c>
      <c r="BA120" s="44">
        <v>229</v>
      </c>
      <c r="BB120" s="44">
        <v>211</v>
      </c>
      <c r="BC120" s="44">
        <v>218</v>
      </c>
      <c r="BD120" s="44">
        <v>120</v>
      </c>
      <c r="BE120" s="44">
        <v>101</v>
      </c>
      <c r="BF120" s="44">
        <v>234</v>
      </c>
      <c r="BG120" s="44">
        <v>183</v>
      </c>
      <c r="BH120" s="44">
        <v>244</v>
      </c>
      <c r="BI120" s="44">
        <v>238</v>
      </c>
      <c r="BJ120" s="44">
        <v>157</v>
      </c>
      <c r="BK120" s="44">
        <v>105</v>
      </c>
      <c r="BL120" s="44">
        <v>78</v>
      </c>
      <c r="BM120" s="44">
        <v>194</v>
      </c>
      <c r="BN120" s="44">
        <v>182</v>
      </c>
      <c r="BO120" s="44">
        <v>153</v>
      </c>
      <c r="BP120" s="44">
        <v>117</v>
      </c>
      <c r="BQ120" s="44">
        <v>99</v>
      </c>
      <c r="BR120" s="44">
        <v>74</v>
      </c>
      <c r="BS120" s="44">
        <v>53</v>
      </c>
      <c r="BT120" s="44">
        <v>132</v>
      </c>
      <c r="BU120" s="44">
        <v>132</v>
      </c>
      <c r="BV120" s="44">
        <v>86</v>
      </c>
      <c r="BW120" s="44">
        <v>131</v>
      </c>
      <c r="BX120" s="44">
        <v>63</v>
      </c>
      <c r="BY120" s="44">
        <v>46</v>
      </c>
      <c r="BZ120" s="44">
        <v>47</v>
      </c>
      <c r="CA120" s="44">
        <v>104</v>
      </c>
      <c r="CB120" s="44">
        <v>93</v>
      </c>
      <c r="CC120" s="44">
        <v>90</v>
      </c>
      <c r="CD120" s="44">
        <v>99</v>
      </c>
      <c r="CE120" s="44">
        <v>64</v>
      </c>
      <c r="CF120" s="44">
        <v>42</v>
      </c>
      <c r="CG120" s="44">
        <v>68</v>
      </c>
      <c r="CH120" s="44">
        <v>63</v>
      </c>
      <c r="CI120" s="44">
        <v>126</v>
      </c>
      <c r="CJ120" s="44"/>
      <c r="CK120" s="44"/>
      <c r="CL120" s="44"/>
      <c r="CM120" s="82"/>
      <c r="CN120" s="82"/>
      <c r="CO120" s="82"/>
    </row>
    <row r="121" spans="2:93" ht="20.399999999999999" customHeight="1" outlineLevel="1" x14ac:dyDescent="0.3">
      <c r="B121" s="75"/>
      <c r="E121" s="38" t="s">
        <v>28</v>
      </c>
      <c r="F121" s="39">
        <v>122</v>
      </c>
      <c r="G121" s="39">
        <v>92</v>
      </c>
      <c r="H121" s="39">
        <v>79</v>
      </c>
      <c r="I121" s="39">
        <v>120</v>
      </c>
      <c r="J121" s="39">
        <v>181</v>
      </c>
      <c r="K121" s="39">
        <v>147</v>
      </c>
      <c r="L121" s="39">
        <v>125</v>
      </c>
      <c r="M121" s="39">
        <v>149</v>
      </c>
      <c r="N121" s="39">
        <v>161</v>
      </c>
      <c r="O121" s="39">
        <v>115</v>
      </c>
      <c r="P121" s="39">
        <v>622</v>
      </c>
      <c r="Q121" s="39">
        <v>672</v>
      </c>
      <c r="R121" s="39">
        <v>576</v>
      </c>
      <c r="S121" s="39">
        <v>552</v>
      </c>
      <c r="T121" s="39">
        <v>461</v>
      </c>
      <c r="U121" s="39">
        <v>240</v>
      </c>
      <c r="V121" s="39">
        <v>109</v>
      </c>
      <c r="W121" s="39">
        <v>482</v>
      </c>
      <c r="X121" s="39">
        <v>417</v>
      </c>
      <c r="Y121" s="39">
        <v>258</v>
      </c>
      <c r="Z121" s="39">
        <v>247</v>
      </c>
      <c r="AA121" s="39">
        <v>240</v>
      </c>
      <c r="AB121" s="39">
        <v>170</v>
      </c>
      <c r="AC121" s="39">
        <v>118</v>
      </c>
      <c r="AD121" s="39">
        <v>360</v>
      </c>
      <c r="AE121" s="39">
        <v>286</v>
      </c>
      <c r="AF121" s="39">
        <v>342</v>
      </c>
      <c r="AG121" s="39">
        <v>276</v>
      </c>
      <c r="AH121" s="39">
        <v>279</v>
      </c>
      <c r="AI121" s="39">
        <v>185</v>
      </c>
      <c r="AJ121" s="39">
        <v>143</v>
      </c>
      <c r="AK121" s="39">
        <v>360</v>
      </c>
      <c r="AL121" s="39">
        <v>349</v>
      </c>
      <c r="AM121" s="39">
        <v>294</v>
      </c>
      <c r="AN121" s="39">
        <v>268</v>
      </c>
      <c r="AO121" s="39">
        <v>291</v>
      </c>
      <c r="AP121" s="39">
        <v>200</v>
      </c>
      <c r="AQ121" s="39">
        <v>99</v>
      </c>
      <c r="AR121" s="39">
        <v>99</v>
      </c>
      <c r="AS121" s="39">
        <v>284</v>
      </c>
      <c r="AT121" s="39">
        <v>210</v>
      </c>
      <c r="AU121" s="39">
        <v>283</v>
      </c>
      <c r="AV121" s="39">
        <v>192</v>
      </c>
      <c r="AW121" s="39">
        <v>139</v>
      </c>
      <c r="AX121" s="39">
        <v>56</v>
      </c>
      <c r="AY121" s="39">
        <v>67</v>
      </c>
      <c r="AZ121" s="39">
        <v>246</v>
      </c>
      <c r="BA121" s="39">
        <v>230</v>
      </c>
      <c r="BB121" s="39">
        <v>203</v>
      </c>
      <c r="BC121" s="39">
        <v>216</v>
      </c>
      <c r="BD121" s="39">
        <v>187</v>
      </c>
      <c r="BE121" s="39">
        <v>94</v>
      </c>
      <c r="BF121" s="39">
        <v>185</v>
      </c>
      <c r="BG121" s="39">
        <v>231</v>
      </c>
      <c r="BH121" s="39">
        <v>213</v>
      </c>
      <c r="BI121" s="39">
        <v>178</v>
      </c>
      <c r="BJ121" s="39">
        <v>149</v>
      </c>
      <c r="BK121" s="39">
        <v>77</v>
      </c>
      <c r="BL121" s="39">
        <v>80</v>
      </c>
      <c r="BM121" s="39">
        <v>252</v>
      </c>
      <c r="BN121" s="39">
        <v>204</v>
      </c>
      <c r="BO121" s="39">
        <v>165</v>
      </c>
      <c r="BP121" s="39">
        <v>156</v>
      </c>
      <c r="BQ121" s="39">
        <v>115</v>
      </c>
      <c r="BR121" s="39">
        <v>59</v>
      </c>
      <c r="BS121" s="39">
        <v>48</v>
      </c>
      <c r="BT121" s="39">
        <v>165</v>
      </c>
      <c r="BU121" s="39">
        <v>164</v>
      </c>
      <c r="BV121" s="39">
        <v>73</v>
      </c>
      <c r="BW121" s="39">
        <v>72</v>
      </c>
      <c r="BX121" s="39">
        <v>85</v>
      </c>
      <c r="BY121" s="39">
        <v>39</v>
      </c>
      <c r="BZ121" s="39">
        <v>48</v>
      </c>
      <c r="CA121" s="39">
        <v>90</v>
      </c>
      <c r="CB121" s="39">
        <v>75</v>
      </c>
      <c r="CC121" s="39">
        <v>76</v>
      </c>
      <c r="CD121" s="39">
        <v>74</v>
      </c>
      <c r="CE121" s="39">
        <v>78</v>
      </c>
      <c r="CF121" s="39">
        <v>45</v>
      </c>
      <c r="CG121" s="39">
        <v>44</v>
      </c>
      <c r="CH121" s="39">
        <v>56</v>
      </c>
      <c r="CI121" s="39">
        <v>96</v>
      </c>
      <c r="CJ121" s="39"/>
      <c r="CK121" s="39"/>
      <c r="CL121" s="39"/>
      <c r="CM121" s="82"/>
      <c r="CN121" s="82"/>
      <c r="CO121" s="82"/>
    </row>
    <row r="122" spans="2:93" ht="20.399999999999999" customHeight="1" outlineLevel="1" x14ac:dyDescent="0.3">
      <c r="B122" s="75"/>
      <c r="E122" s="43" t="s">
        <v>29</v>
      </c>
      <c r="F122" s="44">
        <v>144</v>
      </c>
      <c r="G122" s="44">
        <v>152</v>
      </c>
      <c r="H122" s="44">
        <v>133</v>
      </c>
      <c r="I122" s="44">
        <v>162</v>
      </c>
      <c r="J122" s="44">
        <v>132</v>
      </c>
      <c r="K122" s="44">
        <v>149</v>
      </c>
      <c r="L122" s="44">
        <v>136</v>
      </c>
      <c r="M122" s="44">
        <v>130</v>
      </c>
      <c r="N122" s="44">
        <v>103</v>
      </c>
      <c r="O122" s="44">
        <v>77</v>
      </c>
      <c r="P122" s="44">
        <v>402</v>
      </c>
      <c r="Q122" s="44">
        <v>458</v>
      </c>
      <c r="R122" s="44">
        <v>404</v>
      </c>
      <c r="S122" s="44">
        <v>306</v>
      </c>
      <c r="T122" s="44">
        <v>205</v>
      </c>
      <c r="U122" s="44">
        <v>127</v>
      </c>
      <c r="V122" s="44">
        <v>58</v>
      </c>
      <c r="W122" s="44">
        <v>196</v>
      </c>
      <c r="X122" s="44">
        <v>191</v>
      </c>
      <c r="Y122" s="44">
        <v>106</v>
      </c>
      <c r="Z122" s="44">
        <v>111</v>
      </c>
      <c r="AA122" s="44">
        <v>130</v>
      </c>
      <c r="AB122" s="44">
        <v>93</v>
      </c>
      <c r="AC122" s="44">
        <v>73</v>
      </c>
      <c r="AD122" s="44">
        <v>154</v>
      </c>
      <c r="AE122" s="44">
        <v>136</v>
      </c>
      <c r="AF122" s="44">
        <v>152</v>
      </c>
      <c r="AG122" s="44">
        <v>133</v>
      </c>
      <c r="AH122" s="44">
        <v>118</v>
      </c>
      <c r="AI122" s="44">
        <v>91</v>
      </c>
      <c r="AJ122" s="44">
        <v>65</v>
      </c>
      <c r="AK122" s="44">
        <v>224</v>
      </c>
      <c r="AL122" s="44">
        <v>182</v>
      </c>
      <c r="AM122" s="44">
        <v>194</v>
      </c>
      <c r="AN122" s="44">
        <v>162</v>
      </c>
      <c r="AO122" s="44">
        <v>157</v>
      </c>
      <c r="AP122" s="44">
        <v>92</v>
      </c>
      <c r="AQ122" s="44">
        <v>46</v>
      </c>
      <c r="AR122" s="44">
        <v>51</v>
      </c>
      <c r="AS122" s="44">
        <v>182</v>
      </c>
      <c r="AT122" s="44">
        <v>171</v>
      </c>
      <c r="AU122" s="44">
        <v>193</v>
      </c>
      <c r="AV122" s="44">
        <v>150</v>
      </c>
      <c r="AW122" s="44">
        <v>87</v>
      </c>
      <c r="AX122" s="44">
        <v>32</v>
      </c>
      <c r="AY122" s="44">
        <v>32</v>
      </c>
      <c r="AZ122" s="44">
        <v>148</v>
      </c>
      <c r="BA122" s="44">
        <v>110</v>
      </c>
      <c r="BB122" s="44">
        <v>157</v>
      </c>
      <c r="BC122" s="44">
        <v>110</v>
      </c>
      <c r="BD122" s="44">
        <v>104</v>
      </c>
      <c r="BE122" s="44">
        <v>54</v>
      </c>
      <c r="BF122" s="44">
        <v>124</v>
      </c>
      <c r="BG122" s="44">
        <v>146</v>
      </c>
      <c r="BH122" s="44">
        <v>151</v>
      </c>
      <c r="BI122" s="44">
        <v>130</v>
      </c>
      <c r="BJ122" s="44">
        <v>110</v>
      </c>
      <c r="BK122" s="44">
        <v>66</v>
      </c>
      <c r="BL122" s="44">
        <v>58</v>
      </c>
      <c r="BM122" s="44">
        <v>188</v>
      </c>
      <c r="BN122" s="44">
        <v>172</v>
      </c>
      <c r="BO122" s="44">
        <v>144</v>
      </c>
      <c r="BP122" s="44">
        <v>112</v>
      </c>
      <c r="BQ122" s="44">
        <v>104</v>
      </c>
      <c r="BR122" s="44">
        <v>60</v>
      </c>
      <c r="BS122" s="44">
        <v>52</v>
      </c>
      <c r="BT122" s="44">
        <v>120</v>
      </c>
      <c r="BU122" s="44">
        <v>123</v>
      </c>
      <c r="BV122" s="44">
        <v>99</v>
      </c>
      <c r="BW122" s="44">
        <v>85</v>
      </c>
      <c r="BX122" s="44">
        <v>78</v>
      </c>
      <c r="BY122" s="44">
        <v>37</v>
      </c>
      <c r="BZ122" s="44">
        <v>46</v>
      </c>
      <c r="CA122" s="44">
        <v>75</v>
      </c>
      <c r="CB122" s="44">
        <v>77</v>
      </c>
      <c r="CC122" s="44">
        <v>107</v>
      </c>
      <c r="CD122" s="44">
        <v>62</v>
      </c>
      <c r="CE122" s="44">
        <v>76</v>
      </c>
      <c r="CF122" s="44">
        <v>42</v>
      </c>
      <c r="CG122" s="44">
        <v>29</v>
      </c>
      <c r="CH122" s="44">
        <v>47</v>
      </c>
      <c r="CI122" s="44">
        <v>72</v>
      </c>
      <c r="CJ122" s="44"/>
      <c r="CK122" s="44"/>
      <c r="CL122" s="44"/>
      <c r="CM122" s="82"/>
      <c r="CN122" s="82"/>
      <c r="CO122" s="82"/>
    </row>
    <row r="123" spans="2:93" ht="20.399999999999999" customHeight="1" outlineLevel="1" x14ac:dyDescent="0.3">
      <c r="B123" s="75"/>
      <c r="E123" s="38" t="s">
        <v>30</v>
      </c>
      <c r="F123" s="39">
        <v>15</v>
      </c>
      <c r="G123" s="39">
        <v>6</v>
      </c>
      <c r="H123" s="39">
        <v>16</v>
      </c>
      <c r="I123" s="39">
        <v>16</v>
      </c>
      <c r="J123" s="39">
        <v>7</v>
      </c>
      <c r="K123" s="39">
        <v>2</v>
      </c>
      <c r="L123" s="39">
        <v>19</v>
      </c>
      <c r="M123" s="39">
        <v>8</v>
      </c>
      <c r="N123" s="39">
        <v>7</v>
      </c>
      <c r="O123" s="39">
        <v>4</v>
      </c>
      <c r="P123" s="39">
        <v>42</v>
      </c>
      <c r="Q123" s="39">
        <v>25</v>
      </c>
      <c r="R123" s="39">
        <v>23</v>
      </c>
      <c r="S123" s="39">
        <v>42</v>
      </c>
      <c r="T123" s="39">
        <v>42</v>
      </c>
      <c r="U123" s="39">
        <v>11</v>
      </c>
      <c r="V123" s="39">
        <v>8</v>
      </c>
      <c r="W123" s="39">
        <v>23</v>
      </c>
      <c r="X123" s="39">
        <v>36</v>
      </c>
      <c r="Y123" s="39">
        <v>17</v>
      </c>
      <c r="Z123" s="39">
        <v>12</v>
      </c>
      <c r="AA123" s="39">
        <v>19</v>
      </c>
      <c r="AB123" s="39">
        <v>3</v>
      </c>
      <c r="AC123" s="39">
        <v>2</v>
      </c>
      <c r="AD123" s="39">
        <v>23</v>
      </c>
      <c r="AE123" s="39">
        <v>7</v>
      </c>
      <c r="AF123" s="39">
        <v>17</v>
      </c>
      <c r="AG123" s="39">
        <v>13</v>
      </c>
      <c r="AH123" s="39">
        <v>10</v>
      </c>
      <c r="AI123" s="39">
        <v>1</v>
      </c>
      <c r="AJ123" s="39">
        <v>6</v>
      </c>
      <c r="AK123" s="39">
        <v>9</v>
      </c>
      <c r="AL123" s="39">
        <v>13</v>
      </c>
      <c r="AM123" s="39">
        <v>16</v>
      </c>
      <c r="AN123" s="39">
        <v>10</v>
      </c>
      <c r="AO123" s="39">
        <v>9</v>
      </c>
      <c r="AP123" s="39">
        <v>1</v>
      </c>
      <c r="AQ123" s="39">
        <v>2</v>
      </c>
      <c r="AR123" s="39">
        <v>4</v>
      </c>
      <c r="AS123" s="39">
        <v>19</v>
      </c>
      <c r="AT123" s="39">
        <v>17</v>
      </c>
      <c r="AU123" s="39">
        <v>15</v>
      </c>
      <c r="AV123" s="39">
        <v>17</v>
      </c>
      <c r="AW123" s="39">
        <v>6</v>
      </c>
      <c r="AX123" s="39">
        <v>1</v>
      </c>
      <c r="AY123" s="39">
        <v>6</v>
      </c>
      <c r="AZ123" s="39">
        <v>9</v>
      </c>
      <c r="BA123" s="39">
        <v>12</v>
      </c>
      <c r="BB123" s="39">
        <v>11</v>
      </c>
      <c r="BC123" s="39">
        <v>9</v>
      </c>
      <c r="BD123" s="39">
        <v>7</v>
      </c>
      <c r="BE123" s="39">
        <v>4</v>
      </c>
      <c r="BF123" s="39">
        <v>10</v>
      </c>
      <c r="BG123" s="39">
        <v>12</v>
      </c>
      <c r="BH123" s="39">
        <v>23</v>
      </c>
      <c r="BI123" s="39">
        <v>11</v>
      </c>
      <c r="BJ123" s="39">
        <v>6</v>
      </c>
      <c r="BK123" s="39">
        <v>3</v>
      </c>
      <c r="BL123" s="39">
        <v>6</v>
      </c>
      <c r="BM123" s="39">
        <v>11</v>
      </c>
      <c r="BN123" s="39">
        <v>3</v>
      </c>
      <c r="BO123" s="39">
        <v>9</v>
      </c>
      <c r="BP123" s="39">
        <v>15</v>
      </c>
      <c r="BQ123" s="39">
        <v>9</v>
      </c>
      <c r="BR123" s="39">
        <v>3</v>
      </c>
      <c r="BS123" s="39">
        <v>9</v>
      </c>
      <c r="BT123" s="39">
        <v>14</v>
      </c>
      <c r="BU123" s="39">
        <v>17</v>
      </c>
      <c r="BV123" s="39">
        <v>13</v>
      </c>
      <c r="BW123" s="39">
        <v>5</v>
      </c>
      <c r="BX123" s="39">
        <v>3</v>
      </c>
      <c r="BY123" s="39">
        <v>2</v>
      </c>
      <c r="BZ123" s="39">
        <v>4</v>
      </c>
      <c r="CA123" s="39">
        <v>3</v>
      </c>
      <c r="CB123" s="39">
        <v>6</v>
      </c>
      <c r="CC123" s="39">
        <v>8</v>
      </c>
      <c r="CD123" s="39">
        <v>4</v>
      </c>
      <c r="CE123" s="39">
        <v>0</v>
      </c>
      <c r="CF123" s="39">
        <v>4</v>
      </c>
      <c r="CG123" s="39">
        <v>2</v>
      </c>
      <c r="CH123" s="39">
        <v>0</v>
      </c>
      <c r="CI123" s="39">
        <v>3</v>
      </c>
      <c r="CJ123" s="39"/>
      <c r="CK123" s="39"/>
      <c r="CL123" s="39"/>
      <c r="CM123" s="82"/>
      <c r="CN123" s="82"/>
      <c r="CO123" s="82"/>
    </row>
    <row r="124" spans="2:93" ht="20.399999999999999" customHeight="1" outlineLevel="1" x14ac:dyDescent="0.3">
      <c r="B124" s="75"/>
      <c r="E124" s="43" t="s">
        <v>31</v>
      </c>
      <c r="F124" s="44">
        <v>11</v>
      </c>
      <c r="G124" s="44">
        <v>6</v>
      </c>
      <c r="H124" s="44">
        <v>1</v>
      </c>
      <c r="I124" s="44">
        <v>18</v>
      </c>
      <c r="J124" s="44">
        <v>12</v>
      </c>
      <c r="K124" s="44">
        <v>12</v>
      </c>
      <c r="L124" s="44">
        <v>4</v>
      </c>
      <c r="M124" s="44">
        <v>7</v>
      </c>
      <c r="N124" s="44">
        <v>7</v>
      </c>
      <c r="O124" s="44">
        <v>4</v>
      </c>
      <c r="P124" s="44">
        <v>23</v>
      </c>
      <c r="Q124" s="44">
        <v>22</v>
      </c>
      <c r="R124" s="44">
        <v>33</v>
      </c>
      <c r="S124" s="44">
        <v>17</v>
      </c>
      <c r="T124" s="44">
        <v>27</v>
      </c>
      <c r="U124" s="44">
        <v>13</v>
      </c>
      <c r="V124" s="44">
        <v>6</v>
      </c>
      <c r="W124" s="44">
        <v>40</v>
      </c>
      <c r="X124" s="44">
        <v>42</v>
      </c>
      <c r="Y124" s="44">
        <v>36</v>
      </c>
      <c r="Z124" s="44">
        <v>30</v>
      </c>
      <c r="AA124" s="44">
        <v>12</v>
      </c>
      <c r="AB124" s="44">
        <v>5</v>
      </c>
      <c r="AC124" s="44">
        <v>10</v>
      </c>
      <c r="AD124" s="44">
        <v>24</v>
      </c>
      <c r="AE124" s="44">
        <v>23</v>
      </c>
      <c r="AF124" s="44">
        <v>18</v>
      </c>
      <c r="AG124" s="44">
        <v>23</v>
      </c>
      <c r="AH124" s="44">
        <v>13</v>
      </c>
      <c r="AI124" s="44">
        <v>30</v>
      </c>
      <c r="AJ124" s="44">
        <v>15</v>
      </c>
      <c r="AK124" s="44">
        <v>40</v>
      </c>
      <c r="AL124" s="44">
        <v>24</v>
      </c>
      <c r="AM124" s="44">
        <v>12</v>
      </c>
      <c r="AN124" s="44">
        <v>14</v>
      </c>
      <c r="AO124" s="44">
        <v>13</v>
      </c>
      <c r="AP124" s="44">
        <v>6</v>
      </c>
      <c r="AQ124" s="44">
        <v>3</v>
      </c>
      <c r="AR124" s="44">
        <v>5</v>
      </c>
      <c r="AS124" s="44">
        <v>23</v>
      </c>
      <c r="AT124" s="44">
        <v>17</v>
      </c>
      <c r="AU124" s="44">
        <v>5</v>
      </c>
      <c r="AV124" s="44">
        <v>6</v>
      </c>
      <c r="AW124" s="44">
        <v>2</v>
      </c>
      <c r="AX124" s="44">
        <v>1</v>
      </c>
      <c r="AY124" s="44">
        <v>0</v>
      </c>
      <c r="AZ124" s="44">
        <v>13</v>
      </c>
      <c r="BA124" s="44">
        <v>20</v>
      </c>
      <c r="BB124" s="44">
        <v>6</v>
      </c>
      <c r="BC124" s="44">
        <v>7</v>
      </c>
      <c r="BD124" s="44">
        <v>0</v>
      </c>
      <c r="BE124" s="44">
        <v>2</v>
      </c>
      <c r="BF124" s="44">
        <v>6</v>
      </c>
      <c r="BG124" s="44">
        <v>6</v>
      </c>
      <c r="BH124" s="44">
        <v>2</v>
      </c>
      <c r="BI124" s="44">
        <v>4</v>
      </c>
      <c r="BJ124" s="44">
        <v>5</v>
      </c>
      <c r="BK124" s="44">
        <v>3</v>
      </c>
      <c r="BL124" s="44">
        <v>0</v>
      </c>
      <c r="BM124" s="44">
        <v>9</v>
      </c>
      <c r="BN124" s="44">
        <v>8</v>
      </c>
      <c r="BO124" s="44">
        <v>8</v>
      </c>
      <c r="BP124" s="44">
        <v>9</v>
      </c>
      <c r="BQ124" s="44">
        <v>12</v>
      </c>
      <c r="BR124" s="44">
        <v>4</v>
      </c>
      <c r="BS124" s="44">
        <v>6</v>
      </c>
      <c r="BT124" s="44">
        <v>9</v>
      </c>
      <c r="BU124" s="44">
        <v>12</v>
      </c>
      <c r="BV124" s="44">
        <v>4</v>
      </c>
      <c r="BW124" s="44">
        <v>5</v>
      </c>
      <c r="BX124" s="44">
        <v>6</v>
      </c>
      <c r="BY124" s="44">
        <v>5</v>
      </c>
      <c r="BZ124" s="44">
        <v>4</v>
      </c>
      <c r="CA124" s="44">
        <v>6</v>
      </c>
      <c r="CB124" s="44">
        <v>9</v>
      </c>
      <c r="CC124" s="44">
        <v>9</v>
      </c>
      <c r="CD124" s="44">
        <v>6</v>
      </c>
      <c r="CE124" s="44">
        <v>7</v>
      </c>
      <c r="CF124" s="44">
        <v>3</v>
      </c>
      <c r="CG124" s="44">
        <v>3</v>
      </c>
      <c r="CH124" s="44">
        <v>4</v>
      </c>
      <c r="CI124" s="44">
        <v>13</v>
      </c>
      <c r="CJ124" s="44"/>
      <c r="CK124" s="44"/>
      <c r="CL124" s="44"/>
      <c r="CM124" s="82"/>
      <c r="CN124" s="82"/>
      <c r="CO124" s="82"/>
    </row>
    <row r="125" spans="2:93" ht="20.399999999999999" customHeight="1" outlineLevel="1" x14ac:dyDescent="0.3">
      <c r="B125" s="75"/>
      <c r="E125" s="38" t="s">
        <v>32</v>
      </c>
      <c r="F125" s="39">
        <v>41</v>
      </c>
      <c r="G125" s="39">
        <v>17</v>
      </c>
      <c r="H125" s="39">
        <v>27</v>
      </c>
      <c r="I125" s="39">
        <v>22</v>
      </c>
      <c r="J125" s="39">
        <v>32</v>
      </c>
      <c r="K125" s="39">
        <v>20</v>
      </c>
      <c r="L125" s="39">
        <v>14</v>
      </c>
      <c r="M125" s="39">
        <v>8</v>
      </c>
      <c r="N125" s="39">
        <v>21</v>
      </c>
      <c r="O125" s="39">
        <v>3</v>
      </c>
      <c r="P125" s="39">
        <v>90</v>
      </c>
      <c r="Q125" s="39">
        <v>58</v>
      </c>
      <c r="R125" s="39">
        <v>62</v>
      </c>
      <c r="S125" s="39">
        <v>63</v>
      </c>
      <c r="T125" s="39">
        <v>24</v>
      </c>
      <c r="U125" s="39">
        <v>8</v>
      </c>
      <c r="V125" s="39">
        <v>10</v>
      </c>
      <c r="W125" s="39">
        <v>48</v>
      </c>
      <c r="X125" s="39">
        <v>84</v>
      </c>
      <c r="Y125" s="39">
        <v>32</v>
      </c>
      <c r="Z125" s="39">
        <v>29</v>
      </c>
      <c r="AA125" s="39">
        <v>22</v>
      </c>
      <c r="AB125" s="39">
        <v>9</v>
      </c>
      <c r="AC125" s="39">
        <v>7</v>
      </c>
      <c r="AD125" s="39">
        <v>38</v>
      </c>
      <c r="AE125" s="39">
        <v>35</v>
      </c>
      <c r="AF125" s="39">
        <v>40</v>
      </c>
      <c r="AG125" s="39">
        <v>35</v>
      </c>
      <c r="AH125" s="39">
        <v>47</v>
      </c>
      <c r="AI125" s="39">
        <v>19</v>
      </c>
      <c r="AJ125" s="39">
        <v>13</v>
      </c>
      <c r="AK125" s="39">
        <v>53</v>
      </c>
      <c r="AL125" s="39">
        <v>59</v>
      </c>
      <c r="AM125" s="39">
        <v>34</v>
      </c>
      <c r="AN125" s="39">
        <v>36</v>
      </c>
      <c r="AO125" s="39">
        <v>18</v>
      </c>
      <c r="AP125" s="39">
        <v>18</v>
      </c>
      <c r="AQ125" s="39">
        <v>11</v>
      </c>
      <c r="AR125" s="39">
        <v>8</v>
      </c>
      <c r="AS125" s="39">
        <v>76</v>
      </c>
      <c r="AT125" s="39">
        <v>37</v>
      </c>
      <c r="AU125" s="39">
        <v>26</v>
      </c>
      <c r="AV125" s="39">
        <v>28</v>
      </c>
      <c r="AW125" s="39">
        <v>12</v>
      </c>
      <c r="AX125" s="39">
        <v>12</v>
      </c>
      <c r="AY125" s="39">
        <v>13</v>
      </c>
      <c r="AZ125" s="39">
        <v>45</v>
      </c>
      <c r="BA125" s="39">
        <v>28</v>
      </c>
      <c r="BB125" s="39">
        <v>17</v>
      </c>
      <c r="BC125" s="39">
        <v>35</v>
      </c>
      <c r="BD125" s="39">
        <v>19</v>
      </c>
      <c r="BE125" s="39">
        <v>14</v>
      </c>
      <c r="BF125" s="39">
        <v>46</v>
      </c>
      <c r="BG125" s="39">
        <v>37</v>
      </c>
      <c r="BH125" s="39">
        <v>32</v>
      </c>
      <c r="BI125" s="39">
        <v>27</v>
      </c>
      <c r="BJ125" s="39">
        <v>40</v>
      </c>
      <c r="BK125" s="39">
        <v>15</v>
      </c>
      <c r="BL125" s="39">
        <v>2</v>
      </c>
      <c r="BM125" s="39">
        <v>41</v>
      </c>
      <c r="BN125" s="39">
        <v>27</v>
      </c>
      <c r="BO125" s="39">
        <v>20</v>
      </c>
      <c r="BP125" s="39">
        <v>22</v>
      </c>
      <c r="BQ125" s="39">
        <v>25</v>
      </c>
      <c r="BR125" s="39">
        <v>13</v>
      </c>
      <c r="BS125" s="39">
        <v>10</v>
      </c>
      <c r="BT125" s="39">
        <v>27</v>
      </c>
      <c r="BU125" s="39">
        <v>29</v>
      </c>
      <c r="BV125" s="39">
        <v>16</v>
      </c>
      <c r="BW125" s="39">
        <v>17</v>
      </c>
      <c r="BX125" s="39">
        <v>12</v>
      </c>
      <c r="BY125" s="39">
        <v>11</v>
      </c>
      <c r="BZ125" s="39">
        <v>6</v>
      </c>
      <c r="CA125" s="39">
        <v>23</v>
      </c>
      <c r="CB125" s="39">
        <v>12</v>
      </c>
      <c r="CC125" s="39">
        <v>22</v>
      </c>
      <c r="CD125" s="39">
        <v>14</v>
      </c>
      <c r="CE125" s="39">
        <v>12</v>
      </c>
      <c r="CF125" s="39">
        <v>5</v>
      </c>
      <c r="CG125" s="39">
        <v>6</v>
      </c>
      <c r="CH125" s="39">
        <v>14</v>
      </c>
      <c r="CI125" s="39">
        <v>19</v>
      </c>
      <c r="CJ125" s="39"/>
      <c r="CK125" s="39"/>
      <c r="CL125" s="39"/>
      <c r="CM125" s="82"/>
      <c r="CN125" s="82"/>
      <c r="CO125" s="82"/>
    </row>
    <row r="126" spans="2:93" ht="20.399999999999999" customHeight="1" outlineLevel="1" x14ac:dyDescent="0.3">
      <c r="B126" s="75"/>
      <c r="E126" s="43" t="s">
        <v>33</v>
      </c>
      <c r="F126" s="44">
        <v>8</v>
      </c>
      <c r="G126" s="44">
        <v>12</v>
      </c>
      <c r="H126" s="44">
        <v>7</v>
      </c>
      <c r="I126" s="44">
        <v>4</v>
      </c>
      <c r="J126" s="44">
        <v>13</v>
      </c>
      <c r="K126" s="44">
        <v>10</v>
      </c>
      <c r="L126" s="44">
        <v>11</v>
      </c>
      <c r="M126" s="44">
        <v>17</v>
      </c>
      <c r="N126" s="44">
        <v>7</v>
      </c>
      <c r="O126" s="44">
        <v>3</v>
      </c>
      <c r="P126" s="44">
        <v>60</v>
      </c>
      <c r="Q126" s="44">
        <v>39</v>
      </c>
      <c r="R126" s="44">
        <v>35</v>
      </c>
      <c r="S126" s="44">
        <v>27</v>
      </c>
      <c r="T126" s="44">
        <v>27</v>
      </c>
      <c r="U126" s="44">
        <v>11</v>
      </c>
      <c r="V126" s="44">
        <v>6</v>
      </c>
      <c r="W126" s="44">
        <v>24</v>
      </c>
      <c r="X126" s="44">
        <v>42</v>
      </c>
      <c r="Y126" s="44">
        <v>14</v>
      </c>
      <c r="Z126" s="44">
        <v>18</v>
      </c>
      <c r="AA126" s="44">
        <v>28</v>
      </c>
      <c r="AB126" s="44">
        <v>5</v>
      </c>
      <c r="AC126" s="44">
        <v>6</v>
      </c>
      <c r="AD126" s="44">
        <v>29</v>
      </c>
      <c r="AE126" s="44">
        <v>31</v>
      </c>
      <c r="AF126" s="44">
        <v>13</v>
      </c>
      <c r="AG126" s="44">
        <v>13</v>
      </c>
      <c r="AH126" s="44">
        <v>11</v>
      </c>
      <c r="AI126" s="44">
        <v>3</v>
      </c>
      <c r="AJ126" s="44">
        <v>6</v>
      </c>
      <c r="AK126" s="44">
        <v>35</v>
      </c>
      <c r="AL126" s="44">
        <v>22</v>
      </c>
      <c r="AM126" s="44">
        <v>21</v>
      </c>
      <c r="AN126" s="44">
        <v>14</v>
      </c>
      <c r="AO126" s="44">
        <v>19</v>
      </c>
      <c r="AP126" s="44">
        <v>1</v>
      </c>
      <c r="AQ126" s="44">
        <v>1</v>
      </c>
      <c r="AR126" s="44">
        <v>0</v>
      </c>
      <c r="AS126" s="44">
        <v>16</v>
      </c>
      <c r="AT126" s="44">
        <v>10</v>
      </c>
      <c r="AU126" s="44">
        <v>3</v>
      </c>
      <c r="AV126" s="44">
        <v>11</v>
      </c>
      <c r="AW126" s="44">
        <v>2</v>
      </c>
      <c r="AX126" s="44">
        <v>1</v>
      </c>
      <c r="AY126" s="44">
        <v>0</v>
      </c>
      <c r="AZ126" s="44">
        <v>11</v>
      </c>
      <c r="BA126" s="44">
        <v>7</v>
      </c>
      <c r="BB126" s="44">
        <v>1</v>
      </c>
      <c r="BC126" s="44">
        <v>4</v>
      </c>
      <c r="BD126" s="44">
        <v>3</v>
      </c>
      <c r="BE126" s="44">
        <v>5</v>
      </c>
      <c r="BF126" s="44">
        <v>6</v>
      </c>
      <c r="BG126" s="44">
        <v>9</v>
      </c>
      <c r="BH126" s="44">
        <v>9</v>
      </c>
      <c r="BI126" s="44">
        <v>2</v>
      </c>
      <c r="BJ126" s="44">
        <v>7</v>
      </c>
      <c r="BK126" s="44">
        <v>4</v>
      </c>
      <c r="BL126" s="44">
        <v>3</v>
      </c>
      <c r="BM126" s="44">
        <v>2</v>
      </c>
      <c r="BN126" s="44">
        <v>14</v>
      </c>
      <c r="BO126" s="44">
        <v>17</v>
      </c>
      <c r="BP126" s="44">
        <v>10</v>
      </c>
      <c r="BQ126" s="44">
        <v>8</v>
      </c>
      <c r="BR126" s="44">
        <v>2</v>
      </c>
      <c r="BS126" s="44">
        <v>2</v>
      </c>
      <c r="BT126" s="44">
        <v>28</v>
      </c>
      <c r="BU126" s="44">
        <v>10</v>
      </c>
      <c r="BV126" s="44">
        <v>5</v>
      </c>
      <c r="BW126" s="44">
        <v>7</v>
      </c>
      <c r="BX126" s="44">
        <v>2</v>
      </c>
      <c r="BY126" s="44">
        <v>3</v>
      </c>
      <c r="BZ126" s="44">
        <v>0</v>
      </c>
      <c r="CA126" s="44">
        <v>6</v>
      </c>
      <c r="CB126" s="44">
        <v>5</v>
      </c>
      <c r="CC126" s="44">
        <v>10</v>
      </c>
      <c r="CD126" s="44">
        <v>4</v>
      </c>
      <c r="CE126" s="44">
        <v>2</v>
      </c>
      <c r="CF126" s="44">
        <v>0</v>
      </c>
      <c r="CG126" s="44">
        <v>0</v>
      </c>
      <c r="CH126" s="44">
        <v>2</v>
      </c>
      <c r="CI126" s="44">
        <v>7</v>
      </c>
      <c r="CJ126" s="44"/>
      <c r="CK126" s="44"/>
      <c r="CL126" s="44"/>
      <c r="CM126" s="83"/>
      <c r="CN126" s="83"/>
      <c r="CO126" s="83"/>
    </row>
    <row r="127" spans="2:93" x14ac:dyDescent="0.3">
      <c r="B127" s="75"/>
      <c r="F127" s="34"/>
      <c r="G127" s="34"/>
      <c r="H127" s="34"/>
    </row>
    <row r="128" spans="2:93" x14ac:dyDescent="0.3">
      <c r="B128" s="75"/>
      <c r="F128" s="34"/>
      <c r="G128" s="34"/>
      <c r="H128" s="34"/>
    </row>
    <row r="151" spans="17:90" hidden="1" x14ac:dyDescent="0.3">
      <c r="R151" s="14">
        <f t="shared" ref="R151:CC151" si="83">R152</f>
        <v>45259</v>
      </c>
      <c r="S151" s="14">
        <f t="shared" si="83"/>
        <v>45260</v>
      </c>
      <c r="T151" s="14">
        <f t="shared" si="83"/>
        <v>45261</v>
      </c>
      <c r="U151" s="14">
        <f t="shared" si="83"/>
        <v>45262</v>
      </c>
      <c r="V151" s="14">
        <f t="shared" si="83"/>
        <v>45263</v>
      </c>
      <c r="W151" s="14">
        <f t="shared" si="83"/>
        <v>45264</v>
      </c>
      <c r="X151" s="14">
        <f t="shared" si="83"/>
        <v>45265</v>
      </c>
      <c r="Y151" s="14">
        <f t="shared" si="83"/>
        <v>45266</v>
      </c>
      <c r="Z151" s="14">
        <f t="shared" si="83"/>
        <v>45267</v>
      </c>
      <c r="AA151" s="14">
        <f t="shared" si="83"/>
        <v>45268</v>
      </c>
      <c r="AB151" s="14">
        <f t="shared" si="83"/>
        <v>45269</v>
      </c>
      <c r="AC151" s="14">
        <f t="shared" si="83"/>
        <v>45270</v>
      </c>
      <c r="AD151" s="14">
        <f t="shared" si="83"/>
        <v>45271</v>
      </c>
      <c r="AE151" s="14">
        <f t="shared" si="83"/>
        <v>45272</v>
      </c>
      <c r="AF151" s="14">
        <f t="shared" si="83"/>
        <v>45273</v>
      </c>
      <c r="AG151" s="14">
        <f t="shared" si="83"/>
        <v>45274</v>
      </c>
      <c r="AH151" s="14">
        <f t="shared" si="83"/>
        <v>45275</v>
      </c>
      <c r="AI151" s="14">
        <f t="shared" si="83"/>
        <v>45276</v>
      </c>
      <c r="AJ151" s="14">
        <f t="shared" si="83"/>
        <v>45277</v>
      </c>
      <c r="AK151" s="14">
        <f t="shared" si="83"/>
        <v>45278</v>
      </c>
      <c r="AL151" s="14">
        <f t="shared" si="83"/>
        <v>45279</v>
      </c>
      <c r="AM151" s="14">
        <f t="shared" si="83"/>
        <v>45280</v>
      </c>
      <c r="AN151" s="14">
        <f t="shared" si="83"/>
        <v>45281</v>
      </c>
      <c r="AO151" s="14">
        <f t="shared" si="83"/>
        <v>45282</v>
      </c>
      <c r="AP151" s="14">
        <f t="shared" si="83"/>
        <v>45283</v>
      </c>
      <c r="AQ151" s="14">
        <f t="shared" si="83"/>
        <v>45284</v>
      </c>
      <c r="AR151" s="14">
        <f t="shared" si="83"/>
        <v>45285</v>
      </c>
      <c r="AS151" s="14">
        <f t="shared" si="83"/>
        <v>45286</v>
      </c>
      <c r="AT151" s="14">
        <f t="shared" si="83"/>
        <v>45287</v>
      </c>
      <c r="AU151" s="14">
        <f t="shared" si="83"/>
        <v>45288</v>
      </c>
      <c r="AV151" s="14">
        <f t="shared" si="83"/>
        <v>45289</v>
      </c>
      <c r="AW151" s="14">
        <f t="shared" si="83"/>
        <v>45290</v>
      </c>
      <c r="AX151" s="14">
        <f t="shared" si="83"/>
        <v>45291</v>
      </c>
      <c r="AY151" s="14">
        <f t="shared" si="83"/>
        <v>45292</v>
      </c>
      <c r="AZ151" s="14">
        <f t="shared" si="83"/>
        <v>45293</v>
      </c>
      <c r="BA151" s="14">
        <f t="shared" si="83"/>
        <v>45294</v>
      </c>
      <c r="BB151" s="14">
        <f t="shared" si="83"/>
        <v>45295</v>
      </c>
      <c r="BC151" s="14">
        <f t="shared" si="83"/>
        <v>45296</v>
      </c>
      <c r="BD151" s="14">
        <f t="shared" si="83"/>
        <v>45297</v>
      </c>
      <c r="BE151" s="14">
        <f t="shared" si="83"/>
        <v>45296</v>
      </c>
      <c r="BF151" s="14">
        <f t="shared" si="83"/>
        <v>45297</v>
      </c>
      <c r="BG151" s="14">
        <f t="shared" si="83"/>
        <v>45296</v>
      </c>
      <c r="BH151" s="14">
        <f t="shared" si="83"/>
        <v>45297</v>
      </c>
      <c r="BI151" s="14">
        <f t="shared" si="83"/>
        <v>45296</v>
      </c>
      <c r="BJ151" s="14">
        <f t="shared" si="83"/>
        <v>45297</v>
      </c>
      <c r="BK151" s="14">
        <f t="shared" si="83"/>
        <v>45293</v>
      </c>
      <c r="BL151" s="14">
        <f t="shared" si="83"/>
        <v>45294</v>
      </c>
      <c r="BM151" s="14">
        <f t="shared" si="83"/>
        <v>45295</v>
      </c>
      <c r="BN151" s="14">
        <f t="shared" si="83"/>
        <v>45296</v>
      </c>
      <c r="BO151" s="14">
        <f t="shared" si="83"/>
        <v>45297</v>
      </c>
      <c r="BP151" s="14">
        <f t="shared" si="83"/>
        <v>45296</v>
      </c>
      <c r="BQ151" s="14">
        <f t="shared" si="83"/>
        <v>45297</v>
      </c>
      <c r="BR151" s="14">
        <f t="shared" si="83"/>
        <v>45296</v>
      </c>
      <c r="BS151" s="14">
        <f t="shared" si="83"/>
        <v>45297</v>
      </c>
      <c r="BT151" s="14">
        <f t="shared" si="83"/>
        <v>45297</v>
      </c>
      <c r="BU151" s="14">
        <f t="shared" si="83"/>
        <v>45295</v>
      </c>
      <c r="BV151" s="14">
        <f t="shared" si="83"/>
        <v>45296</v>
      </c>
      <c r="BW151" s="14">
        <f t="shared" si="83"/>
        <v>45297</v>
      </c>
      <c r="BX151" s="14">
        <f t="shared" si="83"/>
        <v>45297</v>
      </c>
      <c r="BY151" s="14">
        <f t="shared" si="83"/>
        <v>45295</v>
      </c>
      <c r="BZ151" s="14">
        <f t="shared" si="83"/>
        <v>45296</v>
      </c>
      <c r="CA151" s="14">
        <f t="shared" si="83"/>
        <v>45297</v>
      </c>
      <c r="CB151" s="14">
        <f t="shared" si="83"/>
        <v>45297</v>
      </c>
      <c r="CC151" s="14">
        <f t="shared" si="83"/>
        <v>45296</v>
      </c>
      <c r="CD151" s="14">
        <f t="shared" ref="CD151:CL151" si="84">CD152</f>
        <v>45297</v>
      </c>
      <c r="CE151" s="14">
        <f t="shared" si="84"/>
        <v>45295</v>
      </c>
      <c r="CF151" s="14">
        <f t="shared" si="84"/>
        <v>45296</v>
      </c>
      <c r="CG151" s="14">
        <f t="shared" si="84"/>
        <v>45297</v>
      </c>
      <c r="CH151" s="14">
        <f t="shared" si="84"/>
        <v>45295</v>
      </c>
      <c r="CI151" s="14">
        <f t="shared" si="84"/>
        <v>45296</v>
      </c>
      <c r="CJ151" s="14">
        <f t="shared" si="84"/>
        <v>45297</v>
      </c>
      <c r="CK151" s="14">
        <f t="shared" si="84"/>
        <v>45298</v>
      </c>
      <c r="CL151" s="14">
        <f t="shared" si="84"/>
        <v>45299</v>
      </c>
    </row>
    <row r="152" spans="17:90" hidden="1" x14ac:dyDescent="0.3">
      <c r="R152" s="19">
        <f>R104</f>
        <v>45259</v>
      </c>
      <c r="S152" s="19">
        <f t="shared" ref="S152:BD152" si="85">R152+1</f>
        <v>45260</v>
      </c>
      <c r="T152" s="19">
        <f t="shared" si="85"/>
        <v>45261</v>
      </c>
      <c r="U152" s="19">
        <f t="shared" si="85"/>
        <v>45262</v>
      </c>
      <c r="V152" s="19">
        <f t="shared" si="85"/>
        <v>45263</v>
      </c>
      <c r="W152" s="19">
        <f t="shared" si="85"/>
        <v>45264</v>
      </c>
      <c r="X152" s="19">
        <f t="shared" si="85"/>
        <v>45265</v>
      </c>
      <c r="Y152" s="19">
        <f t="shared" si="85"/>
        <v>45266</v>
      </c>
      <c r="Z152" s="19">
        <f t="shared" si="85"/>
        <v>45267</v>
      </c>
      <c r="AA152" s="19">
        <f t="shared" si="85"/>
        <v>45268</v>
      </c>
      <c r="AB152" s="19">
        <f t="shared" si="85"/>
        <v>45269</v>
      </c>
      <c r="AC152" s="19">
        <f t="shared" si="85"/>
        <v>45270</v>
      </c>
      <c r="AD152" s="19">
        <f t="shared" si="85"/>
        <v>45271</v>
      </c>
      <c r="AE152" s="19">
        <f t="shared" si="85"/>
        <v>45272</v>
      </c>
      <c r="AF152" s="19">
        <f t="shared" si="85"/>
        <v>45273</v>
      </c>
      <c r="AG152" s="19">
        <f t="shared" si="85"/>
        <v>45274</v>
      </c>
      <c r="AH152" s="19">
        <f t="shared" si="85"/>
        <v>45275</v>
      </c>
      <c r="AI152" s="19">
        <f t="shared" si="85"/>
        <v>45276</v>
      </c>
      <c r="AJ152" s="19">
        <f t="shared" si="85"/>
        <v>45277</v>
      </c>
      <c r="AK152" s="19">
        <f t="shared" si="85"/>
        <v>45278</v>
      </c>
      <c r="AL152" s="19">
        <f t="shared" si="85"/>
        <v>45279</v>
      </c>
      <c r="AM152" s="19">
        <f t="shared" si="85"/>
        <v>45280</v>
      </c>
      <c r="AN152" s="19">
        <f t="shared" si="85"/>
        <v>45281</v>
      </c>
      <c r="AO152" s="19">
        <f t="shared" si="85"/>
        <v>45282</v>
      </c>
      <c r="AP152" s="19">
        <f t="shared" si="85"/>
        <v>45283</v>
      </c>
      <c r="AQ152" s="19">
        <f t="shared" si="85"/>
        <v>45284</v>
      </c>
      <c r="AR152" s="19">
        <f t="shared" si="85"/>
        <v>45285</v>
      </c>
      <c r="AS152" s="19">
        <f t="shared" si="85"/>
        <v>45286</v>
      </c>
      <c r="AT152" s="19">
        <f t="shared" si="85"/>
        <v>45287</v>
      </c>
      <c r="AU152" s="19">
        <f t="shared" si="85"/>
        <v>45288</v>
      </c>
      <c r="AV152" s="19">
        <f t="shared" si="85"/>
        <v>45289</v>
      </c>
      <c r="AW152" s="19">
        <f t="shared" si="85"/>
        <v>45290</v>
      </c>
      <c r="AX152" s="19">
        <f t="shared" si="85"/>
        <v>45291</v>
      </c>
      <c r="AY152" s="19">
        <f t="shared" si="85"/>
        <v>45292</v>
      </c>
      <c r="AZ152" s="19">
        <f t="shared" si="85"/>
        <v>45293</v>
      </c>
      <c r="BA152" s="19">
        <f t="shared" si="85"/>
        <v>45294</v>
      </c>
      <c r="BB152" s="19">
        <f t="shared" si="85"/>
        <v>45295</v>
      </c>
      <c r="BC152" s="19">
        <f t="shared" si="85"/>
        <v>45296</v>
      </c>
      <c r="BD152" s="19">
        <f t="shared" si="85"/>
        <v>45297</v>
      </c>
      <c r="BE152" s="19">
        <f>BB152+1</f>
        <v>45296</v>
      </c>
      <c r="BF152" s="19">
        <f>BC152+1</f>
        <v>45297</v>
      </c>
      <c r="BG152" s="19">
        <f>BB152+1</f>
        <v>45296</v>
      </c>
      <c r="BH152" s="19">
        <f>BC152+1</f>
        <v>45297</v>
      </c>
      <c r="BI152" s="19">
        <f>BB152+1</f>
        <v>45296</v>
      </c>
      <c r="BJ152" s="19">
        <f>BC152+1</f>
        <v>45297</v>
      </c>
      <c r="BK152" s="19">
        <f t="shared" ref="BK152:BO152" si="86">AY152+1</f>
        <v>45293</v>
      </c>
      <c r="BL152" s="19">
        <f t="shared" si="86"/>
        <v>45294</v>
      </c>
      <c r="BM152" s="19">
        <f t="shared" si="86"/>
        <v>45295</v>
      </c>
      <c r="BN152" s="19">
        <f t="shared" si="86"/>
        <v>45296</v>
      </c>
      <c r="BO152" s="19">
        <f t="shared" si="86"/>
        <v>45297</v>
      </c>
      <c r="BP152" s="19">
        <f>BB152+1</f>
        <v>45296</v>
      </c>
      <c r="BQ152" s="19">
        <f>BC152+1</f>
        <v>45297</v>
      </c>
      <c r="BR152" s="19">
        <f>BB152+1</f>
        <v>45296</v>
      </c>
      <c r="BS152" s="19">
        <f>BC152+1</f>
        <v>45297</v>
      </c>
      <c r="BT152" s="19">
        <f>BC152+1</f>
        <v>45297</v>
      </c>
      <c r="BU152" s="19">
        <f>BA152+1</f>
        <v>45295</v>
      </c>
      <c r="BV152" s="19">
        <f>BB152+1</f>
        <v>45296</v>
      </c>
      <c r="BW152" s="19">
        <f>BC152+1</f>
        <v>45297</v>
      </c>
      <c r="BX152" s="19">
        <f>BC152+1</f>
        <v>45297</v>
      </c>
      <c r="BY152" s="19">
        <f>BA152+1</f>
        <v>45295</v>
      </c>
      <c r="BZ152" s="19">
        <f>BB152+1</f>
        <v>45296</v>
      </c>
      <c r="CA152" s="19">
        <f>BC152+1</f>
        <v>45297</v>
      </c>
      <c r="CB152" s="19">
        <f>BC152+1</f>
        <v>45297</v>
      </c>
      <c r="CC152" s="19">
        <f>BB152+1</f>
        <v>45296</v>
      </c>
      <c r="CD152" s="19">
        <f>BC152+1</f>
        <v>45297</v>
      </c>
      <c r="CE152" s="19">
        <f>BA152+1</f>
        <v>45295</v>
      </c>
      <c r="CF152" s="19">
        <f>BB152+1</f>
        <v>45296</v>
      </c>
      <c r="CG152" s="19">
        <f>BC152+1</f>
        <v>45297</v>
      </c>
      <c r="CH152" s="19">
        <f>BA152+1</f>
        <v>45295</v>
      </c>
      <c r="CI152" s="19">
        <f>BB152+1</f>
        <v>45296</v>
      </c>
      <c r="CJ152" s="19">
        <f>BC152+1</f>
        <v>45297</v>
      </c>
      <c r="CK152" s="19">
        <f>BD152+1</f>
        <v>45298</v>
      </c>
      <c r="CL152" s="19">
        <f t="shared" ref="CL152" si="87">CK152+1</f>
        <v>45299</v>
      </c>
    </row>
    <row r="153" spans="17:90" hidden="1" x14ac:dyDescent="0.3">
      <c r="Q153" s="45" t="s">
        <v>46</v>
      </c>
      <c r="R153" s="46">
        <v>25</v>
      </c>
      <c r="S153" s="46">
        <v>37</v>
      </c>
      <c r="T153" s="46">
        <v>44</v>
      </c>
      <c r="U153" s="46">
        <v>0</v>
      </c>
      <c r="V153" s="46">
        <v>33</v>
      </c>
      <c r="W153" s="46">
        <v>54</v>
      </c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</row>
    <row r="154" spans="17:90" hidden="1" x14ac:dyDescent="0.3">
      <c r="Q154" s="45" t="s">
        <v>47</v>
      </c>
      <c r="R154" s="46">
        <v>9</v>
      </c>
      <c r="S154" s="46">
        <v>13</v>
      </c>
      <c r="T154" s="46">
        <v>12</v>
      </c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</row>
    <row r="155" spans="17:90" hidden="1" x14ac:dyDescent="0.3">
      <c r="Q155" s="45" t="s">
        <v>54</v>
      </c>
      <c r="R155" s="46">
        <v>0</v>
      </c>
      <c r="S155" s="46">
        <v>36</v>
      </c>
      <c r="T155" s="46">
        <v>15</v>
      </c>
      <c r="U155" s="46">
        <v>41</v>
      </c>
      <c r="V155" s="46"/>
      <c r="W155" s="46">
        <v>34</v>
      </c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</row>
    <row r="156" spans="17:90" hidden="1" x14ac:dyDescent="0.3">
      <c r="Q156" s="45" t="s">
        <v>48</v>
      </c>
      <c r="R156" s="46">
        <v>29</v>
      </c>
      <c r="S156" s="46">
        <v>40</v>
      </c>
      <c r="T156" s="46">
        <v>43</v>
      </c>
      <c r="U156" s="46">
        <v>0</v>
      </c>
      <c r="V156" s="46">
        <v>46</v>
      </c>
      <c r="W156" s="46">
        <v>55</v>
      </c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</row>
    <row r="157" spans="17:90" hidden="1" x14ac:dyDescent="0.3">
      <c r="Q157" s="45" t="s">
        <v>49</v>
      </c>
      <c r="R157" s="46">
        <v>34</v>
      </c>
      <c r="S157" s="46">
        <v>32</v>
      </c>
      <c r="T157" s="46"/>
      <c r="U157" s="46">
        <v>25</v>
      </c>
      <c r="V157" s="46"/>
      <c r="W157" s="46">
        <v>37</v>
      </c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</row>
    <row r="158" spans="17:90" hidden="1" x14ac:dyDescent="0.3">
      <c r="Q158" s="45" t="s">
        <v>50</v>
      </c>
      <c r="R158" s="46">
        <v>11</v>
      </c>
      <c r="S158" s="46">
        <v>22</v>
      </c>
      <c r="T158" s="46">
        <v>27</v>
      </c>
      <c r="U158" s="46">
        <v>28</v>
      </c>
      <c r="V158" s="46"/>
      <c r="W158" s="46">
        <v>28</v>
      </c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</row>
    <row r="159" spans="17:90" hidden="1" x14ac:dyDescent="0.3">
      <c r="Q159" s="45" t="s">
        <v>55</v>
      </c>
      <c r="R159" s="46">
        <v>0</v>
      </c>
      <c r="S159" s="46">
        <v>0</v>
      </c>
      <c r="T159" s="46">
        <v>12</v>
      </c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</row>
    <row r="160" spans="17:90" hidden="1" x14ac:dyDescent="0.3">
      <c r="Q160" s="45" t="s">
        <v>51</v>
      </c>
      <c r="R160" s="46">
        <v>45</v>
      </c>
      <c r="S160" s="46">
        <v>28</v>
      </c>
      <c r="T160" s="46">
        <v>41</v>
      </c>
      <c r="U160" s="46">
        <v>0</v>
      </c>
      <c r="V160" s="46">
        <v>57</v>
      </c>
      <c r="W160" s="46">
        <v>55</v>
      </c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</row>
    <row r="161" spans="17:90" hidden="1" x14ac:dyDescent="0.3">
      <c r="Q161" s="45" t="s">
        <v>52</v>
      </c>
      <c r="R161" s="46">
        <v>2</v>
      </c>
      <c r="S161" s="46">
        <v>5</v>
      </c>
      <c r="T161" s="46"/>
      <c r="U161" s="46">
        <v>19</v>
      </c>
      <c r="V161" s="46"/>
      <c r="W161" s="46">
        <v>22</v>
      </c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</row>
    <row r="162" spans="17:90" hidden="1" x14ac:dyDescent="0.3">
      <c r="Q162" s="45" t="s">
        <v>53</v>
      </c>
      <c r="R162" s="46">
        <v>0</v>
      </c>
      <c r="S162" s="46">
        <v>33</v>
      </c>
      <c r="T162" s="46"/>
      <c r="U162" s="46"/>
      <c r="V162" s="46"/>
      <c r="W162" s="46">
        <v>56</v>
      </c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</row>
    <row r="163" spans="17:90" hidden="1" x14ac:dyDescent="0.3">
      <c r="R163" s="47">
        <f>SUM(R153:R162)</f>
        <v>155</v>
      </c>
      <c r="S163" s="47">
        <f t="shared" ref="S163:CL163" si="88">SUM(S153:S162)</f>
        <v>246</v>
      </c>
      <c r="T163" s="47">
        <f t="shared" si="88"/>
        <v>194</v>
      </c>
      <c r="U163" s="47">
        <f t="shared" si="88"/>
        <v>113</v>
      </c>
      <c r="V163" s="47">
        <f t="shared" si="88"/>
        <v>136</v>
      </c>
      <c r="W163" s="47">
        <f t="shared" si="88"/>
        <v>341</v>
      </c>
      <c r="X163" s="47">
        <f t="shared" si="88"/>
        <v>0</v>
      </c>
      <c r="Y163" s="47">
        <f t="shared" si="88"/>
        <v>0</v>
      </c>
      <c r="Z163" s="47">
        <f t="shared" si="88"/>
        <v>0</v>
      </c>
      <c r="AA163" s="47">
        <f t="shared" si="88"/>
        <v>0</v>
      </c>
      <c r="AB163" s="47">
        <f t="shared" si="88"/>
        <v>0</v>
      </c>
      <c r="AC163" s="47">
        <f t="shared" si="88"/>
        <v>0</v>
      </c>
      <c r="AD163" s="47">
        <f t="shared" si="88"/>
        <v>0</v>
      </c>
      <c r="AE163" s="47">
        <f t="shared" si="88"/>
        <v>0</v>
      </c>
      <c r="AF163" s="47">
        <f t="shared" si="88"/>
        <v>0</v>
      </c>
      <c r="AG163" s="47">
        <f t="shared" si="88"/>
        <v>0</v>
      </c>
      <c r="AH163" s="47">
        <f t="shared" si="88"/>
        <v>0</v>
      </c>
      <c r="AI163" s="47">
        <f t="shared" si="88"/>
        <v>0</v>
      </c>
      <c r="AJ163" s="47">
        <f t="shared" si="88"/>
        <v>0</v>
      </c>
      <c r="AK163" s="47">
        <f t="shared" si="88"/>
        <v>0</v>
      </c>
      <c r="AL163" s="47">
        <f t="shared" si="88"/>
        <v>0</v>
      </c>
      <c r="AM163" s="47">
        <f t="shared" si="88"/>
        <v>0</v>
      </c>
      <c r="AN163" s="47">
        <f t="shared" si="88"/>
        <v>0</v>
      </c>
      <c r="AO163" s="47">
        <f t="shared" si="88"/>
        <v>0</v>
      </c>
      <c r="AP163" s="47">
        <f t="shared" si="88"/>
        <v>0</v>
      </c>
      <c r="AQ163" s="47">
        <f t="shared" si="88"/>
        <v>0</v>
      </c>
      <c r="AR163" s="47">
        <f t="shared" si="88"/>
        <v>0</v>
      </c>
      <c r="AS163" s="47">
        <f t="shared" si="88"/>
        <v>0</v>
      </c>
      <c r="AT163" s="47">
        <f t="shared" si="88"/>
        <v>0</v>
      </c>
      <c r="AU163" s="47">
        <f t="shared" si="88"/>
        <v>0</v>
      </c>
      <c r="AV163" s="47">
        <f t="shared" si="88"/>
        <v>0</v>
      </c>
      <c r="AW163" s="47">
        <f t="shared" si="88"/>
        <v>0</v>
      </c>
      <c r="AX163" s="47">
        <f t="shared" si="88"/>
        <v>0</v>
      </c>
      <c r="AY163" s="47">
        <f t="shared" si="88"/>
        <v>0</v>
      </c>
      <c r="AZ163" s="47">
        <f t="shared" si="88"/>
        <v>0</v>
      </c>
      <c r="BA163" s="47">
        <f t="shared" si="88"/>
        <v>0</v>
      </c>
      <c r="BB163" s="47">
        <f t="shared" si="88"/>
        <v>0</v>
      </c>
      <c r="BC163" s="47">
        <f t="shared" si="88"/>
        <v>0</v>
      </c>
      <c r="BD163" s="47">
        <f t="shared" si="88"/>
        <v>0</v>
      </c>
      <c r="BE163" s="47">
        <f t="shared" si="88"/>
        <v>0</v>
      </c>
      <c r="BF163" s="47">
        <f t="shared" si="88"/>
        <v>0</v>
      </c>
      <c r="BG163" s="47">
        <f t="shared" si="88"/>
        <v>0</v>
      </c>
      <c r="BH163" s="47">
        <f t="shared" si="88"/>
        <v>0</v>
      </c>
      <c r="BI163" s="47">
        <f t="shared" si="88"/>
        <v>0</v>
      </c>
      <c r="BJ163" s="47">
        <f t="shared" si="88"/>
        <v>0</v>
      </c>
      <c r="BK163" s="47">
        <f t="shared" si="88"/>
        <v>0</v>
      </c>
      <c r="BL163" s="47">
        <f t="shared" si="88"/>
        <v>0</v>
      </c>
      <c r="BM163" s="47">
        <f t="shared" si="88"/>
        <v>0</v>
      </c>
      <c r="BN163" s="47">
        <f t="shared" si="88"/>
        <v>0</v>
      </c>
      <c r="BO163" s="47">
        <f t="shared" si="88"/>
        <v>0</v>
      </c>
      <c r="BP163" s="47">
        <f t="shared" si="88"/>
        <v>0</v>
      </c>
      <c r="BQ163" s="47">
        <f t="shared" si="88"/>
        <v>0</v>
      </c>
      <c r="BR163" s="47">
        <f t="shared" si="88"/>
        <v>0</v>
      </c>
      <c r="BS163" s="47">
        <f t="shared" si="88"/>
        <v>0</v>
      </c>
      <c r="BT163" s="47">
        <f t="shared" si="88"/>
        <v>0</v>
      </c>
      <c r="BU163" s="47">
        <f t="shared" si="88"/>
        <v>0</v>
      </c>
      <c r="BV163" s="47">
        <f t="shared" si="88"/>
        <v>0</v>
      </c>
      <c r="BW163" s="47">
        <f t="shared" si="88"/>
        <v>0</v>
      </c>
      <c r="BX163" s="47">
        <f t="shared" si="88"/>
        <v>0</v>
      </c>
      <c r="BY163" s="47">
        <f t="shared" si="88"/>
        <v>0</v>
      </c>
      <c r="BZ163" s="47">
        <f t="shared" si="88"/>
        <v>0</v>
      </c>
      <c r="CA163" s="47">
        <f t="shared" si="88"/>
        <v>0</v>
      </c>
      <c r="CB163" s="47">
        <f t="shared" si="88"/>
        <v>0</v>
      </c>
      <c r="CC163" s="47">
        <f t="shared" si="88"/>
        <v>0</v>
      </c>
      <c r="CD163" s="47">
        <f t="shared" si="88"/>
        <v>0</v>
      </c>
      <c r="CE163" s="47">
        <f t="shared" si="88"/>
        <v>0</v>
      </c>
      <c r="CF163" s="47">
        <f t="shared" si="88"/>
        <v>0</v>
      </c>
      <c r="CG163" s="47">
        <f t="shared" si="88"/>
        <v>0</v>
      </c>
      <c r="CH163" s="47">
        <f t="shared" si="88"/>
        <v>0</v>
      </c>
      <c r="CI163" s="47">
        <f t="shared" si="88"/>
        <v>0</v>
      </c>
      <c r="CJ163" s="47">
        <f t="shared" si="88"/>
        <v>0</v>
      </c>
      <c r="CK163" s="47">
        <f t="shared" si="88"/>
        <v>0</v>
      </c>
      <c r="CL163" s="47">
        <f t="shared" si="88"/>
        <v>0</v>
      </c>
    </row>
  </sheetData>
  <mergeCells count="20">
    <mergeCell ref="CM124:CO124"/>
    <mergeCell ref="CM125:CO125"/>
    <mergeCell ref="CM126:CO126"/>
    <mergeCell ref="B100:B128"/>
    <mergeCell ref="F102:CL102"/>
    <mergeCell ref="CM116:CO116"/>
    <mergeCell ref="CM117:CO117"/>
    <mergeCell ref="CM118:CO118"/>
    <mergeCell ref="CM119:CO119"/>
    <mergeCell ref="CM120:CO120"/>
    <mergeCell ref="CM121:CO121"/>
    <mergeCell ref="CM122:CO122"/>
    <mergeCell ref="CM123:CO123"/>
    <mergeCell ref="B6:B22"/>
    <mergeCell ref="B49:B73"/>
    <mergeCell ref="F51:CL51"/>
    <mergeCell ref="CM65:CO65"/>
    <mergeCell ref="CM66:CO66"/>
    <mergeCell ref="CM69:CO69"/>
    <mergeCell ref="CM70:CO70"/>
  </mergeCells>
  <conditionalFormatting sqref="F117:CL117">
    <cfRule type="cellIs" dxfId="9" priority="11" operator="greaterThanOrEqual">
      <formula>MAX($F$117:$CL$117)</formula>
    </cfRule>
  </conditionalFormatting>
  <conditionalFormatting sqref="F118:CL118">
    <cfRule type="cellIs" dxfId="8" priority="10" operator="greaterThanOrEqual">
      <formula>MAX($F$118:$CL$118)</formula>
    </cfRule>
  </conditionalFormatting>
  <conditionalFormatting sqref="F119:CL119">
    <cfRule type="cellIs" dxfId="7" priority="9" operator="greaterThanOrEqual">
      <formula>MAX($F$119:$CL$119)</formula>
    </cfRule>
  </conditionalFormatting>
  <conditionalFormatting sqref="F120:CL120">
    <cfRule type="cellIs" dxfId="6" priority="8" operator="greaterThanOrEqual">
      <formula>MAX($F$120:$CL$120)</formula>
    </cfRule>
  </conditionalFormatting>
  <conditionalFormatting sqref="F121:CL121">
    <cfRule type="cellIs" dxfId="5" priority="7" operator="greaterThanOrEqual">
      <formula>MAX($F$121:$CL$121)</formula>
    </cfRule>
  </conditionalFormatting>
  <conditionalFormatting sqref="F122:CL122">
    <cfRule type="cellIs" dxfId="4" priority="6" operator="greaterThanOrEqual">
      <formula>MAX($F$122:$CL$122)</formula>
    </cfRule>
  </conditionalFormatting>
  <conditionalFormatting sqref="F123:CL123">
    <cfRule type="cellIs" dxfId="3" priority="5" operator="greaterThanOrEqual">
      <formula>MAX($F$123:$CL$123)</formula>
    </cfRule>
  </conditionalFormatting>
  <conditionalFormatting sqref="F124:CL124">
    <cfRule type="cellIs" dxfId="2" priority="4" operator="greaterThanOrEqual">
      <formula>MAX($F$124:$CL$124)</formula>
    </cfRule>
  </conditionalFormatting>
  <conditionalFormatting sqref="F125:CL125">
    <cfRule type="cellIs" dxfId="1" priority="3" operator="greaterThanOrEqual">
      <formula>MAX($F$125:$CL$125)</formula>
    </cfRule>
  </conditionalFormatting>
  <conditionalFormatting sqref="F126:CL126">
    <cfRule type="cellIs" dxfId="0" priority="2" operator="greaterThanOrEqual">
      <formula>MAX($F$126:$CL$126)</formula>
    </cfRule>
  </conditionalFormatting>
  <conditionalFormatting sqref="R153:CL162">
    <cfRule type="colorScale" priority="1">
      <colorScale>
        <cfvo type="min"/>
        <cfvo type="percentile" val="50"/>
        <cfvo type="num" val="39"/>
        <color theme="5" tint="0.59999389629810485"/>
        <color theme="0"/>
        <color theme="6" tint="0.59999389629810485"/>
      </colorScale>
    </cfRule>
  </conditionalFormatting>
  <pageMargins left="0.7" right="0.7" top="0.75" bottom="0.75" header="0.3" footer="0.3"/>
  <pageSetup orientation="portrait" horizontalDpi="300" verticalDpi="300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high="1" xr2:uid="{5BC35FC7-CA67-4C6B-BBEA-BB3858B6EF33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'Buen fin (2)'!AY69:CL69</xm:f>
              <xm:sqref>CM69</xm:sqref>
            </x14:sparkline>
          </x14:sparklines>
        </x14:sparklineGroup>
        <x14:sparklineGroup type="column" displayEmptyCellsAs="span" high="1" xr2:uid="{FB94A602-70B5-4557-BDBE-70B85FEFD807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'Buen fin (2)'!AY70:CL70</xm:f>
              <xm:sqref>CM70</xm:sqref>
            </x14:sparkline>
          </x14:sparklines>
        </x14:sparklineGroup>
        <x14:sparklineGroup type="column" displayEmptyCellsAs="span" high="1" xr2:uid="{6E69DB46-A136-41AD-953B-105B80668EC4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'Buen fin (2)'!AY66:CL66</xm:f>
              <xm:sqref>CM66</xm:sqref>
            </x14:sparkline>
          </x14:sparklines>
        </x14:sparklineGroup>
        <x14:sparklineGroup type="column" displayEmptyCellsAs="span" high="1" xr2:uid="{B46A7600-8765-400A-9548-5ED15CC72D7A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'Buen fin (2)'!AY117:CL117</xm:f>
              <xm:sqref>CM117</xm:sqref>
            </x14:sparkline>
            <x14:sparkline>
              <xm:f>'Buen fin (2)'!AY118:CL118</xm:f>
              <xm:sqref>CM118</xm:sqref>
            </x14:sparkline>
            <x14:sparkline>
              <xm:f>'Buen fin (2)'!AY119:CL119</xm:f>
              <xm:sqref>CM119</xm:sqref>
            </x14:sparkline>
            <x14:sparkline>
              <xm:f>'Buen fin (2)'!AY120:CL120</xm:f>
              <xm:sqref>CM120</xm:sqref>
            </x14:sparkline>
            <x14:sparkline>
              <xm:f>'Buen fin (2)'!AY121:CL121</xm:f>
              <xm:sqref>CM121</xm:sqref>
            </x14:sparkline>
            <x14:sparkline>
              <xm:f>'Buen fin (2)'!AY122:CL122</xm:f>
              <xm:sqref>CM122</xm:sqref>
            </x14:sparkline>
            <x14:sparkline>
              <xm:f>'Buen fin (2)'!AY123:CL123</xm:f>
              <xm:sqref>CM123</xm:sqref>
            </x14:sparkline>
            <x14:sparkline>
              <xm:f>'Buen fin (2)'!AY124:CL124</xm:f>
              <xm:sqref>CM124</xm:sqref>
            </x14:sparkline>
            <x14:sparkline>
              <xm:f>'Buen fin (2)'!AY125:CL125</xm:f>
              <xm:sqref>CM125</xm:sqref>
            </x14:sparkline>
            <x14:sparkline>
              <xm:f>'Buen fin (2)'!AY126:CL126</xm:f>
              <xm:sqref>CM126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B5EE-B4C5-44EB-806E-A6AFBD27B838}">
  <dimension ref="B4:G15"/>
  <sheetViews>
    <sheetView showGridLines="0" workbookViewId="0">
      <selection activeCell="F20" sqref="F20"/>
    </sheetView>
  </sheetViews>
  <sheetFormatPr defaultRowHeight="14.4" x14ac:dyDescent="0.3"/>
  <cols>
    <col min="2" max="2" width="21.21875" customWidth="1"/>
    <col min="3" max="3" width="20.21875" customWidth="1"/>
    <col min="4" max="4" width="1.21875" customWidth="1"/>
    <col min="5" max="5" width="20.21875" customWidth="1"/>
    <col min="6" max="6" width="1.21875" customWidth="1"/>
    <col min="7" max="7" width="20.21875" customWidth="1"/>
  </cols>
  <sheetData>
    <row r="4" spans="2:7" x14ac:dyDescent="0.3">
      <c r="B4" s="1"/>
      <c r="C4" s="57">
        <v>2024</v>
      </c>
      <c r="E4" s="58" t="s">
        <v>93</v>
      </c>
      <c r="G4" s="59" t="s">
        <v>94</v>
      </c>
    </row>
    <row r="5" spans="2:7" x14ac:dyDescent="0.3">
      <c r="B5" s="1"/>
      <c r="C5" s="20" t="s">
        <v>91</v>
      </c>
      <c r="E5" s="55" t="s">
        <v>91</v>
      </c>
      <c r="G5" s="19" t="s">
        <v>91</v>
      </c>
    </row>
    <row r="6" spans="2:7" x14ac:dyDescent="0.3">
      <c r="B6" s="13" t="s">
        <v>92</v>
      </c>
      <c r="C6" s="3">
        <v>2298</v>
      </c>
      <c r="E6" s="3">
        <v>301</v>
      </c>
      <c r="G6" s="3">
        <f t="shared" ref="G6:G15" si="0">C6-E6</f>
        <v>1997</v>
      </c>
    </row>
    <row r="7" spans="2:7" x14ac:dyDescent="0.3">
      <c r="B7" s="2" t="s">
        <v>2</v>
      </c>
      <c r="C7" s="4">
        <v>1824</v>
      </c>
      <c r="E7" s="18">
        <v>373</v>
      </c>
      <c r="G7" s="18">
        <f t="shared" si="0"/>
        <v>1451</v>
      </c>
    </row>
    <row r="8" spans="2:7" x14ac:dyDescent="0.3">
      <c r="B8" s="2" t="s">
        <v>3</v>
      </c>
      <c r="C8" s="31">
        <f t="shared" ref="C8" si="1">IFERROR((C7-C6)/C6,"")</f>
        <v>-0.20626631853785901</v>
      </c>
      <c r="E8" s="31">
        <f t="shared" ref="E8" si="2">IFERROR((E7-E6)/E6,"")</f>
        <v>0.23920265780730898</v>
      </c>
      <c r="G8" s="31">
        <f t="shared" ref="G8" si="3">IFERROR((G7-G6)/G6,"")</f>
        <v>-0.27341011517275915</v>
      </c>
    </row>
    <row r="9" spans="2:7" x14ac:dyDescent="0.3">
      <c r="B9" s="2" t="s">
        <v>4</v>
      </c>
      <c r="C9" s="5">
        <f t="shared" ref="C9" si="4">C7-C6</f>
        <v>-474</v>
      </c>
      <c r="E9" s="5">
        <f t="shared" ref="E9:G9" si="5">E7-E6</f>
        <v>72</v>
      </c>
      <c r="G9" s="5">
        <f t="shared" si="5"/>
        <v>-546</v>
      </c>
    </row>
    <row r="10" spans="2:7" x14ac:dyDescent="0.3">
      <c r="B10" s="50" t="s">
        <v>66</v>
      </c>
      <c r="C10" s="3">
        <v>1527</v>
      </c>
      <c r="E10" s="3">
        <v>106</v>
      </c>
      <c r="G10" s="3">
        <f t="shared" si="0"/>
        <v>1421</v>
      </c>
    </row>
    <row r="11" spans="2:7" x14ac:dyDescent="0.3">
      <c r="B11" s="52" t="s">
        <v>69</v>
      </c>
      <c r="C11" s="53">
        <v>2285</v>
      </c>
      <c r="E11" s="53">
        <v>387</v>
      </c>
      <c r="G11" s="53">
        <f t="shared" si="0"/>
        <v>1898</v>
      </c>
    </row>
    <row r="12" spans="2:7" x14ac:dyDescent="0.3">
      <c r="B12" s="51" t="s">
        <v>68</v>
      </c>
      <c r="C12" s="3">
        <f>C11+C10</f>
        <v>3812</v>
      </c>
      <c r="E12" s="3">
        <f>E11+E10</f>
        <v>493</v>
      </c>
      <c r="G12" s="3">
        <f t="shared" si="0"/>
        <v>3319</v>
      </c>
    </row>
    <row r="13" spans="2:7" x14ac:dyDescent="0.3">
      <c r="B13" s="60" t="s">
        <v>96</v>
      </c>
      <c r="C13" s="61">
        <f>E13+G13</f>
        <v>233</v>
      </c>
      <c r="E13" s="61">
        <v>63</v>
      </c>
      <c r="G13" s="61">
        <v>170</v>
      </c>
    </row>
    <row r="14" spans="2:7" ht="15" thickBot="1" x14ac:dyDescent="0.35">
      <c r="B14" s="6"/>
      <c r="C14" s="7"/>
      <c r="E14" s="7"/>
      <c r="G14" s="7"/>
    </row>
    <row r="15" spans="2:7" ht="15" thickBot="1" x14ac:dyDescent="0.35">
      <c r="B15" s="23" t="s">
        <v>95</v>
      </c>
      <c r="C15" s="8">
        <v>1942</v>
      </c>
      <c r="E15" s="8">
        <v>359</v>
      </c>
      <c r="G15" s="8">
        <f t="shared" si="0"/>
        <v>1583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ACC1-59BB-4049-A68E-8C9486674097}">
  <dimension ref="B4:C13"/>
  <sheetViews>
    <sheetView workbookViewId="0">
      <selection activeCell="C11" sqref="C11"/>
    </sheetView>
  </sheetViews>
  <sheetFormatPr defaultRowHeight="14.4" x14ac:dyDescent="0.3"/>
  <sheetData>
    <row r="4" spans="2:3" x14ac:dyDescent="0.3">
      <c r="B4">
        <v>1</v>
      </c>
      <c r="C4" t="s">
        <v>6</v>
      </c>
    </row>
    <row r="5" spans="2:3" x14ac:dyDescent="0.3">
      <c r="C5" t="s">
        <v>7</v>
      </c>
    </row>
    <row r="6" spans="2:3" x14ac:dyDescent="0.3">
      <c r="C6" t="s">
        <v>8</v>
      </c>
    </row>
    <row r="7" spans="2:3" x14ac:dyDescent="0.3">
      <c r="C7" t="s">
        <v>9</v>
      </c>
    </row>
    <row r="10" spans="2:3" x14ac:dyDescent="0.3">
      <c r="B10">
        <v>2</v>
      </c>
      <c r="C10" t="s">
        <v>13</v>
      </c>
    </row>
    <row r="11" spans="2:3" x14ac:dyDescent="0.3">
      <c r="C11" t="s">
        <v>10</v>
      </c>
    </row>
    <row r="12" spans="2:3" x14ac:dyDescent="0.3">
      <c r="C12" t="s">
        <v>11</v>
      </c>
    </row>
    <row r="13" spans="2:3" x14ac:dyDescent="0.3">
      <c r="C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Comportamiento</vt:lpstr>
      <vt:lpstr>Buen fin (3)</vt:lpstr>
      <vt:lpstr>Buen fin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 Herlinda</dc:creator>
  <cp:lastModifiedBy>Hurtado Pedro</cp:lastModifiedBy>
  <dcterms:created xsi:type="dcterms:W3CDTF">2023-11-21T14:19:16Z</dcterms:created>
  <dcterms:modified xsi:type="dcterms:W3CDTF">2024-05-27T22:08:52Z</dcterms:modified>
</cp:coreProperties>
</file>