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<sst xmlns="http://schemas.openxmlformats.org/spreadsheetml/2006/main" count="486" uniqueCount="314">
  <si>
    <t>Announced Date</t>
  </si>
  <si>
    <t>Issuer Ticker</t>
  </si>
  <si>
    <t>公司名称</t>
  </si>
  <si>
    <t>股价
（港元）</t>
  </si>
  <si>
    <t>有效申请份数</t>
  </si>
  <si>
    <t>顶头锤中签率</t>
  </si>
  <si>
    <t>乙组总人数</t>
  </si>
  <si>
    <t>顶头锤金额</t>
  </si>
  <si>
    <t>乙组顶头锤获配总金额 获配股数x股价x人数</t>
  </si>
  <si>
    <t>HKPO
回拨前(HKD)</t>
  </si>
  <si>
    <t>钉头锤金额占HKPO（回拨前）的比例</t>
  </si>
  <si>
    <t>HKPO
回拨后(HKD)</t>
  </si>
  <si>
    <t>顶头锤获配金额占HKPO（回拨后）的比例</t>
  </si>
  <si>
    <t>回拨至</t>
  </si>
  <si>
    <t>认购倍数
（X)</t>
  </si>
  <si>
    <t>11/13/2019</t>
  </si>
  <si>
    <t>9988 HK</t>
  </si>
  <si>
    <t>阿里巴巴</t>
  </si>
  <si>
    <t>09/18/2019</t>
  </si>
  <si>
    <t>1876 HK</t>
  </si>
  <si>
    <t>百威亚太</t>
  </si>
  <si>
    <t>05/14/2019</t>
  </si>
  <si>
    <t>1821 HK</t>
  </si>
  <si>
    <t>ESR</t>
  </si>
  <si>
    <t>04/01/2019</t>
  </si>
  <si>
    <t>6806 HK</t>
  </si>
  <si>
    <t>申万宏源</t>
  </si>
  <si>
    <t>05/20/2019</t>
  </si>
  <si>
    <t>3692 HK</t>
  </si>
  <si>
    <t>09/09/2019</t>
  </si>
  <si>
    <t>6110 HK</t>
  </si>
  <si>
    <t>10/28/2019</t>
  </si>
  <si>
    <t>6186 HK</t>
  </si>
  <si>
    <t>保利物业</t>
  </si>
  <si>
    <t>12/13/2019</t>
  </si>
  <si>
    <t>6199 HK</t>
  </si>
  <si>
    <t>11/04/2019</t>
  </si>
  <si>
    <t>3759 HK</t>
  </si>
  <si>
    <t>667 HK</t>
  </si>
  <si>
    <t>12/02/2019</t>
  </si>
  <si>
    <t>6049 HK</t>
  </si>
  <si>
    <t>05/03/2019</t>
  </si>
  <si>
    <t>3868 HK</t>
  </si>
  <si>
    <t>06/27/2019</t>
  </si>
  <si>
    <t>2558 HK</t>
  </si>
  <si>
    <t>06/03/2019</t>
  </si>
  <si>
    <t>1951 HK</t>
  </si>
  <si>
    <t>08/26/2019</t>
  </si>
  <si>
    <t>2696 HK</t>
  </si>
  <si>
    <t>2772 HK</t>
  </si>
  <si>
    <t>12/09/2019</t>
  </si>
  <si>
    <t>1691 HK</t>
  </si>
  <si>
    <t>11/11/2019</t>
  </si>
  <si>
    <t>2500 HK</t>
  </si>
  <si>
    <t>02/11/2019</t>
  </si>
  <si>
    <t>2616 HK</t>
  </si>
  <si>
    <t>11/14/2019</t>
  </si>
  <si>
    <t>1503 HK</t>
  </si>
  <si>
    <t>05/08/2019</t>
  </si>
  <si>
    <t>1905 HK</t>
  </si>
  <si>
    <t>10/29/2019</t>
  </si>
  <si>
    <t>2103 HK</t>
  </si>
  <si>
    <t>11/18/2019</t>
  </si>
  <si>
    <t>9966 HK</t>
  </si>
  <si>
    <t>05/27/2019</t>
  </si>
  <si>
    <t>3877 HK</t>
  </si>
  <si>
    <t>01/18/2019</t>
  </si>
  <si>
    <t>1896 HK</t>
  </si>
  <si>
    <t>02/27/2019</t>
  </si>
  <si>
    <t>1907 HK</t>
  </si>
  <si>
    <t>03/14/2019</t>
  </si>
  <si>
    <t>1797 HK</t>
  </si>
  <si>
    <t>10/08/2019</t>
  </si>
  <si>
    <t>2606 HK</t>
  </si>
  <si>
    <t>1839 HK</t>
  </si>
  <si>
    <t>02/14/2019</t>
  </si>
  <si>
    <t>2019 HK</t>
  </si>
  <si>
    <t>03/05/2019</t>
  </si>
  <si>
    <t>2718 HK</t>
  </si>
  <si>
    <t>05/15/2019</t>
  </si>
  <si>
    <t>1521 HK</t>
  </si>
  <si>
    <t>04/11/2019</t>
  </si>
  <si>
    <t>1873 HK</t>
  </si>
  <si>
    <t>302 HK</t>
  </si>
  <si>
    <t>12/16/2019</t>
  </si>
  <si>
    <t>9909 HK</t>
  </si>
  <si>
    <t>11/24/2019</t>
  </si>
  <si>
    <t>2231 HK</t>
  </si>
  <si>
    <t>10/31/2019</t>
  </si>
  <si>
    <t>3681 HK</t>
  </si>
  <si>
    <t>03/18/2019</t>
  </si>
  <si>
    <t>6185 HK</t>
  </si>
  <si>
    <t>10/22/2019</t>
  </si>
  <si>
    <t>2163 HK</t>
  </si>
  <si>
    <t>05/17/2019</t>
  </si>
  <si>
    <t>2181 HK</t>
  </si>
  <si>
    <t>02/25/2019</t>
  </si>
  <si>
    <t>1158 HK</t>
  </si>
  <si>
    <t>06/18/2019</t>
  </si>
  <si>
    <t>1286 HK</t>
  </si>
  <si>
    <t>12/03/2019</t>
  </si>
  <si>
    <t>6919 HK</t>
  </si>
  <si>
    <t>06/28/2019</t>
  </si>
  <si>
    <t>1931 HK</t>
  </si>
  <si>
    <t>12/28/2018</t>
  </si>
  <si>
    <t>1785 HK</t>
  </si>
  <si>
    <t>1756 HK</t>
  </si>
  <si>
    <t>1501 HK</t>
  </si>
  <si>
    <t>05/28/2019</t>
  </si>
  <si>
    <t>6055 HK</t>
  </si>
  <si>
    <t>02/21/2019</t>
  </si>
  <si>
    <t>1902 HK</t>
  </si>
  <si>
    <t>04/23/2019</t>
  </si>
  <si>
    <t>1817 HK</t>
  </si>
  <si>
    <t>01/14/2019</t>
  </si>
  <si>
    <t>1890 HK</t>
  </si>
  <si>
    <t>12/31/2018</t>
  </si>
  <si>
    <t>2013 HK</t>
  </si>
  <si>
    <t>9928 HK</t>
  </si>
  <si>
    <t>2400 HK</t>
  </si>
  <si>
    <t>382 HK</t>
  </si>
  <si>
    <t>05/29/2019</t>
  </si>
  <si>
    <t>6811 HK</t>
  </si>
  <si>
    <t>02/28/2019</t>
  </si>
  <si>
    <t>3662 HK</t>
  </si>
  <si>
    <t>05/31/2019</t>
  </si>
  <si>
    <t>6117 HK</t>
  </si>
  <si>
    <t>09/26/2019</t>
  </si>
  <si>
    <t>1846 HK</t>
  </si>
  <si>
    <t>05/16/2019</t>
  </si>
  <si>
    <t>2060 HK</t>
  </si>
  <si>
    <t>1753 HK</t>
  </si>
  <si>
    <t>1935 HK</t>
  </si>
  <si>
    <t>1875 HK</t>
  </si>
  <si>
    <t>2180 HK</t>
  </si>
  <si>
    <t>11/27/2019</t>
  </si>
  <si>
    <t>1593 HK</t>
  </si>
  <si>
    <t>3316 HK</t>
  </si>
  <si>
    <t>1427 HK</t>
  </si>
  <si>
    <t>09/24/2019</t>
  </si>
  <si>
    <t>6820 HK</t>
  </si>
  <si>
    <t>06/17/2019</t>
  </si>
  <si>
    <t>6855 HK</t>
  </si>
  <si>
    <t>1921 HK</t>
  </si>
  <si>
    <t>6819 HK</t>
  </si>
  <si>
    <t>06/12/2019</t>
  </si>
  <si>
    <t>1769 HK</t>
  </si>
  <si>
    <t>3798 HK</t>
  </si>
  <si>
    <t>10/21/2019</t>
  </si>
  <si>
    <t>1847 HK</t>
  </si>
  <si>
    <t>1977 HK</t>
  </si>
  <si>
    <t>1563 HK</t>
  </si>
  <si>
    <t>10/25/2019</t>
  </si>
  <si>
    <t>3603 HK</t>
  </si>
  <si>
    <t>6805 HK</t>
  </si>
  <si>
    <t>04/30/2019</t>
  </si>
  <si>
    <t>1832 HK</t>
  </si>
  <si>
    <t>04/24/2019</t>
  </si>
  <si>
    <t>1857 HK</t>
  </si>
  <si>
    <t>1853 HK</t>
  </si>
  <si>
    <t>09/25/2019</t>
  </si>
  <si>
    <t>1895 HK</t>
  </si>
  <si>
    <t>2360 HK</t>
  </si>
  <si>
    <t>04/02/2019</t>
  </si>
  <si>
    <t>2660 HK</t>
  </si>
  <si>
    <t>09/30/2019</t>
  </si>
  <si>
    <t>1084 HK</t>
  </si>
  <si>
    <t>9911 HK</t>
  </si>
  <si>
    <t>11/29/2019</t>
  </si>
  <si>
    <t>1553 HK</t>
  </si>
  <si>
    <t>2230 HK</t>
  </si>
  <si>
    <t>12/17/2019</t>
  </si>
  <si>
    <t>1542 HK</t>
  </si>
  <si>
    <t>3348 HK</t>
  </si>
  <si>
    <t>3601 HK</t>
  </si>
  <si>
    <t>12/21/2018</t>
  </si>
  <si>
    <t>1851 HK</t>
  </si>
  <si>
    <t>03/29/2019</t>
  </si>
  <si>
    <t>3321 HK</t>
  </si>
  <si>
    <t>04/12/2019</t>
  </si>
  <si>
    <t>1906 HK</t>
  </si>
  <si>
    <t>11/28/2019</t>
  </si>
  <si>
    <t>3680 HK</t>
  </si>
  <si>
    <t>1545 HK</t>
  </si>
  <si>
    <t>2108 HK</t>
  </si>
  <si>
    <t>01/31/2019</t>
  </si>
  <si>
    <t>1703 HK</t>
  </si>
  <si>
    <t>05/30/2019</t>
  </si>
  <si>
    <t>2189 HK</t>
  </si>
  <si>
    <t>04/25/2019</t>
  </si>
  <si>
    <t>1903 HK</t>
  </si>
  <si>
    <t>1346 HK</t>
  </si>
  <si>
    <t>1922 HK</t>
  </si>
  <si>
    <t>1283 HK</t>
  </si>
  <si>
    <t>1930 HK</t>
  </si>
  <si>
    <t>09/27/2019</t>
  </si>
  <si>
    <t>1582 HK</t>
  </si>
  <si>
    <t>09/29/2019</t>
  </si>
  <si>
    <t>1959 HK</t>
  </si>
  <si>
    <t>1901 HK</t>
  </si>
  <si>
    <t>1912 HK</t>
  </si>
  <si>
    <t>06/13/2019</t>
  </si>
  <si>
    <t>1849 HK</t>
  </si>
  <si>
    <t>1780 HK</t>
  </si>
  <si>
    <t>1701 HK</t>
  </si>
  <si>
    <t>08/06/2019</t>
  </si>
  <si>
    <t>1920 HK</t>
  </si>
  <si>
    <t>1843 HK</t>
  </si>
  <si>
    <t>10/15/2019</t>
  </si>
  <si>
    <t>1692 HK</t>
  </si>
  <si>
    <t>6093 HK</t>
  </si>
  <si>
    <t>08/29/2019</t>
  </si>
  <si>
    <t>3928 HK</t>
  </si>
  <si>
    <t>10/10/2019</t>
  </si>
  <si>
    <t>1871 HK</t>
  </si>
  <si>
    <t>1747 HK</t>
  </si>
  <si>
    <t>02/15/2019</t>
  </si>
  <si>
    <t>1025 HK</t>
  </si>
  <si>
    <t>1865 HK</t>
  </si>
  <si>
    <t>管道工程</t>
  </si>
  <si>
    <t>1870 HK</t>
  </si>
  <si>
    <t>益美國際控股</t>
  </si>
  <si>
    <t>1949 HK</t>
  </si>
  <si>
    <t>PLATT NERA</t>
  </si>
  <si>
    <t>无回拨</t>
  </si>
  <si>
    <t>1134 HK</t>
  </si>
  <si>
    <t>恒發光學</t>
  </si>
  <si>
    <t>06/20/2019</t>
  </si>
  <si>
    <t>924 HK</t>
  </si>
  <si>
    <t>坤集團</t>
  </si>
  <si>
    <t>09/16/2019</t>
  </si>
  <si>
    <t>1960 HK</t>
  </si>
  <si>
    <t>TBKS HLDGS</t>
  </si>
  <si>
    <t>09/28/2018</t>
  </si>
  <si>
    <t>2682 HK</t>
  </si>
  <si>
    <t>潤利海事</t>
  </si>
  <si>
    <t>无</t>
  </si>
  <si>
    <t>1842 HK</t>
  </si>
  <si>
    <t>植華集團</t>
  </si>
  <si>
    <t>11/19/2019</t>
  </si>
  <si>
    <t>1425 HK</t>
  </si>
  <si>
    <t>捷隆控股</t>
  </si>
  <si>
    <t>1943 HK</t>
  </si>
  <si>
    <t>銀濤控股</t>
  </si>
  <si>
    <t>1767 HK</t>
  </si>
  <si>
    <t>TS WONDERS</t>
  </si>
  <si>
    <t>2885 HK</t>
  </si>
  <si>
    <t>彼岸控股</t>
  </si>
  <si>
    <t>6162 HK</t>
  </si>
  <si>
    <t>天瑞汽車內飾</t>
  </si>
  <si>
    <t>2296 HK</t>
  </si>
  <si>
    <t>華記環球集團</t>
  </si>
  <si>
    <t>1640 HK</t>
  </si>
  <si>
    <t>瑞誠中國傳媒</t>
  </si>
  <si>
    <t>10/30/2019</t>
  </si>
  <si>
    <t>1401 HK</t>
  </si>
  <si>
    <t>SPROCOMM INTEL</t>
  </si>
  <si>
    <t>1955 HK</t>
  </si>
  <si>
    <t>莊臣控股</t>
  </si>
  <si>
    <t>1967 HK</t>
  </si>
  <si>
    <t>信懇智能</t>
  </si>
  <si>
    <t>1987 HK</t>
  </si>
  <si>
    <t>BENG SOON MACH</t>
  </si>
  <si>
    <t>01/30/2019</t>
  </si>
  <si>
    <t>1793 HK</t>
  </si>
  <si>
    <t>偉工控股</t>
  </si>
  <si>
    <t>2346 HK</t>
  </si>
  <si>
    <t>星宇控股</t>
  </si>
  <si>
    <t>1891 HK</t>
  </si>
  <si>
    <t>興合控股</t>
  </si>
  <si>
    <t>09/17/2019</t>
  </si>
  <si>
    <t>3938 HK</t>
  </si>
  <si>
    <t>ＬＦＧ投資控股</t>
  </si>
  <si>
    <t>12/05/2019</t>
  </si>
  <si>
    <t>6193 HK</t>
  </si>
  <si>
    <t>泰林科建</t>
  </si>
  <si>
    <t>02/13/2019</t>
  </si>
  <si>
    <t>1872 HK</t>
  </si>
  <si>
    <t>冠轈控股</t>
  </si>
  <si>
    <t>8096 HK</t>
  </si>
  <si>
    <t>賞之味</t>
  </si>
  <si>
    <t>8612 HK</t>
  </si>
  <si>
    <t>維亮控股</t>
  </si>
  <si>
    <t>1917 HK</t>
  </si>
  <si>
    <t>豆盟科技</t>
  </si>
  <si>
    <t>8607 HK</t>
  </si>
  <si>
    <t>納尼亞集團</t>
  </si>
  <si>
    <t>09/13/2019</t>
  </si>
  <si>
    <t>8668 HK</t>
  </si>
  <si>
    <t>瀛海集團</t>
  </si>
  <si>
    <t>8036 HK</t>
  </si>
  <si>
    <t>電子交易集團</t>
  </si>
  <si>
    <t>8441 HK</t>
  </si>
  <si>
    <t>國際永勝集團</t>
  </si>
  <si>
    <t>8208 HK</t>
  </si>
  <si>
    <t>WMCH GLOBAL</t>
  </si>
  <si>
    <t>11/25/2019</t>
  </si>
  <si>
    <t>8645 HK</t>
  </si>
  <si>
    <t>NOMAD TECH</t>
  </si>
  <si>
    <t>8216 HK</t>
  </si>
  <si>
    <t>豐城控股</t>
  </si>
  <si>
    <t>8631 HK</t>
  </si>
  <si>
    <t>申港控股</t>
  </si>
  <si>
    <t>8418 HK</t>
  </si>
  <si>
    <t>傲迪瑪汽車</t>
  </si>
  <si>
    <t>8537 HK</t>
  </si>
  <si>
    <t>DOMINATE GP</t>
  </si>
  <si>
    <t>8617 HK</t>
  </si>
  <si>
    <t>永聯豐控股</t>
  </si>
  <si>
    <t>8627 HK</t>
  </si>
  <si>
    <t>旅橙文化</t>
  </si>
  <si>
    <t>04/14/2019</t>
  </si>
  <si>
    <t>8635 HK</t>
  </si>
  <si>
    <t>連成科技集團</t>
  </si>
</sst>
</file>

<file path=xl/styles.xml><?xml version="1.0" encoding="utf-8"?>
<styleSheet xmlns="http://schemas.openxmlformats.org/spreadsheetml/2006/main">
  <numFmts count="5">
    <numFmt numFmtId="176" formatCode="_(* #,##0_);_(* \(#,##0\);_(* &quot;-&quot;??_);_(@_)"/>
    <numFmt numFmtId="177" formatCode="_(* #,##0.00_);_(* \(#,##0.00\);_(* &quot;-&quot;??_);_(@_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9">
    <font>
      <sz val="12"/>
      <color theme="1"/>
      <name val="等线"/>
      <charset val="134"/>
      <scheme val="minor"/>
    </font>
    <font>
      <sz val="11"/>
      <color theme="1"/>
      <name val="KaiTi"/>
      <charset val="134"/>
    </font>
    <font>
      <sz val="12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2"/>
      <color theme="1"/>
      <name val="KaiTi"/>
      <charset val="134"/>
    </font>
    <font>
      <sz val="11"/>
      <name val="KaiTi"/>
      <charset val="134"/>
    </font>
    <font>
      <sz val="11"/>
      <color rgb="FF000000"/>
      <name val="KaiTi"/>
      <charset val="134"/>
    </font>
    <font>
      <sz val="10"/>
      <name val="Arial"/>
      <charset val="134"/>
    </font>
    <font>
      <sz val="12"/>
      <name val="KaiTi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3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1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9" fillId="12" borderId="1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4" fillId="20" borderId="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0" fillId="0" borderId="0" xfId="8" applyNumberFormat="1" applyFont="1"/>
    <xf numFmtId="176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176" fontId="1" fillId="2" borderId="0" xfId="8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0" borderId="0" xfId="0" applyFont="1"/>
    <xf numFmtId="10" fontId="0" fillId="0" borderId="0" xfId="0" applyNumberFormat="1"/>
    <xf numFmtId="9" fontId="0" fillId="0" borderId="0" xfId="0" applyNumberFormat="1"/>
    <xf numFmtId="176" fontId="1" fillId="2" borderId="0" xfId="0" applyNumberFormat="1" applyFont="1" applyFill="1" applyAlignment="1">
      <alignment horizontal="center" vertical="center" wrapText="1"/>
    </xf>
    <xf numFmtId="10" fontId="0" fillId="0" borderId="0" xfId="11" applyNumberFormat="1" applyFont="1"/>
    <xf numFmtId="0" fontId="8" fillId="0" borderId="0" xfId="0" applyFont="1"/>
    <xf numFmtId="176" fontId="2" fillId="0" borderId="0" xfId="8" applyNumberFormat="1" applyFont="1"/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76" fontId="2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76" fontId="0" fillId="0" borderId="0" xfId="0" applyNumberFormat="1" applyAlignment="1">
      <alignment horizontal="right"/>
    </xf>
    <xf numFmtId="10" fontId="2" fillId="0" borderId="0" xfId="11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0" fillId="0" borderId="0" xfId="11" applyNumberFormat="1" applyFont="1" applyAlignment="1">
      <alignment horizontal="right"/>
    </xf>
    <xf numFmtId="9" fontId="0" fillId="0" borderId="0" xfId="0" applyNumberFormat="1" applyAlignment="1">
      <alignment horizontal="right"/>
    </xf>
    <xf numFmtId="10" fontId="3" fillId="0" borderId="0" xfId="11" applyNumberFormat="1" applyFont="1" applyAlignment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4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2"/>
  <sheetViews>
    <sheetView tabSelected="1" topLeftCell="D134" workbookViewId="0">
      <selection activeCell="J149" sqref="J149"/>
    </sheetView>
  </sheetViews>
  <sheetFormatPr defaultColWidth="11" defaultRowHeight="14.25"/>
  <cols>
    <col min="1" max="1" width="14.3333333333333" customWidth="1"/>
    <col min="3" max="3" width="13.75" style="5" customWidth="1"/>
    <col min="4" max="4" width="10.8333333333333" style="5"/>
    <col min="5" max="5" width="13.1666666666667" style="6" customWidth="1"/>
    <col min="6" max="6" width="12.8333333333333" customWidth="1"/>
    <col min="7" max="7" width="15.1666666666667" customWidth="1"/>
    <col min="8" max="8" width="14" customWidth="1"/>
    <col min="9" max="9" width="21.3333333333333" style="7" customWidth="1"/>
    <col min="10" max="10" width="15.8333333333333" customWidth="1"/>
    <col min="11" max="11" width="17.5" customWidth="1"/>
    <col min="12" max="12" width="18.1666666666667" customWidth="1"/>
    <col min="13" max="13" width="20.8333333333333" customWidth="1"/>
  </cols>
  <sheetData>
    <row r="1" s="1" customFormat="1" ht="48" customHeight="1" spans="1:15">
      <c r="A1" s="8" t="s">
        <v>0</v>
      </c>
      <c r="B1" s="8" t="s">
        <v>1</v>
      </c>
      <c r="C1" s="1" t="s">
        <v>2</v>
      </c>
      <c r="D1" s="1" t="s">
        <v>3</v>
      </c>
      <c r="E1" s="9" t="s">
        <v>4</v>
      </c>
      <c r="F1" s="10" t="s">
        <v>5</v>
      </c>
      <c r="G1" s="1" t="s">
        <v>6</v>
      </c>
      <c r="H1" s="1" t="s">
        <v>7</v>
      </c>
      <c r="I1" s="14" t="s">
        <v>8</v>
      </c>
      <c r="J1" s="10" t="s">
        <v>9</v>
      </c>
      <c r="K1" s="1" t="s">
        <v>10</v>
      </c>
      <c r="L1" s="10" t="s">
        <v>11</v>
      </c>
      <c r="M1" s="1" t="s">
        <v>12</v>
      </c>
      <c r="N1" s="1" t="s">
        <v>13</v>
      </c>
      <c r="O1" s="1" t="s">
        <v>14</v>
      </c>
    </row>
    <row r="2" spans="1:15">
      <c r="A2" s="11" t="s">
        <v>15</v>
      </c>
      <c r="B2" s="11" t="s">
        <v>16</v>
      </c>
      <c r="C2" s="5" t="s">
        <v>17</v>
      </c>
      <c r="D2" s="5">
        <v>176</v>
      </c>
      <c r="E2" s="6">
        <v>215598</v>
      </c>
      <c r="F2" s="12">
        <v>0.0731</v>
      </c>
      <c r="G2">
        <v>2453</v>
      </c>
      <c r="H2" s="6">
        <f>176*457100</f>
        <v>80449600</v>
      </c>
      <c r="I2" s="7">
        <f>176*457100*1</f>
        <v>80449600</v>
      </c>
      <c r="J2" s="6">
        <f>(50000000-37500000)*D2</f>
        <v>2200000000</v>
      </c>
      <c r="K2" s="15">
        <f>I2/J2</f>
        <v>0.036568</v>
      </c>
      <c r="L2" s="6">
        <f>50000000*D2</f>
        <v>8800000000</v>
      </c>
      <c r="M2" s="15">
        <f>H2/L2</f>
        <v>0.009142</v>
      </c>
      <c r="N2" s="13">
        <v>0.1</v>
      </c>
      <c r="O2">
        <v>42.44</v>
      </c>
    </row>
    <row r="3" spans="1:13">
      <c r="A3" s="11" t="s">
        <v>18</v>
      </c>
      <c r="B3" s="11" t="s">
        <v>19</v>
      </c>
      <c r="C3" s="5" t="s">
        <v>20</v>
      </c>
      <c r="K3" s="15"/>
      <c r="M3" s="15"/>
    </row>
    <row r="4" spans="1:13">
      <c r="A4" s="11" t="s">
        <v>21</v>
      </c>
      <c r="B4" s="11" t="s">
        <v>22</v>
      </c>
      <c r="C4" s="5" t="s">
        <v>23</v>
      </c>
      <c r="D4"/>
      <c r="F4" s="13"/>
      <c r="H4" s="6"/>
      <c r="I4" s="6"/>
      <c r="K4" s="15"/>
      <c r="M4" s="15"/>
    </row>
    <row r="5" spans="1:13">
      <c r="A5" s="11" t="s">
        <v>24</v>
      </c>
      <c r="B5" s="11" t="s">
        <v>25</v>
      </c>
      <c r="C5" s="5" t="s">
        <v>26</v>
      </c>
      <c r="D5">
        <v>3.63</v>
      </c>
      <c r="E5" s="6">
        <v>10499</v>
      </c>
      <c r="F5" s="13">
        <v>0.18</v>
      </c>
      <c r="G5">
        <v>81</v>
      </c>
      <c r="H5" s="6">
        <f>D5*7200000</f>
        <v>26136000</v>
      </c>
      <c r="I5" s="6">
        <f>E5*7200000</f>
        <v>75592800000</v>
      </c>
      <c r="K5" s="15"/>
      <c r="M5" s="15"/>
    </row>
    <row r="6" spans="1:13">
      <c r="A6" s="11" t="s">
        <v>27</v>
      </c>
      <c r="B6" s="11" t="s">
        <v>28</v>
      </c>
      <c r="K6" s="15"/>
      <c r="M6" s="15"/>
    </row>
    <row r="7" spans="1:13">
      <c r="A7" s="11" t="s">
        <v>29</v>
      </c>
      <c r="B7" s="11" t="s">
        <v>30</v>
      </c>
      <c r="K7" s="15"/>
      <c r="M7" s="15"/>
    </row>
    <row r="8" s="2" customFormat="1" spans="1:15">
      <c r="A8" s="11" t="s">
        <v>31</v>
      </c>
      <c r="B8" s="11" t="s">
        <v>32</v>
      </c>
      <c r="C8" s="5" t="s">
        <v>33</v>
      </c>
      <c r="D8" s="5">
        <v>35.1</v>
      </c>
      <c r="E8" s="6">
        <v>104815</v>
      </c>
      <c r="F8" s="12">
        <v>0.006</v>
      </c>
      <c r="G8">
        <v>3622</v>
      </c>
      <c r="H8" s="6">
        <f>35.1*52000</f>
        <v>1825200</v>
      </c>
      <c r="I8" s="7">
        <f>52000*64*35.1</f>
        <v>116812800</v>
      </c>
      <c r="J8" s="6">
        <f>(65333600-48000000)*D8</f>
        <v>608409360</v>
      </c>
      <c r="K8" s="15">
        <f>I8/J8</f>
        <v>0.191997046199289</v>
      </c>
      <c r="L8" s="6">
        <f>65333600*D8</f>
        <v>2293209360</v>
      </c>
      <c r="M8" s="15">
        <f>H8/L8</f>
        <v>0.000795915118713801</v>
      </c>
      <c r="N8" s="13">
        <v>0.49</v>
      </c>
      <c r="O8">
        <v>222.68</v>
      </c>
    </row>
    <row r="9" spans="1:13">
      <c r="A9" s="11" t="s">
        <v>34</v>
      </c>
      <c r="B9" s="11" t="s">
        <v>35</v>
      </c>
      <c r="J9" s="7"/>
      <c r="K9" s="15"/>
      <c r="M9" s="15"/>
    </row>
    <row r="10" spans="1:13">
      <c r="A10" s="11" t="s">
        <v>36</v>
      </c>
      <c r="B10" s="11" t="s">
        <v>37</v>
      </c>
      <c r="K10" s="15"/>
      <c r="M10" s="15"/>
    </row>
    <row r="11" spans="1:13">
      <c r="A11" s="11" t="s">
        <v>27</v>
      </c>
      <c r="B11" s="11" t="s">
        <v>38</v>
      </c>
      <c r="K11" s="15"/>
      <c r="M11" s="15"/>
    </row>
    <row r="12" spans="1:13">
      <c r="A12" s="11" t="s">
        <v>39</v>
      </c>
      <c r="B12" s="11" t="s">
        <v>40</v>
      </c>
      <c r="K12" s="15"/>
      <c r="M12" s="15"/>
    </row>
    <row r="13" spans="1:13">
      <c r="A13" s="11" t="s">
        <v>41</v>
      </c>
      <c r="B13" s="11" t="s">
        <v>42</v>
      </c>
      <c r="K13" s="15"/>
      <c r="M13" s="15"/>
    </row>
    <row r="14" spans="1:13">
      <c r="A14" s="11" t="s">
        <v>43</v>
      </c>
      <c r="B14" s="11" t="s">
        <v>44</v>
      </c>
      <c r="K14" s="15"/>
      <c r="M14" s="15"/>
    </row>
    <row r="15" spans="1:13">
      <c r="A15" s="11" t="s">
        <v>45</v>
      </c>
      <c r="B15" s="11" t="s">
        <v>46</v>
      </c>
      <c r="K15" s="15"/>
      <c r="M15" s="15"/>
    </row>
    <row r="16" spans="1:13">
      <c r="A16" s="11" t="s">
        <v>47</v>
      </c>
      <c r="B16" s="11" t="s">
        <v>48</v>
      </c>
      <c r="K16" s="15"/>
      <c r="M16" s="15"/>
    </row>
    <row r="17" spans="1:13">
      <c r="A17" s="11" t="s">
        <v>43</v>
      </c>
      <c r="B17" s="11" t="s">
        <v>49</v>
      </c>
      <c r="K17" s="15"/>
      <c r="M17" s="15"/>
    </row>
    <row r="18" spans="1:13">
      <c r="A18" s="11" t="s">
        <v>50</v>
      </c>
      <c r="B18" s="11" t="s">
        <v>51</v>
      </c>
      <c r="K18" s="15"/>
      <c r="M18" s="15"/>
    </row>
    <row r="19" spans="1:13">
      <c r="A19" s="11" t="s">
        <v>52</v>
      </c>
      <c r="B19" s="11" t="s">
        <v>53</v>
      </c>
      <c r="K19" s="15"/>
      <c r="M19" s="15"/>
    </row>
    <row r="20" spans="1:13">
      <c r="A20" s="11" t="s">
        <v>54</v>
      </c>
      <c r="B20" s="11" t="s">
        <v>55</v>
      </c>
      <c r="K20" s="15"/>
      <c r="M20" s="15"/>
    </row>
    <row r="21" spans="1:13">
      <c r="A21" s="11" t="s">
        <v>56</v>
      </c>
      <c r="B21" s="11" t="s">
        <v>57</v>
      </c>
      <c r="K21" s="15"/>
      <c r="M21" s="15"/>
    </row>
    <row r="22" spans="1:13">
      <c r="A22" s="11" t="s">
        <v>58</v>
      </c>
      <c r="B22" s="11" t="s">
        <v>59</v>
      </c>
      <c r="K22" s="15"/>
      <c r="M22" s="15"/>
    </row>
    <row r="23" spans="1:13">
      <c r="A23" s="11" t="s">
        <v>60</v>
      </c>
      <c r="B23" s="11" t="s">
        <v>61</v>
      </c>
      <c r="K23" s="15"/>
      <c r="M23" s="15"/>
    </row>
    <row r="24" spans="1:13">
      <c r="A24" s="11" t="s">
        <v>62</v>
      </c>
      <c r="B24" s="11" t="s">
        <v>63</v>
      </c>
      <c r="K24" s="15"/>
      <c r="M24" s="15"/>
    </row>
    <row r="25" spans="1:13">
      <c r="A25" s="11" t="s">
        <v>64</v>
      </c>
      <c r="B25" s="11" t="s">
        <v>65</v>
      </c>
      <c r="K25" s="15"/>
      <c r="M25" s="15"/>
    </row>
    <row r="26" spans="1:13">
      <c r="A26" s="11" t="s">
        <v>66</v>
      </c>
      <c r="B26" s="11" t="s">
        <v>67</v>
      </c>
      <c r="K26" s="15"/>
      <c r="M26" s="15"/>
    </row>
    <row r="27" spans="1:13">
      <c r="A27" s="11" t="s">
        <v>68</v>
      </c>
      <c r="B27" s="11" t="s">
        <v>69</v>
      </c>
      <c r="K27" s="15"/>
      <c r="M27" s="15"/>
    </row>
    <row r="28" spans="1:13">
      <c r="A28" s="11" t="s">
        <v>70</v>
      </c>
      <c r="B28" s="11" t="s">
        <v>71</v>
      </c>
      <c r="K28" s="15"/>
      <c r="M28" s="15"/>
    </row>
    <row r="29" spans="1:13">
      <c r="A29" s="11" t="s">
        <v>72</v>
      </c>
      <c r="B29" s="11" t="s">
        <v>73</v>
      </c>
      <c r="K29" s="15"/>
      <c r="M29" s="15"/>
    </row>
    <row r="30" spans="1:13">
      <c r="A30" s="11" t="s">
        <v>24</v>
      </c>
      <c r="B30" s="11" t="s">
        <v>74</v>
      </c>
      <c r="K30" s="15"/>
      <c r="M30" s="15"/>
    </row>
    <row r="31" spans="1:13">
      <c r="A31" s="11" t="s">
        <v>75</v>
      </c>
      <c r="B31" s="11" t="s">
        <v>76</v>
      </c>
      <c r="K31" s="15"/>
      <c r="M31" s="15"/>
    </row>
    <row r="32" spans="1:13">
      <c r="A32" s="11" t="s">
        <v>77</v>
      </c>
      <c r="B32" s="11" t="s">
        <v>78</v>
      </c>
      <c r="K32" s="15"/>
      <c r="M32" s="15"/>
    </row>
    <row r="33" spans="1:13">
      <c r="A33" s="11" t="s">
        <v>79</v>
      </c>
      <c r="B33" s="11" t="s">
        <v>80</v>
      </c>
      <c r="K33" s="15"/>
      <c r="M33" s="15"/>
    </row>
    <row r="34" spans="1:13">
      <c r="A34" s="11" t="s">
        <v>81</v>
      </c>
      <c r="B34" s="11" t="s">
        <v>82</v>
      </c>
      <c r="K34" s="15"/>
      <c r="M34" s="15"/>
    </row>
    <row r="35" spans="1:13">
      <c r="A35" s="11" t="s">
        <v>72</v>
      </c>
      <c r="B35" s="11" t="s">
        <v>83</v>
      </c>
      <c r="K35" s="15"/>
      <c r="M35" s="15"/>
    </row>
    <row r="36" spans="1:13">
      <c r="A36" s="11" t="s">
        <v>84</v>
      </c>
      <c r="B36" s="11" t="s">
        <v>85</v>
      </c>
      <c r="K36" s="15"/>
      <c r="M36" s="15"/>
    </row>
    <row r="37" spans="1:13">
      <c r="A37" s="11" t="s">
        <v>86</v>
      </c>
      <c r="B37" s="11" t="s">
        <v>87</v>
      </c>
      <c r="K37" s="15"/>
      <c r="M37" s="15"/>
    </row>
    <row r="38" spans="1:13">
      <c r="A38" s="11" t="s">
        <v>88</v>
      </c>
      <c r="B38" s="11" t="s">
        <v>89</v>
      </c>
      <c r="K38" s="15"/>
      <c r="M38" s="15"/>
    </row>
    <row r="39" spans="1:13">
      <c r="A39" s="11" t="s">
        <v>90</v>
      </c>
      <c r="B39" s="11" t="s">
        <v>91</v>
      </c>
      <c r="K39" s="15"/>
      <c r="M39" s="15"/>
    </row>
    <row r="40" spans="1:13">
      <c r="A40" s="11" t="s">
        <v>92</v>
      </c>
      <c r="B40" s="11" t="s">
        <v>93</v>
      </c>
      <c r="K40" s="15"/>
      <c r="M40" s="15"/>
    </row>
    <row r="41" spans="1:13">
      <c r="A41" s="11" t="s">
        <v>94</v>
      </c>
      <c r="B41" s="11" t="s">
        <v>95</v>
      </c>
      <c r="K41" s="15"/>
      <c r="M41" s="15"/>
    </row>
    <row r="42" spans="1:13">
      <c r="A42" s="11" t="s">
        <v>96</v>
      </c>
      <c r="B42" s="11" t="s">
        <v>97</v>
      </c>
      <c r="K42" s="15"/>
      <c r="M42" s="15"/>
    </row>
    <row r="43" spans="1:13">
      <c r="A43" s="11" t="s">
        <v>98</v>
      </c>
      <c r="B43" s="11" t="s">
        <v>99</v>
      </c>
      <c r="K43" s="15"/>
      <c r="M43" s="15"/>
    </row>
    <row r="44" spans="1:13">
      <c r="A44" s="11" t="s">
        <v>100</v>
      </c>
      <c r="B44" s="11" t="s">
        <v>101</v>
      </c>
      <c r="K44" s="15"/>
      <c r="M44" s="15"/>
    </row>
    <row r="45" spans="1:13">
      <c r="A45" s="11" t="s">
        <v>102</v>
      </c>
      <c r="B45" s="11" t="s">
        <v>103</v>
      </c>
      <c r="K45" s="15"/>
      <c r="M45" s="15"/>
    </row>
    <row r="46" spans="1:13">
      <c r="A46" s="11" t="s">
        <v>104</v>
      </c>
      <c r="B46" s="11" t="s">
        <v>105</v>
      </c>
      <c r="K46" s="15"/>
      <c r="M46" s="15"/>
    </row>
    <row r="47" spans="1:13">
      <c r="A47" s="11" t="s">
        <v>15</v>
      </c>
      <c r="B47" s="11" t="s">
        <v>106</v>
      </c>
      <c r="K47" s="15"/>
      <c r="M47" s="15"/>
    </row>
    <row r="48" spans="1:13">
      <c r="A48" s="11" t="s">
        <v>31</v>
      </c>
      <c r="B48" s="11" t="s">
        <v>107</v>
      </c>
      <c r="K48" s="15"/>
      <c r="M48" s="15"/>
    </row>
    <row r="49" spans="1:13">
      <c r="A49" s="11" t="s">
        <v>108</v>
      </c>
      <c r="B49" s="11" t="s">
        <v>109</v>
      </c>
      <c r="K49" s="15"/>
      <c r="M49" s="15"/>
    </row>
    <row r="50" spans="1:13">
      <c r="A50" s="11" t="s">
        <v>110</v>
      </c>
      <c r="B50" s="11" t="s">
        <v>111</v>
      </c>
      <c r="K50" s="15"/>
      <c r="M50" s="15"/>
    </row>
    <row r="51" spans="1:13">
      <c r="A51" s="11" t="s">
        <v>112</v>
      </c>
      <c r="B51" s="11" t="s">
        <v>113</v>
      </c>
      <c r="K51" s="15"/>
      <c r="M51" s="15"/>
    </row>
    <row r="52" spans="1:13">
      <c r="A52" s="11" t="s">
        <v>114</v>
      </c>
      <c r="B52" s="11" t="s">
        <v>115</v>
      </c>
      <c r="K52" s="15"/>
      <c r="M52" s="15"/>
    </row>
    <row r="53" spans="1:13">
      <c r="A53" s="11" t="s">
        <v>116</v>
      </c>
      <c r="B53" s="11" t="s">
        <v>117</v>
      </c>
      <c r="K53" s="15"/>
      <c r="M53" s="15"/>
    </row>
    <row r="54" spans="1:13">
      <c r="A54" s="11" t="s">
        <v>50</v>
      </c>
      <c r="B54" s="11" t="s">
        <v>118</v>
      </c>
      <c r="K54" s="15"/>
      <c r="M54" s="15"/>
    </row>
    <row r="55" spans="1:13">
      <c r="A55" s="11" t="s">
        <v>52</v>
      </c>
      <c r="B55" s="11" t="s">
        <v>119</v>
      </c>
      <c r="K55" s="15"/>
      <c r="M55" s="15"/>
    </row>
    <row r="56" spans="1:13">
      <c r="A56" s="11" t="s">
        <v>45</v>
      </c>
      <c r="B56" s="11" t="s">
        <v>120</v>
      </c>
      <c r="K56" s="15"/>
      <c r="M56" s="15"/>
    </row>
    <row r="57" spans="1:13">
      <c r="A57" s="11" t="s">
        <v>121</v>
      </c>
      <c r="B57" s="11" t="s">
        <v>122</v>
      </c>
      <c r="K57" s="15"/>
      <c r="M57" s="15"/>
    </row>
    <row r="58" spans="1:13">
      <c r="A58" s="11" t="s">
        <v>123</v>
      </c>
      <c r="B58" s="11" t="s">
        <v>124</v>
      </c>
      <c r="K58" s="15"/>
      <c r="M58" s="15"/>
    </row>
    <row r="59" spans="1:13">
      <c r="A59" s="11" t="s">
        <v>125</v>
      </c>
      <c r="B59" s="11" t="s">
        <v>126</v>
      </c>
      <c r="K59" s="15"/>
      <c r="M59" s="15"/>
    </row>
    <row r="60" spans="1:13">
      <c r="A60" s="11" t="s">
        <v>127</v>
      </c>
      <c r="B60" s="11" t="s">
        <v>128</v>
      </c>
      <c r="K60" s="15"/>
      <c r="M60" s="15"/>
    </row>
    <row r="61" spans="1:13">
      <c r="A61" s="11" t="s">
        <v>129</v>
      </c>
      <c r="B61" s="11" t="s">
        <v>130</v>
      </c>
      <c r="K61" s="15"/>
      <c r="M61" s="15"/>
    </row>
    <row r="62" spans="1:13">
      <c r="A62" s="11" t="s">
        <v>112</v>
      </c>
      <c r="B62" s="11" t="s">
        <v>131</v>
      </c>
      <c r="K62" s="15"/>
      <c r="M62" s="15"/>
    </row>
    <row r="63" spans="1:13">
      <c r="A63" s="11" t="s">
        <v>45</v>
      </c>
      <c r="B63" s="11" t="s">
        <v>132</v>
      </c>
      <c r="K63" s="15"/>
      <c r="M63" s="15"/>
    </row>
    <row r="64" spans="1:13">
      <c r="A64" s="11" t="s">
        <v>60</v>
      </c>
      <c r="B64" s="11" t="s">
        <v>133</v>
      </c>
      <c r="K64" s="15"/>
      <c r="M64" s="15"/>
    </row>
    <row r="65" spans="1:13">
      <c r="A65" s="11" t="s">
        <v>43</v>
      </c>
      <c r="B65" s="11" t="s">
        <v>134</v>
      </c>
      <c r="K65" s="15"/>
      <c r="M65" s="15"/>
    </row>
    <row r="66" spans="1:13">
      <c r="A66" s="11" t="s">
        <v>135</v>
      </c>
      <c r="B66" s="11" t="s">
        <v>136</v>
      </c>
      <c r="K66" s="15"/>
      <c r="M66" s="15"/>
    </row>
    <row r="67" spans="1:13">
      <c r="A67" s="11" t="s">
        <v>123</v>
      </c>
      <c r="B67" s="11" t="s">
        <v>137</v>
      </c>
      <c r="K67" s="15"/>
      <c r="M67" s="15"/>
    </row>
    <row r="68" spans="1:13">
      <c r="A68" s="11" t="s">
        <v>60</v>
      </c>
      <c r="B68" s="11" t="s">
        <v>138</v>
      </c>
      <c r="K68" s="15"/>
      <c r="M68" s="15"/>
    </row>
    <row r="69" spans="1:13">
      <c r="A69" s="11" t="s">
        <v>139</v>
      </c>
      <c r="B69" s="11" t="s">
        <v>140</v>
      </c>
      <c r="K69" s="15"/>
      <c r="M69" s="15"/>
    </row>
    <row r="70" spans="1:13">
      <c r="A70" s="11" t="s">
        <v>141</v>
      </c>
      <c r="B70" s="11" t="s">
        <v>142</v>
      </c>
      <c r="K70" s="15"/>
      <c r="M70" s="15"/>
    </row>
    <row r="71" spans="1:13">
      <c r="A71" s="11" t="s">
        <v>31</v>
      </c>
      <c r="B71" s="11" t="s">
        <v>143</v>
      </c>
      <c r="K71" s="15"/>
      <c r="M71" s="15"/>
    </row>
    <row r="72" spans="1:13">
      <c r="A72" s="11" t="s">
        <v>90</v>
      </c>
      <c r="B72" s="11" t="s">
        <v>144</v>
      </c>
      <c r="K72" s="15"/>
      <c r="M72" s="15"/>
    </row>
    <row r="73" spans="1:13">
      <c r="A73" s="11" t="s">
        <v>145</v>
      </c>
      <c r="B73" s="11" t="s">
        <v>146</v>
      </c>
      <c r="K73" s="15"/>
      <c r="M73" s="15"/>
    </row>
    <row r="74" spans="1:13">
      <c r="A74" s="11" t="s">
        <v>98</v>
      </c>
      <c r="B74" s="11" t="s">
        <v>147</v>
      </c>
      <c r="K74" s="15"/>
      <c r="M74" s="15"/>
    </row>
    <row r="75" spans="1:13">
      <c r="A75" s="11" t="s">
        <v>148</v>
      </c>
      <c r="B75" s="11" t="s">
        <v>149</v>
      </c>
      <c r="K75" s="15"/>
      <c r="M75" s="15"/>
    </row>
    <row r="76" spans="1:13">
      <c r="A76" s="11" t="s">
        <v>102</v>
      </c>
      <c r="B76" s="11" t="s">
        <v>150</v>
      </c>
      <c r="K76" s="15"/>
      <c r="M76" s="15"/>
    </row>
    <row r="77" spans="1:13">
      <c r="A77" s="11" t="s">
        <v>123</v>
      </c>
      <c r="B77" s="11" t="s">
        <v>151</v>
      </c>
      <c r="K77" s="15"/>
      <c r="M77" s="15"/>
    </row>
    <row r="78" spans="1:13">
      <c r="A78" s="11" t="s">
        <v>152</v>
      </c>
      <c r="B78" s="11" t="s">
        <v>153</v>
      </c>
      <c r="K78" s="15"/>
      <c r="M78" s="15"/>
    </row>
    <row r="79" spans="1:13">
      <c r="A79" s="11" t="s">
        <v>102</v>
      </c>
      <c r="B79" s="11" t="s">
        <v>154</v>
      </c>
      <c r="K79" s="15"/>
      <c r="M79" s="15"/>
    </row>
    <row r="80" spans="1:13">
      <c r="A80" s="11" t="s">
        <v>155</v>
      </c>
      <c r="B80" s="11" t="s">
        <v>156</v>
      </c>
      <c r="K80" s="15"/>
      <c r="M80" s="15"/>
    </row>
    <row r="81" spans="1:13">
      <c r="A81" s="11" t="s">
        <v>157</v>
      </c>
      <c r="B81" s="11" t="s">
        <v>158</v>
      </c>
      <c r="K81" s="15"/>
      <c r="M81" s="15"/>
    </row>
    <row r="82" spans="1:13">
      <c r="A82" s="11" t="s">
        <v>127</v>
      </c>
      <c r="B82" s="11" t="s">
        <v>159</v>
      </c>
      <c r="K82" s="15"/>
      <c r="M82" s="15"/>
    </row>
    <row r="83" spans="1:13">
      <c r="A83" s="11" t="s">
        <v>160</v>
      </c>
      <c r="B83" s="11" t="s">
        <v>161</v>
      </c>
      <c r="K83" s="15"/>
      <c r="M83" s="15"/>
    </row>
    <row r="84" spans="1:13">
      <c r="A84" s="11" t="s">
        <v>104</v>
      </c>
      <c r="B84" s="11" t="s">
        <v>162</v>
      </c>
      <c r="K84" s="15"/>
      <c r="M84" s="15"/>
    </row>
    <row r="85" spans="1:13">
      <c r="A85" s="11" t="s">
        <v>163</v>
      </c>
      <c r="B85" s="11" t="s">
        <v>164</v>
      </c>
      <c r="K85" s="15"/>
      <c r="M85" s="15"/>
    </row>
    <row r="86" spans="1:13">
      <c r="A86" s="11" t="s">
        <v>165</v>
      </c>
      <c r="B86" s="11" t="s">
        <v>166</v>
      </c>
      <c r="K86" s="15"/>
      <c r="M86" s="15"/>
    </row>
    <row r="87" spans="1:13">
      <c r="A87" s="11" t="s">
        <v>84</v>
      </c>
      <c r="B87" s="11" t="s">
        <v>167</v>
      </c>
      <c r="K87" s="15"/>
      <c r="M87" s="15"/>
    </row>
    <row r="88" spans="1:13">
      <c r="A88" s="11" t="s">
        <v>168</v>
      </c>
      <c r="B88" s="11" t="s">
        <v>169</v>
      </c>
      <c r="K88" s="15"/>
      <c r="M88" s="15"/>
    </row>
    <row r="89" spans="1:13">
      <c r="A89" s="11" t="s">
        <v>155</v>
      </c>
      <c r="B89" s="11" t="s">
        <v>170</v>
      </c>
      <c r="K89" s="15"/>
      <c r="M89" s="15"/>
    </row>
    <row r="90" spans="1:13">
      <c r="A90" s="11" t="s">
        <v>171</v>
      </c>
      <c r="B90" s="11" t="s">
        <v>172</v>
      </c>
      <c r="K90" s="15"/>
      <c r="M90" s="15"/>
    </row>
    <row r="91" spans="1:13">
      <c r="A91" s="11" t="s">
        <v>88</v>
      </c>
      <c r="B91" s="11" t="s">
        <v>173</v>
      </c>
      <c r="K91" s="15"/>
      <c r="M91" s="15"/>
    </row>
    <row r="92" spans="1:13">
      <c r="A92" s="11" t="s">
        <v>160</v>
      </c>
      <c r="B92" s="11" t="s">
        <v>174</v>
      </c>
      <c r="K92" s="15"/>
      <c r="M92" s="15"/>
    </row>
    <row r="93" spans="1:13">
      <c r="A93" s="11" t="s">
        <v>175</v>
      </c>
      <c r="B93" s="11" t="s">
        <v>176</v>
      </c>
      <c r="K93" s="15"/>
      <c r="M93" s="15"/>
    </row>
    <row r="94" spans="1:13">
      <c r="A94" s="11" t="s">
        <v>177</v>
      </c>
      <c r="B94" s="11" t="s">
        <v>178</v>
      </c>
      <c r="K94" s="15"/>
      <c r="M94" s="15"/>
    </row>
    <row r="95" spans="1:13">
      <c r="A95" s="11" t="s">
        <v>179</v>
      </c>
      <c r="B95" s="11" t="s">
        <v>180</v>
      </c>
      <c r="K95" s="15"/>
      <c r="M95" s="15"/>
    </row>
    <row r="96" spans="1:13">
      <c r="A96" s="11" t="s">
        <v>181</v>
      </c>
      <c r="B96" s="11" t="s">
        <v>182</v>
      </c>
      <c r="K96" s="15"/>
      <c r="M96" s="15"/>
    </row>
    <row r="97" spans="1:13">
      <c r="A97" s="11" t="s">
        <v>81</v>
      </c>
      <c r="B97" s="11" t="s">
        <v>183</v>
      </c>
      <c r="K97" s="15"/>
      <c r="M97" s="15"/>
    </row>
    <row r="98" spans="1:13">
      <c r="A98" s="11" t="s">
        <v>110</v>
      </c>
      <c r="B98" s="11" t="s">
        <v>184</v>
      </c>
      <c r="K98" s="15"/>
      <c r="M98" s="15"/>
    </row>
    <row r="99" spans="1:13">
      <c r="A99" s="11" t="s">
        <v>185</v>
      </c>
      <c r="B99" s="11" t="s">
        <v>186</v>
      </c>
      <c r="K99" s="15"/>
      <c r="M99" s="15"/>
    </row>
    <row r="100" spans="1:13">
      <c r="A100" s="11" t="s">
        <v>187</v>
      </c>
      <c r="B100" s="11" t="s">
        <v>188</v>
      </c>
      <c r="K100" s="15"/>
      <c r="M100" s="15"/>
    </row>
    <row r="101" spans="1:13">
      <c r="A101" s="11" t="s">
        <v>189</v>
      </c>
      <c r="B101" s="11" t="s">
        <v>190</v>
      </c>
      <c r="K101" s="15"/>
      <c r="M101" s="15"/>
    </row>
    <row r="102" spans="1:13">
      <c r="A102" s="11" t="s">
        <v>88</v>
      </c>
      <c r="B102" s="11" t="s">
        <v>191</v>
      </c>
      <c r="K102" s="15"/>
      <c r="M102" s="15"/>
    </row>
    <row r="103" spans="1:13">
      <c r="A103" s="11" t="s">
        <v>152</v>
      </c>
      <c r="B103" s="11" t="s">
        <v>192</v>
      </c>
      <c r="K103" s="15"/>
      <c r="M103" s="15"/>
    </row>
    <row r="104" spans="1:13">
      <c r="A104" s="11" t="s">
        <v>127</v>
      </c>
      <c r="B104" s="11" t="s">
        <v>193</v>
      </c>
      <c r="K104" s="15"/>
      <c r="M104" s="15"/>
    </row>
    <row r="105" spans="1:13">
      <c r="A105" s="11" t="s">
        <v>141</v>
      </c>
      <c r="B105" s="11" t="s">
        <v>194</v>
      </c>
      <c r="K105" s="15"/>
      <c r="M105" s="15"/>
    </row>
    <row r="106" spans="1:13">
      <c r="A106" s="11" t="s">
        <v>195</v>
      </c>
      <c r="B106" s="11" t="s">
        <v>196</v>
      </c>
      <c r="K106" s="15"/>
      <c r="M106" s="15"/>
    </row>
    <row r="107" spans="1:13">
      <c r="A107" s="11" t="s">
        <v>197</v>
      </c>
      <c r="B107" s="11" t="s">
        <v>198</v>
      </c>
      <c r="K107" s="15"/>
      <c r="M107" s="15"/>
    </row>
    <row r="108" spans="1:13">
      <c r="A108" s="11" t="s">
        <v>98</v>
      </c>
      <c r="B108" s="11" t="s">
        <v>199</v>
      </c>
      <c r="K108" s="15"/>
      <c r="M108" s="15"/>
    </row>
    <row r="109" spans="1:13">
      <c r="A109" s="11" t="s">
        <v>102</v>
      </c>
      <c r="B109" s="11" t="s">
        <v>200</v>
      </c>
      <c r="K109" s="15"/>
      <c r="M109" s="15"/>
    </row>
    <row r="110" spans="1:13">
      <c r="A110" s="11" t="s">
        <v>201</v>
      </c>
      <c r="B110" s="11" t="s">
        <v>202</v>
      </c>
      <c r="K110" s="15"/>
      <c r="M110" s="15"/>
    </row>
    <row r="111" spans="1:13">
      <c r="A111" s="11" t="s">
        <v>179</v>
      </c>
      <c r="B111" s="11" t="s">
        <v>203</v>
      </c>
      <c r="K111" s="15"/>
      <c r="M111" s="15"/>
    </row>
    <row r="112" spans="1:13">
      <c r="A112" s="11" t="s">
        <v>98</v>
      </c>
      <c r="B112" s="11" t="s">
        <v>204</v>
      </c>
      <c r="K112" s="15"/>
      <c r="M112" s="15"/>
    </row>
    <row r="113" spans="1:13">
      <c r="A113" s="11" t="s">
        <v>205</v>
      </c>
      <c r="B113" s="11" t="s">
        <v>206</v>
      </c>
      <c r="K113" s="15"/>
      <c r="M113" s="15"/>
    </row>
    <row r="114" spans="1:13">
      <c r="A114" s="11" t="s">
        <v>165</v>
      </c>
      <c r="B114" s="11" t="s">
        <v>207</v>
      </c>
      <c r="K114" s="15"/>
      <c r="M114" s="15"/>
    </row>
    <row r="115" spans="1:13">
      <c r="A115" s="11" t="s">
        <v>208</v>
      </c>
      <c r="B115" s="11" t="s">
        <v>209</v>
      </c>
      <c r="K115" s="15"/>
      <c r="M115" s="15"/>
    </row>
    <row r="116" spans="1:13">
      <c r="A116" s="11" t="s">
        <v>43</v>
      </c>
      <c r="B116" s="11" t="s">
        <v>210</v>
      </c>
      <c r="K116" s="15"/>
      <c r="M116" s="15"/>
    </row>
    <row r="117" spans="1:13">
      <c r="A117" s="11" t="s">
        <v>211</v>
      </c>
      <c r="B117" s="11" t="s">
        <v>212</v>
      </c>
      <c r="K117" s="15"/>
      <c r="M117" s="15"/>
    </row>
    <row r="118" spans="1:13">
      <c r="A118" s="11" t="s">
        <v>213</v>
      </c>
      <c r="B118" s="11" t="s">
        <v>214</v>
      </c>
      <c r="K118" s="15"/>
      <c r="M118" s="15"/>
    </row>
    <row r="119" spans="1:13">
      <c r="A119" s="11" t="s">
        <v>88</v>
      </c>
      <c r="B119" s="11" t="s">
        <v>215</v>
      </c>
      <c r="K119" s="15"/>
      <c r="M119" s="15"/>
    </row>
    <row r="120" spans="1:13">
      <c r="A120" s="11" t="s">
        <v>216</v>
      </c>
      <c r="B120" s="11" t="s">
        <v>217</v>
      </c>
      <c r="K120" s="15"/>
      <c r="M120" s="15"/>
    </row>
    <row r="121" s="3" customFormat="1" spans="1:15">
      <c r="A121" s="11" t="s">
        <v>70</v>
      </c>
      <c r="B121" s="11" t="s">
        <v>218</v>
      </c>
      <c r="C121" s="16" t="s">
        <v>219</v>
      </c>
      <c r="D121" s="16">
        <v>0.65</v>
      </c>
      <c r="E121" s="17">
        <f>29179+48</f>
        <v>29227</v>
      </c>
      <c r="F121" s="18">
        <v>0.0745</v>
      </c>
      <c r="G121" s="19">
        <v>48</v>
      </c>
      <c r="H121" s="20">
        <f>D121*745000</f>
        <v>484250</v>
      </c>
      <c r="I121" s="20">
        <f>H121*17</f>
        <v>8232250</v>
      </c>
      <c r="J121" s="24">
        <f>(60000000-40000000)*D121</f>
        <v>13000000</v>
      </c>
      <c r="K121" s="25">
        <f>I121/J121</f>
        <v>0.63325</v>
      </c>
      <c r="L121" s="24">
        <f>60000000*D121</f>
        <v>39000000</v>
      </c>
      <c r="M121" s="25">
        <f>H121/L121</f>
        <v>0.0124166666666667</v>
      </c>
      <c r="N121" s="26">
        <v>0.3</v>
      </c>
      <c r="O121" s="3">
        <v>48.73</v>
      </c>
    </row>
    <row r="122" spans="1:15">
      <c r="A122" s="11" t="s">
        <v>152</v>
      </c>
      <c r="B122" s="11" t="s">
        <v>220</v>
      </c>
      <c r="C122" s="5" t="s">
        <v>221</v>
      </c>
      <c r="D122" s="5">
        <v>0.97</v>
      </c>
      <c r="E122" s="6">
        <f>14902+23</f>
        <v>14925</v>
      </c>
      <c r="F122" s="21">
        <v>0.1358</v>
      </c>
      <c r="G122" s="22">
        <v>23</v>
      </c>
      <c r="H122" s="20">
        <f>8882500*D122</f>
        <v>8616025</v>
      </c>
      <c r="I122" s="24">
        <v>8616025</v>
      </c>
      <c r="J122" s="24">
        <f>(26000000-13000000)*D122</f>
        <v>12610000</v>
      </c>
      <c r="K122" s="27">
        <f>I122/J122</f>
        <v>0.683269230769231</v>
      </c>
      <c r="L122" s="24">
        <f>26000000*D122</f>
        <v>25220000</v>
      </c>
      <c r="M122" s="27">
        <f>H122/L122</f>
        <v>0.341634615384615</v>
      </c>
      <c r="N122" s="28">
        <v>0.2</v>
      </c>
      <c r="O122">
        <v>20.13</v>
      </c>
    </row>
    <row r="123" spans="1:15">
      <c r="A123" s="11" t="s">
        <v>102</v>
      </c>
      <c r="B123" s="11" t="s">
        <v>222</v>
      </c>
      <c r="C123" s="5" t="s">
        <v>223</v>
      </c>
      <c r="D123" s="5">
        <v>1.25</v>
      </c>
      <c r="E123" s="6">
        <f>12047</f>
        <v>12047</v>
      </c>
      <c r="F123" s="21">
        <v>0.1304</v>
      </c>
      <c r="G123" s="22">
        <v>8</v>
      </c>
      <c r="H123" s="20">
        <f>652000*D123</f>
        <v>815000</v>
      </c>
      <c r="I123" s="24">
        <f>H123*2</f>
        <v>1630000</v>
      </c>
      <c r="J123" s="24">
        <f>10000000*D123</f>
        <v>12500000</v>
      </c>
      <c r="K123" s="27">
        <f>I123/J123</f>
        <v>0.1304</v>
      </c>
      <c r="L123" s="23" t="s">
        <v>224</v>
      </c>
      <c r="M123" s="23" t="s">
        <v>224</v>
      </c>
      <c r="N123" s="23" t="s">
        <v>224</v>
      </c>
      <c r="O123">
        <v>13.67</v>
      </c>
    </row>
    <row r="124" spans="1:15">
      <c r="A124" s="11" t="s">
        <v>102</v>
      </c>
      <c r="B124" s="11" t="s">
        <v>225</v>
      </c>
      <c r="C124" s="5" t="s">
        <v>226</v>
      </c>
      <c r="D124" s="5">
        <v>1</v>
      </c>
      <c r="E124" s="6">
        <f>14084+17</f>
        <v>14101</v>
      </c>
      <c r="F124" s="21">
        <v>0.1253</v>
      </c>
      <c r="G124" s="22">
        <v>17</v>
      </c>
      <c r="H124" s="20">
        <f>D124*780000</f>
        <v>780000</v>
      </c>
      <c r="I124" s="24">
        <f>H124*3</f>
        <v>2340000</v>
      </c>
      <c r="J124" s="24">
        <f>(25000000-12500000)*D124</f>
        <v>12500000</v>
      </c>
      <c r="K124" s="27">
        <f>I124/J124</f>
        <v>0.1872</v>
      </c>
      <c r="L124" s="24">
        <f>25000000*D124</f>
        <v>25000000</v>
      </c>
      <c r="M124" s="27">
        <f>H124/L124</f>
        <v>0.0312</v>
      </c>
      <c r="N124" s="28">
        <v>0.2</v>
      </c>
      <c r="O124">
        <v>29.68</v>
      </c>
    </row>
    <row r="125" spans="1:15">
      <c r="A125" s="11" t="s">
        <v>227</v>
      </c>
      <c r="B125" s="11" t="s">
        <v>228</v>
      </c>
      <c r="C125" s="5" t="s">
        <v>229</v>
      </c>
      <c r="D125" s="5">
        <v>0.5</v>
      </c>
      <c r="E125" s="6">
        <v>8590</v>
      </c>
      <c r="F125" s="21">
        <v>0.3848</v>
      </c>
      <c r="G125" s="22">
        <v>3</v>
      </c>
      <c r="H125" s="20">
        <f>D125*4808000</f>
        <v>2404000</v>
      </c>
      <c r="I125" s="24">
        <f>H125</f>
        <v>2404000</v>
      </c>
      <c r="J125" s="24">
        <f>(25000000-12500000)*D125</f>
        <v>6250000</v>
      </c>
      <c r="K125" s="27">
        <f>I125/J125</f>
        <v>0.38464</v>
      </c>
      <c r="L125" s="24">
        <f>25000000*D125</f>
        <v>12500000</v>
      </c>
      <c r="M125" s="27">
        <f>H125/L125</f>
        <v>0.19232</v>
      </c>
      <c r="N125" s="28">
        <v>0.1</v>
      </c>
      <c r="O125">
        <v>24.12</v>
      </c>
    </row>
    <row r="126" spans="1:15">
      <c r="A126" s="11" t="s">
        <v>230</v>
      </c>
      <c r="B126" s="11" t="s">
        <v>231</v>
      </c>
      <c r="C126" s="5" t="s">
        <v>232</v>
      </c>
      <c r="D126" s="5">
        <f>0.5</f>
        <v>0.5</v>
      </c>
      <c r="E126" s="6">
        <f>9419</f>
        <v>9419</v>
      </c>
      <c r="F126" s="21">
        <v>0.223</v>
      </c>
      <c r="G126" s="22">
        <v>6</v>
      </c>
      <c r="H126" s="20">
        <f>2230000*D126</f>
        <v>1115000</v>
      </c>
      <c r="I126" s="24">
        <f>H126*2</f>
        <v>2230000</v>
      </c>
      <c r="J126" s="24">
        <f>26000000*D126</f>
        <v>13000000</v>
      </c>
      <c r="K126" s="27">
        <f>I126/J126</f>
        <v>0.171538461538462</v>
      </c>
      <c r="L126" s="23" t="s">
        <v>224</v>
      </c>
      <c r="M126" s="23" t="s">
        <v>224</v>
      </c>
      <c r="N126" s="23" t="s">
        <v>224</v>
      </c>
      <c r="O126">
        <v>9.6</v>
      </c>
    </row>
    <row r="127" s="4" customFormat="1" spans="1:15">
      <c r="A127" s="11" t="s">
        <v>233</v>
      </c>
      <c r="B127" s="11" t="s">
        <v>234</v>
      </c>
      <c r="C127" s="16" t="s">
        <v>235</v>
      </c>
      <c r="D127" s="16">
        <v>0.5</v>
      </c>
      <c r="E127" s="17">
        <v>5173</v>
      </c>
      <c r="F127" s="23" t="s">
        <v>236</v>
      </c>
      <c r="G127" s="23" t="s">
        <v>236</v>
      </c>
      <c r="H127" s="23" t="s">
        <v>236</v>
      </c>
      <c r="I127" s="23" t="s">
        <v>236</v>
      </c>
      <c r="J127" s="24">
        <f>225000000*D127</f>
        <v>112500000</v>
      </c>
      <c r="K127" s="29" t="s">
        <v>236</v>
      </c>
      <c r="L127" s="23" t="s">
        <v>224</v>
      </c>
      <c r="M127" s="23" t="s">
        <v>224</v>
      </c>
      <c r="N127" s="23" t="s">
        <v>224</v>
      </c>
      <c r="O127" s="4">
        <v>0.7825</v>
      </c>
    </row>
    <row r="128" spans="1:15">
      <c r="A128" s="11" t="s">
        <v>201</v>
      </c>
      <c r="B128" s="11" t="s">
        <v>237</v>
      </c>
      <c r="C128" s="5" t="s">
        <v>238</v>
      </c>
      <c r="D128" s="5">
        <v>0.5</v>
      </c>
      <c r="E128" s="6">
        <v>8194</v>
      </c>
      <c r="F128" s="21">
        <v>0.1623</v>
      </c>
      <c r="G128" s="22">
        <v>7</v>
      </c>
      <c r="H128" s="20">
        <f>1784000*D128</f>
        <v>892000</v>
      </c>
      <c r="I128" s="24">
        <f>H128*7</f>
        <v>6244000</v>
      </c>
      <c r="J128" s="24">
        <f>25000000*D128</f>
        <v>12500000</v>
      </c>
      <c r="K128" s="27">
        <f>I128/J128</f>
        <v>0.49952</v>
      </c>
      <c r="L128" s="23" t="s">
        <v>224</v>
      </c>
      <c r="M128" s="23" t="s">
        <v>224</v>
      </c>
      <c r="N128" s="23" t="s">
        <v>224</v>
      </c>
      <c r="O128">
        <v>8.29</v>
      </c>
    </row>
    <row r="129" spans="1:15">
      <c r="A129" s="11" t="s">
        <v>239</v>
      </c>
      <c r="B129" s="11" t="s">
        <v>240</v>
      </c>
      <c r="C129" s="5" t="s">
        <v>241</v>
      </c>
      <c r="D129" s="5">
        <v>0.4</v>
      </c>
      <c r="E129" s="6">
        <f>10852+7</f>
        <v>10859</v>
      </c>
      <c r="F129" s="21">
        <v>0.1429</v>
      </c>
      <c r="G129" s="22">
        <v>7</v>
      </c>
      <c r="H129" s="20">
        <f>2230000*D129</f>
        <v>892000</v>
      </c>
      <c r="I129" s="24">
        <f>7*H129</f>
        <v>6244000</v>
      </c>
      <c r="J129" s="24">
        <f>31250000*D129</f>
        <v>12500000</v>
      </c>
      <c r="K129" s="27">
        <f>I129/J129</f>
        <v>0.49952</v>
      </c>
      <c r="L129" s="23" t="s">
        <v>224</v>
      </c>
      <c r="M129" s="23" t="s">
        <v>224</v>
      </c>
      <c r="N129" s="23" t="s">
        <v>224</v>
      </c>
      <c r="O129">
        <v>13.96</v>
      </c>
    </row>
    <row r="130" spans="1:15">
      <c r="A130" s="11" t="s">
        <v>98</v>
      </c>
      <c r="B130" s="11" t="s">
        <v>242</v>
      </c>
      <c r="C130" s="5" t="s">
        <v>243</v>
      </c>
      <c r="D130" s="5">
        <v>0.5</v>
      </c>
      <c r="E130" s="6">
        <v>4939</v>
      </c>
      <c r="F130" s="21">
        <v>1</v>
      </c>
      <c r="G130" s="22">
        <v>1</v>
      </c>
      <c r="H130" s="20">
        <f>12500000*D130</f>
        <v>6250000</v>
      </c>
      <c r="I130" s="24">
        <f>1*H130</f>
        <v>6250000</v>
      </c>
      <c r="J130" s="24">
        <f>25000000*D130</f>
        <v>12500000</v>
      </c>
      <c r="K130" s="27">
        <f>I130/J130</f>
        <v>0.5</v>
      </c>
      <c r="L130" s="23" t="s">
        <v>224</v>
      </c>
      <c r="M130" s="23" t="s">
        <v>224</v>
      </c>
      <c r="N130" s="23" t="s">
        <v>224</v>
      </c>
      <c r="O130">
        <v>3.23</v>
      </c>
    </row>
    <row r="131" spans="1:15">
      <c r="A131" s="11" t="s">
        <v>116</v>
      </c>
      <c r="B131" s="11" t="s">
        <v>244</v>
      </c>
      <c r="C131" s="5" t="s">
        <v>245</v>
      </c>
      <c r="D131" s="5">
        <v>0.5</v>
      </c>
      <c r="E131" s="6">
        <v>10110</v>
      </c>
      <c r="F131" s="21">
        <v>0.225</v>
      </c>
      <c r="G131" s="22">
        <v>9</v>
      </c>
      <c r="H131" s="20">
        <f>2810000*D131</f>
        <v>1405000</v>
      </c>
      <c r="I131" s="24">
        <f>H131*4</f>
        <v>5620000</v>
      </c>
      <c r="J131" s="24">
        <f>25000000*D131</f>
        <v>12500000</v>
      </c>
      <c r="K131" s="27">
        <f>I131/J131</f>
        <v>0.4496</v>
      </c>
      <c r="L131" s="24">
        <f>50000000*D131</f>
        <v>25000000</v>
      </c>
      <c r="M131" s="27">
        <f>H131/L131</f>
        <v>0.0562</v>
      </c>
      <c r="N131" s="28">
        <v>0.2</v>
      </c>
      <c r="O131">
        <v>16.886</v>
      </c>
    </row>
    <row r="132" spans="1:15">
      <c r="A132" s="11" t="s">
        <v>116</v>
      </c>
      <c r="B132" s="11" t="s">
        <v>246</v>
      </c>
      <c r="C132" s="5" t="s">
        <v>247</v>
      </c>
      <c r="D132" s="5">
        <v>1.25</v>
      </c>
      <c r="E132" s="6">
        <v>5674</v>
      </c>
      <c r="F132" s="21">
        <v>1</v>
      </c>
      <c r="G132">
        <v>2</v>
      </c>
      <c r="H132" s="20">
        <f>3500000*D132</f>
        <v>4375000</v>
      </c>
      <c r="I132" s="7">
        <f>H132*2</f>
        <v>8750000</v>
      </c>
      <c r="J132" s="24">
        <f>10000000*D132</f>
        <v>12500000</v>
      </c>
      <c r="K132" s="15">
        <f>I132/J132</f>
        <v>0.7</v>
      </c>
      <c r="L132" s="24">
        <f>20000000*D132</f>
        <v>25000000</v>
      </c>
      <c r="M132" s="15">
        <f>H132/L132</f>
        <v>0.175</v>
      </c>
      <c r="N132" s="13">
        <v>0.2</v>
      </c>
      <c r="O132">
        <v>6.13</v>
      </c>
    </row>
    <row r="133" spans="1:15">
      <c r="A133" s="11" t="s">
        <v>116</v>
      </c>
      <c r="B133" s="11" t="s">
        <v>248</v>
      </c>
      <c r="C133" s="5" t="s">
        <v>249</v>
      </c>
      <c r="D133" s="5">
        <v>0.25</v>
      </c>
      <c r="E133" s="6">
        <v>7430</v>
      </c>
      <c r="F133" s="21">
        <v>0.25</v>
      </c>
      <c r="G133" s="30">
        <v>5</v>
      </c>
      <c r="H133" s="20">
        <f>5000000*D133</f>
        <v>1250000</v>
      </c>
      <c r="I133" s="7">
        <f>H133*5</f>
        <v>6250000</v>
      </c>
      <c r="J133" s="24">
        <f>50000000*D133</f>
        <v>12500000</v>
      </c>
      <c r="K133" s="15">
        <f>I133/J133</f>
        <v>0.5</v>
      </c>
      <c r="L133" s="23" t="s">
        <v>224</v>
      </c>
      <c r="M133" s="23" t="s">
        <v>224</v>
      </c>
      <c r="N133" s="23" t="s">
        <v>224</v>
      </c>
      <c r="O133">
        <v>7.2</v>
      </c>
    </row>
    <row r="134" spans="1:15">
      <c r="A134" s="11" t="s">
        <v>88</v>
      </c>
      <c r="B134" s="11" t="s">
        <v>250</v>
      </c>
      <c r="C134" s="5" t="s">
        <v>251</v>
      </c>
      <c r="D134" s="5">
        <v>0.25</v>
      </c>
      <c r="E134" s="6">
        <v>21147</v>
      </c>
      <c r="F134" s="21">
        <v>0.0354</v>
      </c>
      <c r="G134">
        <v>59</v>
      </c>
      <c r="H134" s="20">
        <f>880000*D134</f>
        <v>220000</v>
      </c>
      <c r="I134" s="7">
        <f>H134*19</f>
        <v>4180000</v>
      </c>
      <c r="J134" s="24">
        <f>50000000*D134</f>
        <v>12500000</v>
      </c>
      <c r="K134" s="15">
        <f>I134/J134</f>
        <v>0.3344</v>
      </c>
      <c r="L134" s="24">
        <f>100000000*D134</f>
        <v>25000000</v>
      </c>
      <c r="M134" s="15">
        <f>H134/L134</f>
        <v>0.0088</v>
      </c>
      <c r="N134" s="13">
        <v>0.2</v>
      </c>
      <c r="O134">
        <v>61</v>
      </c>
    </row>
    <row r="135" spans="1:15">
      <c r="A135" s="11" t="s">
        <v>88</v>
      </c>
      <c r="B135" s="11" t="s">
        <v>252</v>
      </c>
      <c r="C135" s="5" t="s">
        <v>253</v>
      </c>
      <c r="D135" s="5">
        <v>1.25</v>
      </c>
      <c r="E135" s="6">
        <v>9998</v>
      </c>
      <c r="F135" s="21">
        <v>0.1368</v>
      </c>
      <c r="G135">
        <v>23</v>
      </c>
      <c r="H135" s="20">
        <f>684000*D135</f>
        <v>855000</v>
      </c>
      <c r="I135" s="7">
        <f>H135</f>
        <v>855000</v>
      </c>
      <c r="J135" s="24">
        <f>10000000*D135</f>
        <v>12500000</v>
      </c>
      <c r="K135" s="15">
        <f>I135/J135</f>
        <v>0.0684</v>
      </c>
      <c r="L135" s="24">
        <f>30000000*D135</f>
        <v>37500000</v>
      </c>
      <c r="M135" s="15">
        <f>H135/L135</f>
        <v>0.0228</v>
      </c>
      <c r="N135" s="13">
        <v>0.3</v>
      </c>
      <c r="O135">
        <v>19.47</v>
      </c>
    </row>
    <row r="136" spans="1:15">
      <c r="A136" s="11" t="s">
        <v>254</v>
      </c>
      <c r="B136" s="11" t="s">
        <v>255</v>
      </c>
      <c r="C136" s="5" t="s">
        <v>256</v>
      </c>
      <c r="D136" s="5">
        <v>0.5</v>
      </c>
      <c r="E136" s="6">
        <v>12885</v>
      </c>
      <c r="F136" s="21">
        <v>0.0344</v>
      </c>
      <c r="G136">
        <v>66</v>
      </c>
      <c r="H136" s="20">
        <f>420000*D136</f>
        <v>210000</v>
      </c>
      <c r="I136" s="7">
        <f>21*H136</f>
        <v>4410000</v>
      </c>
      <c r="J136" s="24">
        <f>25000000*D136</f>
        <v>12500000</v>
      </c>
      <c r="K136" s="15">
        <f>I136/J136</f>
        <v>0.3528</v>
      </c>
      <c r="L136" s="24">
        <f>50000000*D136</f>
        <v>25000000</v>
      </c>
      <c r="M136" s="15">
        <f>H136/L136</f>
        <v>0.0084</v>
      </c>
      <c r="N136" s="13">
        <v>0.2</v>
      </c>
      <c r="O136">
        <v>74</v>
      </c>
    </row>
    <row r="137" spans="1:15">
      <c r="A137" s="11" t="s">
        <v>195</v>
      </c>
      <c r="B137" s="11" t="s">
        <v>257</v>
      </c>
      <c r="C137" s="5" t="s">
        <v>258</v>
      </c>
      <c r="D137" s="5">
        <v>1</v>
      </c>
      <c r="E137" s="6">
        <v>19370</v>
      </c>
      <c r="F137" s="21">
        <v>0.0646</v>
      </c>
      <c r="G137">
        <v>66</v>
      </c>
      <c r="H137" s="20">
        <f>402000*D137</f>
        <v>402000</v>
      </c>
      <c r="I137" s="7">
        <f>39*H137</f>
        <v>15678000</v>
      </c>
      <c r="J137" s="24">
        <f>12500000*D137</f>
        <v>12500000</v>
      </c>
      <c r="K137" s="15">
        <f t="shared" ref="K137:K161" si="0">I137/J137</f>
        <v>1.25424</v>
      </c>
      <c r="L137" s="24">
        <f>50000000*D137</f>
        <v>50000000</v>
      </c>
      <c r="M137" s="15">
        <f>H137/L137</f>
        <v>0.00804</v>
      </c>
      <c r="N137" s="13">
        <v>0.4</v>
      </c>
      <c r="O137">
        <v>50.03</v>
      </c>
    </row>
    <row r="138" spans="1:15">
      <c r="A138" s="11" t="s">
        <v>195</v>
      </c>
      <c r="B138" s="11" t="s">
        <v>259</v>
      </c>
      <c r="C138" s="31" t="s">
        <v>260</v>
      </c>
      <c r="D138" s="5">
        <v>2</v>
      </c>
      <c r="E138" s="6">
        <v>7504</v>
      </c>
      <c r="F138" s="21">
        <v>0.1012</v>
      </c>
      <c r="G138">
        <v>10</v>
      </c>
      <c r="H138" s="20">
        <f>316000*D138</f>
        <v>632000</v>
      </c>
      <c r="I138" s="7">
        <f>1*H138</f>
        <v>632000</v>
      </c>
      <c r="J138" s="24">
        <f>6250000*D138</f>
        <v>12500000</v>
      </c>
      <c r="K138" s="15">
        <f t="shared" si="0"/>
        <v>0.05056</v>
      </c>
      <c r="L138" s="23" t="s">
        <v>224</v>
      </c>
      <c r="M138" s="23" t="s">
        <v>224</v>
      </c>
      <c r="N138" s="23" t="s">
        <v>224</v>
      </c>
      <c r="O138">
        <v>12.88</v>
      </c>
    </row>
    <row r="139" spans="1:15">
      <c r="A139" s="11" t="s">
        <v>92</v>
      </c>
      <c r="B139" s="11" t="s">
        <v>261</v>
      </c>
      <c r="C139" s="5" t="s">
        <v>262</v>
      </c>
      <c r="D139" s="5">
        <v>0.5</v>
      </c>
      <c r="E139" s="6">
        <v>23373</v>
      </c>
      <c r="F139" s="21">
        <v>0.16</v>
      </c>
      <c r="G139">
        <v>20</v>
      </c>
      <c r="H139" s="20">
        <f>2000000*D139</f>
        <v>1000000</v>
      </c>
      <c r="I139" s="7">
        <f>6*H139</f>
        <v>6000000</v>
      </c>
      <c r="J139" s="24">
        <f>25000000*D139</f>
        <v>12500000</v>
      </c>
      <c r="K139" s="15">
        <f t="shared" si="0"/>
        <v>0.48</v>
      </c>
      <c r="L139" s="24">
        <f>75000000*D139</f>
        <v>37500000</v>
      </c>
      <c r="M139" s="15">
        <f>H139/L139</f>
        <v>0.0266666666666667</v>
      </c>
      <c r="N139" s="13">
        <v>0.3</v>
      </c>
      <c r="O139">
        <v>26.41</v>
      </c>
    </row>
    <row r="140" spans="1:15">
      <c r="A140" s="11" t="s">
        <v>263</v>
      </c>
      <c r="B140" s="11" t="s">
        <v>264</v>
      </c>
      <c r="C140" s="5" t="s">
        <v>265</v>
      </c>
      <c r="D140" s="5">
        <v>0.625</v>
      </c>
      <c r="E140" s="6">
        <v>12328</v>
      </c>
      <c r="F140" s="21">
        <v>0.4286</v>
      </c>
      <c r="G140">
        <v>10</v>
      </c>
      <c r="H140" s="20">
        <f>3000000*D140</f>
        <v>1875000</v>
      </c>
      <c r="I140" s="7">
        <f>10*H140</f>
        <v>18750000</v>
      </c>
      <c r="J140" s="24">
        <f>20000000*D140</f>
        <v>12500000</v>
      </c>
      <c r="K140" s="15">
        <f t="shared" si="0"/>
        <v>1.5</v>
      </c>
      <c r="L140" s="24">
        <f>60000000*D140</f>
        <v>37500000</v>
      </c>
      <c r="M140" s="15">
        <f>H140/L140</f>
        <v>0.05</v>
      </c>
      <c r="N140" s="13">
        <v>0.3</v>
      </c>
      <c r="O140">
        <v>16.23</v>
      </c>
    </row>
    <row r="141" spans="1:15">
      <c r="A141" s="11" t="s">
        <v>155</v>
      </c>
      <c r="B141" s="11" t="s">
        <v>266</v>
      </c>
      <c r="C141" s="5" t="s">
        <v>267</v>
      </c>
      <c r="D141" s="5">
        <v>1</v>
      </c>
      <c r="E141" s="6">
        <v>10286</v>
      </c>
      <c r="F141" s="21">
        <v>0.1533</v>
      </c>
      <c r="G141">
        <v>14</v>
      </c>
      <c r="H141" s="20">
        <f>958000*D141</f>
        <v>958000</v>
      </c>
      <c r="I141" s="7">
        <f>2*H141</f>
        <v>1916000</v>
      </c>
      <c r="J141" s="24">
        <f>12500000*D141</f>
        <v>12500000</v>
      </c>
      <c r="K141" s="15">
        <f t="shared" si="0"/>
        <v>0.15328</v>
      </c>
      <c r="L141" s="24">
        <f>25000000*D141</f>
        <v>25000000</v>
      </c>
      <c r="M141" s="15">
        <f>H141/L141</f>
        <v>0.03832</v>
      </c>
      <c r="N141" s="13">
        <v>0.2</v>
      </c>
      <c r="O141">
        <v>11.38</v>
      </c>
    </row>
    <row r="142" spans="1:15">
      <c r="A142" s="11" t="s">
        <v>68</v>
      </c>
      <c r="B142" s="11" t="s">
        <v>268</v>
      </c>
      <c r="C142" s="5" t="s">
        <v>269</v>
      </c>
      <c r="D142" s="5">
        <v>0.5</v>
      </c>
      <c r="E142" s="6">
        <v>22019</v>
      </c>
      <c r="F142" s="21">
        <v>0.0195</v>
      </c>
      <c r="G142">
        <v>292</v>
      </c>
      <c r="H142" s="20">
        <f>240000*D142</f>
        <v>120000</v>
      </c>
      <c r="I142" s="7">
        <f>H142*160</f>
        <v>19200000</v>
      </c>
      <c r="J142" s="24">
        <f>25000000*D142</f>
        <v>12500000</v>
      </c>
      <c r="K142" s="15">
        <f t="shared" si="0"/>
        <v>1.536</v>
      </c>
      <c r="L142" s="24">
        <f>125000000*D142</f>
        <v>62500000</v>
      </c>
      <c r="M142" s="15">
        <f>H142/L142</f>
        <v>0.00192</v>
      </c>
      <c r="N142" s="13">
        <v>0.4</v>
      </c>
      <c r="O142">
        <v>206.56</v>
      </c>
    </row>
    <row r="143" spans="1:15">
      <c r="A143" s="11" t="s">
        <v>270</v>
      </c>
      <c r="B143" s="11" t="s">
        <v>271</v>
      </c>
      <c r="C143" s="5" t="s">
        <v>272</v>
      </c>
      <c r="D143" s="5">
        <v>1.68</v>
      </c>
      <c r="E143" s="6">
        <v>15072</v>
      </c>
      <c r="F143" s="21">
        <v>0.1765</v>
      </c>
      <c r="G143">
        <v>18</v>
      </c>
      <c r="H143" s="20">
        <f>634000*D143</f>
        <v>1065120</v>
      </c>
      <c r="I143" s="7">
        <f>H143*12</f>
        <v>12781440</v>
      </c>
      <c r="J143" s="24">
        <f>7200000*D143</f>
        <v>12096000</v>
      </c>
      <c r="K143" s="15">
        <f t="shared" si="0"/>
        <v>1.05666666666667</v>
      </c>
      <c r="L143" s="24">
        <f>21600000*D143</f>
        <v>36288000</v>
      </c>
      <c r="M143" s="15">
        <f>H143/L143</f>
        <v>0.0293518518518519</v>
      </c>
      <c r="N143" s="13">
        <v>0.3</v>
      </c>
      <c r="O143">
        <v>28.42</v>
      </c>
    </row>
    <row r="144" spans="1:15">
      <c r="A144" s="11" t="s">
        <v>273</v>
      </c>
      <c r="B144" s="11" t="s">
        <v>274</v>
      </c>
      <c r="C144" s="5" t="s">
        <v>275</v>
      </c>
      <c r="D144" s="5">
        <v>1.3</v>
      </c>
      <c r="E144" s="6">
        <v>20654</v>
      </c>
      <c r="F144" s="21">
        <v>0.0541</v>
      </c>
      <c r="G144">
        <v>37</v>
      </c>
      <c r="H144" s="20">
        <f>212000*D144</f>
        <v>275600</v>
      </c>
      <c r="I144" s="7">
        <f>H144*37</f>
        <v>10197200</v>
      </c>
      <c r="J144" s="24">
        <f>7900000*D144</f>
        <v>10270000</v>
      </c>
      <c r="K144" s="15">
        <f t="shared" si="0"/>
        <v>0.992911392405063</v>
      </c>
      <c r="L144" s="24">
        <f>15800000*D144</f>
        <v>20540000</v>
      </c>
      <c r="M144" s="15">
        <f>H144/L144</f>
        <v>0.0134177215189873</v>
      </c>
      <c r="N144" s="13">
        <v>0.2</v>
      </c>
      <c r="O144">
        <v>41.99</v>
      </c>
    </row>
    <row r="145" spans="1:15">
      <c r="A145" s="11" t="s">
        <v>276</v>
      </c>
      <c r="B145" s="11" t="s">
        <v>277</v>
      </c>
      <c r="C145" s="5" t="s">
        <v>278</v>
      </c>
      <c r="D145" s="5">
        <v>0.43</v>
      </c>
      <c r="E145" s="6">
        <v>13135</v>
      </c>
      <c r="F145" s="21">
        <v>0.0488</v>
      </c>
      <c r="G145">
        <v>82</v>
      </c>
      <c r="H145" s="20">
        <f>545000*D145</f>
        <v>234350</v>
      </c>
      <c r="I145" s="7">
        <f>H145*82</f>
        <v>19216700</v>
      </c>
      <c r="J145" s="24">
        <f>22500000*D145</f>
        <v>9675000</v>
      </c>
      <c r="K145" s="15">
        <f t="shared" si="0"/>
        <v>1.98622222222222</v>
      </c>
      <c r="L145" s="24">
        <f>90000000*D145</f>
        <v>38700000</v>
      </c>
      <c r="M145" s="15">
        <f>H145/L145</f>
        <v>0.00605555555555556</v>
      </c>
      <c r="N145" s="13">
        <v>0.4</v>
      </c>
      <c r="O145">
        <v>72.47</v>
      </c>
    </row>
    <row r="146" spans="1:15">
      <c r="A146" s="11" t="s">
        <v>68</v>
      </c>
      <c r="B146" s="11" t="s">
        <v>279</v>
      </c>
      <c r="C146" s="5" t="s">
        <v>280</v>
      </c>
      <c r="D146" s="5">
        <v>0.7</v>
      </c>
      <c r="E146" s="6">
        <v>21595</v>
      </c>
      <c r="F146" s="21">
        <v>0.053</v>
      </c>
      <c r="G146">
        <v>144</v>
      </c>
      <c r="H146" s="20">
        <f>3300000*D146</f>
        <v>2310000</v>
      </c>
      <c r="I146" s="7">
        <f>H146</f>
        <v>2310000</v>
      </c>
      <c r="J146" s="24">
        <f>12500000*D146</f>
        <v>8750000</v>
      </c>
      <c r="K146" s="15">
        <f>I146/J146</f>
        <v>0.264</v>
      </c>
      <c r="L146" s="24">
        <f>62500000*D146</f>
        <v>43750000</v>
      </c>
      <c r="M146" s="15">
        <f>H146/L146</f>
        <v>0.0528</v>
      </c>
      <c r="N146" s="13">
        <v>0.5</v>
      </c>
      <c r="O146">
        <v>146.2</v>
      </c>
    </row>
    <row r="147" spans="1:15">
      <c r="A147" s="11" t="s">
        <v>43</v>
      </c>
      <c r="B147" s="11" t="s">
        <v>281</v>
      </c>
      <c r="C147" s="5" t="s">
        <v>282</v>
      </c>
      <c r="D147" s="5">
        <v>0.55</v>
      </c>
      <c r="E147" s="6">
        <v>12113</v>
      </c>
      <c r="F147" s="23" t="s">
        <v>236</v>
      </c>
      <c r="G147" s="23" t="s">
        <v>236</v>
      </c>
      <c r="H147" s="23" t="s">
        <v>236</v>
      </c>
      <c r="I147" s="23" t="s">
        <v>236</v>
      </c>
      <c r="J147" s="24">
        <f>15000000*D147</f>
        <v>8250000</v>
      </c>
      <c r="K147" s="29" t="s">
        <v>236</v>
      </c>
      <c r="L147" s="24">
        <f>45000000*D147</f>
        <v>24750000</v>
      </c>
      <c r="M147" s="29" t="s">
        <v>236</v>
      </c>
      <c r="N147" s="13">
        <v>0.3</v>
      </c>
      <c r="O147">
        <v>28.19</v>
      </c>
    </row>
    <row r="148" spans="1:15">
      <c r="A148" s="11" t="s">
        <v>123</v>
      </c>
      <c r="B148" s="11" t="s">
        <v>283</v>
      </c>
      <c r="C148" s="5" t="s">
        <v>284</v>
      </c>
      <c r="D148" s="5">
        <v>0.41</v>
      </c>
      <c r="E148" s="6">
        <v>21139</v>
      </c>
      <c r="F148" s="23" t="s">
        <v>236</v>
      </c>
      <c r="G148" s="23" t="s">
        <v>236</v>
      </c>
      <c r="H148" s="23" t="s">
        <v>236</v>
      </c>
      <c r="I148" s="23" t="s">
        <v>236</v>
      </c>
      <c r="J148" s="24">
        <f>19780000*D148</f>
        <v>8109800</v>
      </c>
      <c r="K148" s="29" t="s">
        <v>236</v>
      </c>
      <c r="L148" s="24">
        <f>98900000*D148</f>
        <v>40549000</v>
      </c>
      <c r="M148" s="29" t="s">
        <v>236</v>
      </c>
      <c r="N148" s="13">
        <v>0.5</v>
      </c>
      <c r="O148">
        <v>441.7</v>
      </c>
    </row>
    <row r="149" spans="1:15">
      <c r="A149" s="11" t="s">
        <v>276</v>
      </c>
      <c r="B149" s="11" t="s">
        <v>285</v>
      </c>
      <c r="C149" s="5" t="s">
        <v>286</v>
      </c>
      <c r="D149" s="5">
        <v>0.4</v>
      </c>
      <c r="E149" s="6">
        <v>8255</v>
      </c>
      <c r="F149" s="21">
        <v>0.15</v>
      </c>
      <c r="G149">
        <v>7</v>
      </c>
      <c r="H149" s="20">
        <f>1500000*D149</f>
        <v>600000</v>
      </c>
      <c r="I149" s="24">
        <f>H149*2</f>
        <v>1200000</v>
      </c>
      <c r="J149" s="24">
        <f>20000000*D149</f>
        <v>8000000</v>
      </c>
      <c r="K149" s="15">
        <f t="shared" si="0"/>
        <v>0.15</v>
      </c>
      <c r="L149" s="24">
        <f>20000000*D149</f>
        <v>8000000</v>
      </c>
      <c r="M149" s="15">
        <f>H149/L149</f>
        <v>0.075</v>
      </c>
      <c r="N149" s="13">
        <v>0.1</v>
      </c>
      <c r="O149">
        <v>10.3</v>
      </c>
    </row>
    <row r="150" spans="1:15">
      <c r="A150" s="11" t="s">
        <v>287</v>
      </c>
      <c r="B150" s="11" t="s">
        <v>288</v>
      </c>
      <c r="C150" s="5" t="s">
        <v>289</v>
      </c>
      <c r="D150" s="5">
        <v>0.24</v>
      </c>
      <c r="E150" s="6">
        <v>21120</v>
      </c>
      <c r="F150" s="23" t="s">
        <v>236</v>
      </c>
      <c r="G150" s="23" t="s">
        <v>236</v>
      </c>
      <c r="H150" s="23" t="s">
        <v>236</v>
      </c>
      <c r="I150" s="23" t="s">
        <v>236</v>
      </c>
      <c r="J150" s="24">
        <f>30000000*D150</f>
        <v>7200000</v>
      </c>
      <c r="K150" s="29" t="s">
        <v>236</v>
      </c>
      <c r="L150" s="24">
        <f>120000000*D150</f>
        <v>28800000</v>
      </c>
      <c r="M150" s="29" t="s">
        <v>236</v>
      </c>
      <c r="N150" s="13">
        <v>0.4</v>
      </c>
      <c r="O150">
        <v>54.9</v>
      </c>
    </row>
    <row r="151" spans="1:15">
      <c r="A151" s="11" t="s">
        <v>263</v>
      </c>
      <c r="B151" s="11" t="s">
        <v>290</v>
      </c>
      <c r="C151" s="5" t="s">
        <v>291</v>
      </c>
      <c r="D151" s="5">
        <v>0.28</v>
      </c>
      <c r="E151" s="6">
        <v>12818</v>
      </c>
      <c r="F151" s="21">
        <v>0.0314</v>
      </c>
      <c r="G151">
        <v>159</v>
      </c>
      <c r="H151">
        <f>360000*D151</f>
        <v>100800</v>
      </c>
      <c r="I151" s="7">
        <f>159*H151</f>
        <v>16027200</v>
      </c>
      <c r="J151" s="24">
        <f>23000000*D151</f>
        <v>6440000</v>
      </c>
      <c r="K151" s="15">
        <f t="shared" si="0"/>
        <v>2.48869565217391</v>
      </c>
      <c r="L151" s="24">
        <f>115000000*D151</f>
        <v>32200000</v>
      </c>
      <c r="M151" s="15">
        <f>H151/L151</f>
        <v>0.0031304347826087</v>
      </c>
      <c r="N151" s="13">
        <v>0.5</v>
      </c>
      <c r="O151">
        <v>120.99</v>
      </c>
    </row>
    <row r="152" spans="1:15">
      <c r="A152" s="11" t="s">
        <v>197</v>
      </c>
      <c r="B152" s="11" t="s">
        <v>292</v>
      </c>
      <c r="C152" s="5" t="s">
        <v>293</v>
      </c>
      <c r="D152" s="5">
        <v>0.32</v>
      </c>
      <c r="E152" s="6">
        <v>15279</v>
      </c>
      <c r="F152" s="21">
        <v>1</v>
      </c>
      <c r="G152">
        <v>2</v>
      </c>
      <c r="H152">
        <f>300000*D152</f>
        <v>96000</v>
      </c>
      <c r="I152" s="7">
        <f>H152</f>
        <v>96000</v>
      </c>
      <c r="J152" s="24">
        <f>20000000*D152</f>
        <v>6400000</v>
      </c>
      <c r="K152" s="15">
        <f t="shared" si="0"/>
        <v>0.015</v>
      </c>
      <c r="L152" s="24">
        <f>60000000*D152</f>
        <v>19200000</v>
      </c>
      <c r="M152" s="15">
        <f>H152/L152</f>
        <v>0.005</v>
      </c>
      <c r="N152" s="13">
        <v>0.3</v>
      </c>
      <c r="O152">
        <v>41.56</v>
      </c>
    </row>
    <row r="153" spans="1:15">
      <c r="A153" s="11" t="s">
        <v>102</v>
      </c>
      <c r="B153" s="11" t="s">
        <v>294</v>
      </c>
      <c r="C153" s="5" t="s">
        <v>295</v>
      </c>
      <c r="D153" s="5">
        <v>0.4</v>
      </c>
      <c r="E153" s="6">
        <v>23678</v>
      </c>
      <c r="F153" s="23" t="s">
        <v>236</v>
      </c>
      <c r="G153" s="23" t="s">
        <v>236</v>
      </c>
      <c r="H153" s="23" t="s">
        <v>236</v>
      </c>
      <c r="I153" s="23" t="s">
        <v>236</v>
      </c>
      <c r="J153" s="24">
        <f>15000000*D153</f>
        <v>6000000</v>
      </c>
      <c r="K153" s="29" t="s">
        <v>236</v>
      </c>
      <c r="L153" s="24">
        <f>45000000*D153</f>
        <v>18000000</v>
      </c>
      <c r="M153" s="29" t="s">
        <v>236</v>
      </c>
      <c r="N153" s="13">
        <v>0.3</v>
      </c>
      <c r="O153">
        <v>30.3</v>
      </c>
    </row>
    <row r="154" spans="1:15">
      <c r="A154" s="11" t="s">
        <v>296</v>
      </c>
      <c r="B154" s="11" t="s">
        <v>297</v>
      </c>
      <c r="C154" s="5" t="s">
        <v>298</v>
      </c>
      <c r="D154" s="5">
        <v>0.4</v>
      </c>
      <c r="E154" s="6">
        <v>41562</v>
      </c>
      <c r="F154" s="23" t="s">
        <v>236</v>
      </c>
      <c r="G154" s="23" t="s">
        <v>236</v>
      </c>
      <c r="H154" s="23" t="s">
        <v>236</v>
      </c>
      <c r="I154" s="23" t="s">
        <v>236</v>
      </c>
      <c r="J154" s="24">
        <f>15000000*D154</f>
        <v>6000000</v>
      </c>
      <c r="K154" s="29" t="s">
        <v>236</v>
      </c>
      <c r="L154" s="24">
        <f>75000000*D154</f>
        <v>30000000</v>
      </c>
      <c r="M154" s="29" t="s">
        <v>236</v>
      </c>
      <c r="N154" s="13">
        <v>0.5</v>
      </c>
      <c r="O154">
        <v>148.6</v>
      </c>
    </row>
    <row r="155" spans="1:15">
      <c r="A155" s="11" t="s">
        <v>168</v>
      </c>
      <c r="B155" s="11" t="s">
        <v>299</v>
      </c>
      <c r="C155" s="5" t="s">
        <v>300</v>
      </c>
      <c r="D155" s="5">
        <v>0.6</v>
      </c>
      <c r="E155" s="6">
        <v>17519</v>
      </c>
      <c r="F155" s="23" t="s">
        <v>236</v>
      </c>
      <c r="G155" s="23" t="s">
        <v>236</v>
      </c>
      <c r="H155" s="23" t="s">
        <v>236</v>
      </c>
      <c r="I155" s="23" t="s">
        <v>236</v>
      </c>
      <c r="J155" s="24">
        <f>10000000*D155</f>
        <v>6000000</v>
      </c>
      <c r="K155" s="29" t="s">
        <v>236</v>
      </c>
      <c r="L155" s="24">
        <f>30000000*D155</f>
        <v>18000000</v>
      </c>
      <c r="M155" s="29" t="s">
        <v>236</v>
      </c>
      <c r="N155" s="13">
        <v>0.3</v>
      </c>
      <c r="O155">
        <v>24.4</v>
      </c>
    </row>
    <row r="156" spans="1:15">
      <c r="A156" s="11" t="s">
        <v>175</v>
      </c>
      <c r="B156" s="11" t="s">
        <v>301</v>
      </c>
      <c r="C156" s="5" t="s">
        <v>302</v>
      </c>
      <c r="D156" s="5">
        <v>0.6</v>
      </c>
      <c r="E156" s="6">
        <v>12639</v>
      </c>
      <c r="F156" s="23" t="s">
        <v>236</v>
      </c>
      <c r="G156" s="23" t="s">
        <v>236</v>
      </c>
      <c r="H156" s="23" t="s">
        <v>236</v>
      </c>
      <c r="I156" s="23" t="s">
        <v>236</v>
      </c>
      <c r="J156" s="24">
        <f>10000000*D156</f>
        <v>6000000</v>
      </c>
      <c r="K156" s="29" t="s">
        <v>236</v>
      </c>
      <c r="L156" s="24">
        <f>30000000*D156</f>
        <v>18000000</v>
      </c>
      <c r="M156" s="29" t="s">
        <v>236</v>
      </c>
      <c r="N156" s="13">
        <v>0.3</v>
      </c>
      <c r="O156">
        <v>43.4</v>
      </c>
    </row>
    <row r="157" spans="1:15">
      <c r="A157" s="11" t="s">
        <v>195</v>
      </c>
      <c r="B157" s="11" t="s">
        <v>303</v>
      </c>
      <c r="C157" s="5" t="s">
        <v>304</v>
      </c>
      <c r="D157" s="5">
        <v>0.24</v>
      </c>
      <c r="E157" s="6">
        <v>17323</v>
      </c>
      <c r="F157" s="23" t="s">
        <v>236</v>
      </c>
      <c r="G157" s="23" t="s">
        <v>236</v>
      </c>
      <c r="H157" s="23" t="s">
        <v>236</v>
      </c>
      <c r="I157" s="23" t="s">
        <v>236</v>
      </c>
      <c r="J157" s="24">
        <f>25000000*D157</f>
        <v>6000000</v>
      </c>
      <c r="K157" s="29" t="s">
        <v>236</v>
      </c>
      <c r="L157" s="24">
        <f>75000000*D157</f>
        <v>18000000</v>
      </c>
      <c r="M157" s="29" t="s">
        <v>236</v>
      </c>
      <c r="N157" s="13">
        <v>0.3</v>
      </c>
      <c r="O157">
        <v>28.18</v>
      </c>
    </row>
    <row r="158" spans="1:15">
      <c r="A158" s="11" t="s">
        <v>233</v>
      </c>
      <c r="B158" s="11" t="s">
        <v>305</v>
      </c>
      <c r="C158" s="5" t="s">
        <v>306</v>
      </c>
      <c r="D158" s="5">
        <v>0.3</v>
      </c>
      <c r="E158" s="6">
        <v>18432</v>
      </c>
      <c r="F158" s="23" t="s">
        <v>236</v>
      </c>
      <c r="G158" s="23" t="s">
        <v>236</v>
      </c>
      <c r="H158" s="23" t="s">
        <v>236</v>
      </c>
      <c r="I158" s="23" t="s">
        <v>236</v>
      </c>
      <c r="J158" s="24">
        <f>18750000*D158</f>
        <v>5625000</v>
      </c>
      <c r="K158" s="29" t="s">
        <v>236</v>
      </c>
      <c r="L158" s="23" t="s">
        <v>224</v>
      </c>
      <c r="M158" s="29" t="s">
        <v>236</v>
      </c>
      <c r="N158" s="23" t="s">
        <v>224</v>
      </c>
      <c r="O158">
        <v>103.74</v>
      </c>
    </row>
    <row r="159" spans="1:15">
      <c r="A159" s="11" t="s">
        <v>88</v>
      </c>
      <c r="B159" s="11" t="s">
        <v>307</v>
      </c>
      <c r="C159" s="5" t="s">
        <v>308</v>
      </c>
      <c r="D159" s="5">
        <v>0.55</v>
      </c>
      <c r="E159" s="6">
        <v>15457</v>
      </c>
      <c r="F159" s="23" t="s">
        <v>236</v>
      </c>
      <c r="G159" s="23" t="s">
        <v>236</v>
      </c>
      <c r="H159" s="23" t="s">
        <v>236</v>
      </c>
      <c r="I159" s="23" t="s">
        <v>236</v>
      </c>
      <c r="J159" s="24">
        <f>10000000*D159</f>
        <v>5500000</v>
      </c>
      <c r="K159" s="29" t="s">
        <v>236</v>
      </c>
      <c r="L159" s="24">
        <f>40000000*D159</f>
        <v>22000000</v>
      </c>
      <c r="M159" s="29" t="s">
        <v>236</v>
      </c>
      <c r="N159" s="13">
        <v>0.4</v>
      </c>
      <c r="O159">
        <v>62.67</v>
      </c>
    </row>
    <row r="160" spans="1:15">
      <c r="A160" s="11" t="s">
        <v>254</v>
      </c>
      <c r="B160" s="11" t="s">
        <v>309</v>
      </c>
      <c r="C160" s="5" t="s">
        <v>310</v>
      </c>
      <c r="D160" s="5">
        <v>0.275</v>
      </c>
      <c r="E160" s="6">
        <v>17612</v>
      </c>
      <c r="F160" s="23" t="s">
        <v>236</v>
      </c>
      <c r="G160" s="23" t="s">
        <v>236</v>
      </c>
      <c r="H160" s="23" t="s">
        <v>236</v>
      </c>
      <c r="I160" s="23" t="s">
        <v>236</v>
      </c>
      <c r="J160" s="24">
        <f>20000000*D160</f>
        <v>5500000</v>
      </c>
      <c r="K160" s="29" t="s">
        <v>236</v>
      </c>
      <c r="L160" s="24">
        <f>60000000*D160</f>
        <v>16500000</v>
      </c>
      <c r="M160" s="29" t="s">
        <v>236</v>
      </c>
      <c r="N160" s="13">
        <v>0.3</v>
      </c>
      <c r="O160">
        <v>36.1</v>
      </c>
    </row>
    <row r="161" spans="1:15">
      <c r="A161" s="11" t="s">
        <v>311</v>
      </c>
      <c r="B161" s="11" t="s">
        <v>312</v>
      </c>
      <c r="C161" s="5" t="s">
        <v>313</v>
      </c>
      <c r="D161" s="5">
        <v>0.53</v>
      </c>
      <c r="E161" s="6">
        <v>20880</v>
      </c>
      <c r="F161" s="23" t="s">
        <v>236</v>
      </c>
      <c r="G161" s="23" t="s">
        <v>236</v>
      </c>
      <c r="H161" s="23" t="s">
        <v>236</v>
      </c>
      <c r="I161" s="23" t="s">
        <v>236</v>
      </c>
      <c r="J161" s="24">
        <f>10000000*D161</f>
        <v>5300000</v>
      </c>
      <c r="K161" s="29" t="s">
        <v>236</v>
      </c>
      <c r="L161" s="23" t="s">
        <v>224</v>
      </c>
      <c r="M161" s="29" t="s">
        <v>236</v>
      </c>
      <c r="N161" s="23" t="s">
        <v>224</v>
      </c>
      <c r="O161">
        <v>101.3</v>
      </c>
    </row>
    <row r="162" spans="7:7">
      <c r="G162" s="2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EDZ</cp:lastModifiedBy>
  <dcterms:created xsi:type="dcterms:W3CDTF">2020-01-07T08:31:00Z</dcterms:created>
  <dcterms:modified xsi:type="dcterms:W3CDTF">2020-01-07T14:17:15Z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