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iel\surfdrive\Data\"/>
    </mc:Choice>
  </mc:AlternateContent>
  <xr:revisionPtr revIDLastSave="0" documentId="13_ncr:1_{60516538-146B-4DED-BAA9-8E616AF0F76E}" xr6:coauthVersionLast="32" xr6:coauthVersionMax="32" xr10:uidLastSave="{00000000-0000-0000-0000-000000000000}"/>
  <bookViews>
    <workbookView xWindow="480" yWindow="120" windowWidth="11520" windowHeight="7908" xr2:uid="{00000000-000D-0000-FFFF-FFFF00000000}"/>
  </bookViews>
  <sheets>
    <sheet name="Equivalence Test" sheetId="4" r:id="rId1"/>
  </sheets>
  <calcPr calcId="179017"/>
  <fileRecoveryPr autoRecover="0"/>
</workbook>
</file>

<file path=xl/calcChain.xml><?xml version="1.0" encoding="utf-8"?>
<calcChain xmlns="http://schemas.openxmlformats.org/spreadsheetml/2006/main">
  <c r="F66" i="4" l="1"/>
  <c r="F68" i="4"/>
  <c r="C121" i="4"/>
  <c r="C153" i="4" l="1"/>
  <c r="H145" i="4"/>
  <c r="F4" i="4"/>
  <c r="H146" i="4"/>
  <c r="H149" i="4" s="1"/>
  <c r="H150" i="4" s="1"/>
  <c r="F145" i="4" l="1"/>
  <c r="F146" i="4" s="1"/>
  <c r="H143" i="4"/>
  <c r="F143" i="4"/>
  <c r="F149" i="4"/>
  <c r="F150" i="4" s="1"/>
  <c r="H152" i="4"/>
  <c r="F152" i="4"/>
  <c r="E153" i="4" s="1"/>
  <c r="F117" i="4"/>
  <c r="F30" i="4" l="1"/>
  <c r="L25" i="4" l="1"/>
  <c r="F11" i="4" l="1"/>
  <c r="H11" i="4" l="1"/>
  <c r="C106" i="4" l="1"/>
  <c r="L30" i="4" l="1"/>
  <c r="J30" i="4"/>
  <c r="L11" i="4"/>
  <c r="J11" i="4"/>
  <c r="C87" i="4" l="1"/>
  <c r="C51" i="4"/>
  <c r="C14" i="4"/>
  <c r="C34" i="4"/>
  <c r="F23" i="4"/>
  <c r="C72" i="4"/>
  <c r="J6" i="4"/>
  <c r="J25" i="4"/>
  <c r="H85" i="4" l="1"/>
  <c r="F85" i="4"/>
  <c r="H80" i="4"/>
  <c r="F80" i="4"/>
  <c r="H79" i="4"/>
  <c r="F79" i="4"/>
  <c r="F81" i="4" l="1"/>
  <c r="J79" i="4"/>
  <c r="H81" i="4"/>
  <c r="F84" i="4" s="1"/>
  <c r="F86" i="4" s="1"/>
  <c r="H67" i="4"/>
  <c r="F67" i="4"/>
  <c r="H63" i="4"/>
  <c r="H62" i="4"/>
  <c r="N68" i="4" s="1"/>
  <c r="F62" i="4"/>
  <c r="H61" i="4"/>
  <c r="H45" i="4"/>
  <c r="H30" i="4"/>
  <c r="L8" i="4"/>
  <c r="F25" i="4"/>
  <c r="L31" i="4"/>
  <c r="L32" i="4" s="1"/>
  <c r="J31" i="4"/>
  <c r="J32" i="4" s="1"/>
  <c r="H31" i="4"/>
  <c r="F31" i="4"/>
  <c r="F32" i="4" s="1"/>
  <c r="L27" i="4"/>
  <c r="J26" i="4"/>
  <c r="F26" i="4"/>
  <c r="H23" i="4"/>
  <c r="E133" i="4"/>
  <c r="E134" i="4" s="1"/>
  <c r="G133" i="4"/>
  <c r="G134" i="4" s="1"/>
  <c r="F97" i="4"/>
  <c r="L6" i="4"/>
  <c r="H97" i="4"/>
  <c r="H98" i="4"/>
  <c r="H99" i="4" s="1"/>
  <c r="H103" i="4"/>
  <c r="F103" i="4"/>
  <c r="F98" i="4"/>
  <c r="H32" i="4" l="1"/>
  <c r="F59" i="4"/>
  <c r="J61" i="4"/>
  <c r="N32" i="4"/>
  <c r="N26" i="4"/>
  <c r="N13" i="4"/>
  <c r="N7" i="4"/>
  <c r="L26" i="4"/>
  <c r="N62" i="4"/>
  <c r="L68" i="4"/>
  <c r="F77" i="4"/>
  <c r="F102" i="4"/>
  <c r="F104" i="4" s="1"/>
  <c r="H102" i="4"/>
  <c r="H104" i="4" s="1"/>
  <c r="F61" i="4"/>
  <c r="F63" i="4" s="1"/>
  <c r="H77" i="4"/>
  <c r="H84" i="4"/>
  <c r="H86" i="4" s="1"/>
  <c r="J80" i="4"/>
  <c r="L62" i="4"/>
  <c r="H66" i="4"/>
  <c r="H68" i="4" s="1"/>
  <c r="H59" i="4"/>
  <c r="J64" i="4"/>
  <c r="J65" i="4" s="1"/>
  <c r="J34" i="4"/>
  <c r="F99" i="4"/>
  <c r="J27" i="4"/>
  <c r="P32" i="4"/>
  <c r="F27" i="4"/>
  <c r="F34" i="4"/>
  <c r="P26" i="4"/>
  <c r="H95" i="4"/>
  <c r="J97" i="4"/>
  <c r="F95" i="4"/>
  <c r="F88" i="4" l="1"/>
  <c r="H34" i="4"/>
  <c r="E35" i="4" s="1"/>
  <c r="H88" i="4"/>
  <c r="E89" i="4" s="1"/>
  <c r="J62" i="4"/>
  <c r="J63" i="4" s="1"/>
  <c r="F70" i="4"/>
  <c r="L34" i="4"/>
  <c r="I35" i="4" s="1"/>
  <c r="J98" i="4"/>
  <c r="F106" i="4"/>
  <c r="H70" i="4" l="1"/>
  <c r="E71" i="4" s="1"/>
  <c r="H106" i="4"/>
  <c r="E107" i="4" s="1"/>
  <c r="F7" i="4" l="1"/>
  <c r="H12" i="4"/>
  <c r="H13" i="4" s="1"/>
  <c r="F12" i="4"/>
  <c r="F13" i="4" s="1"/>
  <c r="F6" i="4"/>
  <c r="J12" i="4"/>
  <c r="J13" i="4" s="1"/>
  <c r="F15" i="4" l="1"/>
  <c r="J7" i="4"/>
  <c r="L12" i="4"/>
  <c r="L13" i="4" s="1"/>
  <c r="F8" i="4" l="1"/>
  <c r="J15" i="4"/>
  <c r="E136" i="4"/>
  <c r="G136" i="4" l="1"/>
  <c r="D137" i="4" s="1"/>
  <c r="H117" i="4"/>
  <c r="H4" i="4"/>
  <c r="H43" i="4" l="1"/>
  <c r="H114" i="4" l="1"/>
  <c r="P13" i="4" l="1"/>
  <c r="P7" i="4"/>
  <c r="F114" i="4" l="1"/>
  <c r="H49" i="4"/>
  <c r="F49" i="4"/>
  <c r="G119" i="4" l="1"/>
  <c r="E120" i="4" s="1"/>
  <c r="F44" i="4" l="1"/>
  <c r="H44" i="4"/>
  <c r="N44" i="4" l="1"/>
  <c r="L44" i="4"/>
  <c r="F48" i="4"/>
  <c r="F50" i="4" s="1"/>
  <c r="F43" i="4"/>
  <c r="F45" i="4" s="1"/>
  <c r="N50" i="4"/>
  <c r="L50" i="4"/>
  <c r="J43" i="4"/>
  <c r="F41" i="4"/>
  <c r="H41" i="4"/>
  <c r="J46" i="4"/>
  <c r="J47" i="4" s="1"/>
  <c r="H48" i="4"/>
  <c r="H50" i="4" s="1"/>
  <c r="F52" i="4" l="1"/>
  <c r="J44" i="4"/>
  <c r="J45" i="4" s="1"/>
  <c r="L7" i="4" l="1"/>
  <c r="L15" i="4" s="1"/>
  <c r="I16" i="4" s="1"/>
  <c r="H52" i="4"/>
  <c r="E53" i="4" s="1"/>
  <c r="J8" i="4" l="1"/>
  <c r="H15" i="4"/>
  <c r="E16" i="4" s="1"/>
</calcChain>
</file>

<file path=xl/sharedStrings.xml><?xml version="1.0" encoding="utf-8"?>
<sst xmlns="http://schemas.openxmlformats.org/spreadsheetml/2006/main" count="384" uniqueCount="108">
  <si>
    <t>n pairs</t>
  </si>
  <si>
    <t>Mean group 1</t>
  </si>
  <si>
    <t>Mean group 2</t>
  </si>
  <si>
    <t>SD group 1</t>
  </si>
  <si>
    <t>SD group 2</t>
  </si>
  <si>
    <t>r</t>
  </si>
  <si>
    <t>n group 1</t>
  </si>
  <si>
    <t>n group 2</t>
  </si>
  <si>
    <r>
      <t>Cohen's d</t>
    </r>
    <r>
      <rPr>
        <b/>
        <vertAlign val="subscript"/>
        <sz val="11"/>
        <rFont val="Calibri"/>
        <family val="2"/>
        <scheme val="minor"/>
      </rPr>
      <t>s</t>
    </r>
  </si>
  <si>
    <r>
      <t>Cohen's d</t>
    </r>
    <r>
      <rPr>
        <b/>
        <vertAlign val="subscript"/>
        <sz val="11"/>
        <rFont val="Calibri"/>
        <family val="2"/>
        <scheme val="minor"/>
      </rPr>
      <t>z</t>
    </r>
  </si>
  <si>
    <r>
      <t>Hedges's g</t>
    </r>
    <r>
      <rPr>
        <b/>
        <vertAlign val="subscript"/>
        <sz val="11"/>
        <rFont val="Calibri"/>
        <family val="2"/>
        <scheme val="minor"/>
      </rPr>
      <t>s</t>
    </r>
  </si>
  <si>
    <r>
      <t>Cohen's d</t>
    </r>
    <r>
      <rPr>
        <b/>
        <vertAlign val="subscript"/>
        <sz val="11"/>
        <rFont val="Calibri"/>
        <family val="2"/>
        <scheme val="minor"/>
      </rPr>
      <t>av</t>
    </r>
  </si>
  <si>
    <t>Mean 1</t>
  </si>
  <si>
    <t>Mean 2</t>
  </si>
  <si>
    <t>SD 1</t>
  </si>
  <si>
    <t>SD 2</t>
  </si>
  <si>
    <r>
      <t>Hedges g</t>
    </r>
    <r>
      <rPr>
        <b/>
        <vertAlign val="subscript"/>
        <sz val="11"/>
        <rFont val="Calibri"/>
        <family val="2"/>
      </rPr>
      <t>av</t>
    </r>
  </si>
  <si>
    <r>
      <t>M</t>
    </r>
    <r>
      <rPr>
        <b/>
        <vertAlign val="subscript"/>
        <sz val="11"/>
        <rFont val="Calibri"/>
        <family val="2"/>
        <scheme val="minor"/>
      </rPr>
      <t>diff</t>
    </r>
  </si>
  <si>
    <r>
      <t>SE</t>
    </r>
    <r>
      <rPr>
        <b/>
        <vertAlign val="subscript"/>
        <sz val="11"/>
        <rFont val="Calibri"/>
        <family val="2"/>
        <scheme val="minor"/>
      </rPr>
      <t>diff</t>
    </r>
  </si>
  <si>
    <t>t</t>
  </si>
  <si>
    <t>p</t>
  </si>
  <si>
    <t>df</t>
  </si>
  <si>
    <r>
      <t>Cohen's d</t>
    </r>
    <r>
      <rPr>
        <b/>
        <vertAlign val="subscript"/>
        <sz val="11"/>
        <rFont val="Calibri"/>
        <family val="2"/>
        <scheme val="minor"/>
      </rPr>
      <t>rm</t>
    </r>
  </si>
  <si>
    <r>
      <t>Hedges g</t>
    </r>
    <r>
      <rPr>
        <b/>
        <vertAlign val="subscript"/>
        <sz val="11"/>
        <rFont val="Calibri"/>
        <family val="2"/>
        <scheme val="minor"/>
      </rPr>
      <t>rm</t>
    </r>
  </si>
  <si>
    <t>low equivalence bound 
(Cohen's d)</t>
  </si>
  <si>
    <t>high equivalence bound 
(Cohen's d)</t>
  </si>
  <si>
    <t>One-Sided Test 1</t>
  </si>
  <si>
    <t>One-Sided Test 2</t>
  </si>
  <si>
    <t>Effect Size</t>
  </si>
  <si>
    <r>
      <t xml:space="preserve">NHST two-sided </t>
    </r>
    <r>
      <rPr>
        <b/>
        <i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 xml:space="preserve">-test </t>
    </r>
  </si>
  <si>
    <t xml:space="preserve">TOST Equivalence Test </t>
  </si>
  <si>
    <t>TOST result</t>
  </si>
  <si>
    <t>Desired Power</t>
  </si>
  <si>
    <t>high equivalence bound (Cohen's d)</t>
  </si>
  <si>
    <t>low equivalence bound (Cohen's d)</t>
  </si>
  <si>
    <t>Required Sample Size
(in each condition)</t>
  </si>
  <si>
    <t>alpha (Type 1 error rate)</t>
  </si>
  <si>
    <t>TOST Power Analysis</t>
  </si>
  <si>
    <t>low equivalence bound 
(Cohen's dz)</t>
  </si>
  <si>
    <t>high equivalence bound 
(Cohen's dz)</t>
  </si>
  <si>
    <t>M, SD, SE</t>
  </si>
  <si>
    <t>low equivalence bound (Cohen's dz)</t>
  </si>
  <si>
    <t>high equivalence bound (Cohen's dz)</t>
  </si>
  <si>
    <t>Correlation</t>
  </si>
  <si>
    <t xml:space="preserve">low equivalence bound 
(r) </t>
  </si>
  <si>
    <r>
      <t xml:space="preserve">NHST two-sided </t>
    </r>
    <r>
      <rPr>
        <b/>
        <i/>
        <sz val="11"/>
        <rFont val="Calibri"/>
        <family val="2"/>
        <scheme val="minor"/>
      </rPr>
      <t>p</t>
    </r>
    <r>
      <rPr>
        <b/>
        <sz val="11"/>
        <rFont val="Calibri"/>
        <family val="2"/>
        <scheme val="minor"/>
      </rPr>
      <t xml:space="preserve">-value </t>
    </r>
  </si>
  <si>
    <t>Cohen's d</t>
  </si>
  <si>
    <t>low equivalence bound (r)</t>
  </si>
  <si>
    <t>high equivalence bound (r)</t>
  </si>
  <si>
    <t xml:space="preserve">high equivalence bound 
(r) </t>
  </si>
  <si>
    <t>SDpooled</t>
  </si>
  <si>
    <t>low equivalence bound 
(raw)</t>
  </si>
  <si>
    <t>high equivalence bound 
(raw)</t>
  </si>
  <si>
    <r>
      <t>SD</t>
    </r>
    <r>
      <rPr>
        <b/>
        <vertAlign val="subscript"/>
        <sz val="11"/>
        <rFont val="Calibri"/>
        <family val="2"/>
        <scheme val="minor"/>
      </rPr>
      <t>diff</t>
    </r>
  </si>
  <si>
    <t>Required Sample Size
(pairs)</t>
  </si>
  <si>
    <t>90% CI Mdiff [Lower]</t>
  </si>
  <si>
    <t>90% CI Mdiff [Upper]</t>
  </si>
  <si>
    <t>N</t>
  </si>
  <si>
    <t>Equivalence test for meta-analysis</t>
  </si>
  <si>
    <t>Cohen's d or Hedges' g</t>
  </si>
  <si>
    <t>Enter Variance or Standard error</t>
  </si>
  <si>
    <t>Variance</t>
  </si>
  <si>
    <t>Standard Error</t>
  </si>
  <si>
    <t>Z</t>
  </si>
  <si>
    <t>Convert raw equivalence bounds to Cohen's dz equivalence bounds
(first fill in M, SD, and N on the left!)</t>
  </si>
  <si>
    <t>lower equivalence bound (Cohen's dz)</t>
  </si>
  <si>
    <t>upper equivalence bound (Cohen's dz)</t>
  </si>
  <si>
    <t>Convert Cohen's dz equivalence bounds to raw equivalence bounds
(first fill in M, SD, and N on the left!)</t>
  </si>
  <si>
    <t>TOST Equivalence Test Equal Variances Assumed</t>
  </si>
  <si>
    <t>TOST Equivalence Test Equal Variances Not Assumed</t>
  </si>
  <si>
    <r>
      <t xml:space="preserve">NHST Student's two-sided </t>
    </r>
    <r>
      <rPr>
        <b/>
        <i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 xml:space="preserve">-test </t>
    </r>
  </si>
  <si>
    <r>
      <t xml:space="preserve">NHST Welch's two-sided </t>
    </r>
    <r>
      <rPr>
        <b/>
        <i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 xml:space="preserve">-test </t>
    </r>
  </si>
  <si>
    <r>
      <rPr>
        <b/>
        <sz val="11"/>
        <rFont val="Calibri"/>
        <family val="2"/>
      </rPr>
      <t>μ</t>
    </r>
    <r>
      <rPr>
        <b/>
        <sz val="11"/>
        <rFont val="Calibri"/>
        <family val="2"/>
        <scheme val="minor"/>
      </rPr>
      <t xml:space="preserve"> (Value to test against)</t>
    </r>
  </si>
  <si>
    <t xml:space="preserve">n </t>
  </si>
  <si>
    <t>lower equivalence bound (Cohen's d)</t>
  </si>
  <si>
    <t>upper equivalence bound (Cohen's d)</t>
  </si>
  <si>
    <t xml:space="preserve">SD </t>
  </si>
  <si>
    <t>Mean</t>
  </si>
  <si>
    <t>Independent Samples (equivalence bounds based on Cohen's d)</t>
  </si>
  <si>
    <t>Independent Samples (equivalence bounds based on raw scores)</t>
  </si>
  <si>
    <t>low equivalence bound 
(raw scores)</t>
  </si>
  <si>
    <t>high equivalence bound 
(raw scores)</t>
  </si>
  <si>
    <t>pooled SD</t>
  </si>
  <si>
    <t>low equivalence bound (raw scores)</t>
  </si>
  <si>
    <t>high equivalence bound (raw scores)</t>
  </si>
  <si>
    <t>One Sample (equivalence bounds based on Cohen's d)</t>
  </si>
  <si>
    <t>Dependent Samples (equivalence bounds based on Cohen's dz)</t>
  </si>
  <si>
    <t>Dependent Samples (equivalence bounds based on raw scores)</t>
  </si>
  <si>
    <t>lower equivalence bound (raw scores)</t>
  </si>
  <si>
    <t>upper equivalence bound raw scores)</t>
  </si>
  <si>
    <t>ε (assumed true difference in raw scores). 
Default is 0)</t>
  </si>
  <si>
    <t>One Sample (equivalence bounds based on raw scores)</t>
  </si>
  <si>
    <t>upper equivalence bound (raw scores)</t>
  </si>
  <si>
    <t>Hedges g</t>
  </si>
  <si>
    <t>Convert Cohen's d equivalence bounds to raw equivalence bounds (first fill in M, SD, and N on the left!)</t>
  </si>
  <si>
    <t>Convert raw equivalence bounds to Cohen's d equivalence bounds (first fill in M, SD, and N on the left!)</t>
  </si>
  <si>
    <t>Equivalence Test for Proportions</t>
  </si>
  <si>
    <t>Proportion group 2</t>
  </si>
  <si>
    <t>Proportion group 1</t>
  </si>
  <si>
    <t>low equivalence bound</t>
  </si>
  <si>
    <t xml:space="preserve">high equivalence bound </t>
  </si>
  <si>
    <t>Fishers exact z-test</t>
  </si>
  <si>
    <t>TOST Equivalence Fishers exact z-test</t>
  </si>
  <si>
    <t>SE</t>
  </si>
  <si>
    <t>Difference</t>
  </si>
  <si>
    <t>high equivalence bound</t>
  </si>
  <si>
    <t>Required Sample Size
(number of observations)</t>
  </si>
  <si>
    <r>
      <t>Spreadsheet to perform TOST equivalence tests. Green fields are required input, grey fields are output.
You can cite this spreadsheet and paper as: Lakens, D. (2017). Equivalence Tests: A Practical Primer for t Tests, Correlations, and Meta-Analyses.</t>
    </r>
    <r>
      <rPr>
        <b/>
        <i/>
        <sz val="11"/>
        <color theme="0"/>
        <rFont val="Calibri"/>
        <family val="2"/>
        <scheme val="minor"/>
      </rPr>
      <t xml:space="preserve"> Social Psychological and Personality Science</t>
    </r>
    <r>
      <rPr>
        <b/>
        <sz val="11"/>
        <color theme="0"/>
        <rFont val="Calibri"/>
        <family val="2"/>
        <scheme val="minor"/>
      </rPr>
      <t>,</t>
    </r>
    <r>
      <rPr>
        <b/>
        <i/>
        <sz val="11"/>
        <color theme="0"/>
        <rFont val="Calibri"/>
        <family val="2"/>
        <scheme val="minor"/>
      </rPr>
      <t xml:space="preserve"> 8(4)</t>
    </r>
    <r>
      <rPr>
        <b/>
        <sz val="11"/>
        <color theme="0"/>
        <rFont val="Calibri"/>
        <family val="2"/>
        <scheme val="minor"/>
      </rPr>
      <t>, 355–362. https://doi.org/10.1177/1948550617697177
For a tutorial paper with examples of equivalence tests, see Lakens, D., Scheel, A. M., &amp; Isager, P. M. (in press). Equivalence Testing for Psychological Research: A Tutorial. Advances in Methods and Practices in Psychological Science. https://psyarxiv.com/v3zkt/.
Version 0.4.6 (matches TOSTER 3.3). For comments, contact me at D.Lakens@tue.nl. For updates, check: https://osf.io/q253c/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</si>
</sst>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vertAlign val="subscript"/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rgb="FF3F3F3F"/>
      </bottom>
      <diagonal/>
    </border>
    <border>
      <left/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rgb="FF3F3F3F"/>
      </right>
      <top style="medium">
        <color indexed="64"/>
      </top>
      <bottom style="thin">
        <color rgb="FF3F3F3F"/>
      </bottom>
      <diagonal/>
    </border>
    <border>
      <left/>
      <right style="medium">
        <color indexed="64"/>
      </right>
      <top style="medium">
        <color indexed="64"/>
      </top>
      <bottom style="thin">
        <color rgb="FF3F3F3F"/>
      </bottom>
      <diagonal/>
    </border>
    <border>
      <left/>
      <right style="medium">
        <color indexed="64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  <xf numFmtId="0" fontId="10" fillId="0" borderId="0"/>
    <xf numFmtId="0" fontId="12" fillId="4" borderId="1" applyNumberFormat="0" applyAlignment="0" applyProtection="0"/>
    <xf numFmtId="0" fontId="17" fillId="7" borderId="0" applyNumberFormat="0" applyBorder="0" applyAlignment="0" applyProtection="0"/>
  </cellStyleXfs>
  <cellXfs count="212">
    <xf numFmtId="0" fontId="0" fillId="0" borderId="0" xfId="0"/>
    <xf numFmtId="0" fontId="5" fillId="2" borderId="7" xfId="1" applyFont="1" applyBorder="1" applyAlignment="1">
      <alignment horizontal="right"/>
    </xf>
    <xf numFmtId="0" fontId="6" fillId="2" borderId="4" xfId="1" applyFont="1" applyBorder="1" applyAlignment="1">
      <alignment horizontal="right"/>
    </xf>
    <xf numFmtId="0" fontId="5" fillId="4" borderId="4" xfId="3" applyFont="1" applyBorder="1"/>
    <xf numFmtId="0" fontId="0" fillId="0" borderId="0" xfId="0"/>
    <xf numFmtId="0" fontId="10" fillId="0" borderId="0" xfId="5"/>
    <xf numFmtId="2" fontId="5" fillId="4" borderId="4" xfId="3" applyNumberFormat="1" applyFont="1" applyBorder="1"/>
    <xf numFmtId="164" fontId="5" fillId="4" borderId="4" xfId="3" applyNumberFormat="1" applyFont="1" applyBorder="1"/>
    <xf numFmtId="0" fontId="14" fillId="0" borderId="0" xfId="0" applyFont="1" applyAlignment="1">
      <alignment vertical="center"/>
    </xf>
    <xf numFmtId="0" fontId="10" fillId="0" borderId="0" xfId="5" applyAlignment="1"/>
    <xf numFmtId="0" fontId="5" fillId="6" borderId="8" xfId="2" applyFont="1" applyFill="1" applyBorder="1" applyAlignment="1">
      <alignment horizontal="center"/>
    </xf>
    <xf numFmtId="0" fontId="5" fillId="2" borderId="5" xfId="1" applyFont="1" applyBorder="1" applyAlignment="1">
      <alignment horizontal="right"/>
    </xf>
    <xf numFmtId="2" fontId="5" fillId="4" borderId="22" xfId="3" applyNumberFormat="1" applyFont="1" applyBorder="1"/>
    <xf numFmtId="164" fontId="5" fillId="4" borderId="22" xfId="3" applyNumberFormat="1" applyFont="1" applyBorder="1"/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0" fillId="0" borderId="25" xfId="0" applyBorder="1"/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0" fillId="0" borderId="33" xfId="0" applyBorder="1"/>
    <xf numFmtId="164" fontId="5" fillId="4" borderId="34" xfId="3" applyNumberFormat="1" applyFont="1" applyBorder="1"/>
    <xf numFmtId="164" fontId="5" fillId="4" borderId="35" xfId="3" applyNumberFormat="1" applyFont="1" applyBorder="1"/>
    <xf numFmtId="0" fontId="0" fillId="0" borderId="38" xfId="0" applyBorder="1"/>
    <xf numFmtId="0" fontId="5" fillId="4" borderId="22" xfId="3" applyFont="1" applyBorder="1"/>
    <xf numFmtId="0" fontId="10" fillId="0" borderId="0" xfId="5" applyBorder="1" applyAlignment="1"/>
    <xf numFmtId="0" fontId="10" fillId="0" borderId="33" xfId="5" applyBorder="1" applyAlignment="1"/>
    <xf numFmtId="0" fontId="10" fillId="0" borderId="25" xfId="5" applyBorder="1" applyAlignment="1"/>
    <xf numFmtId="0" fontId="10" fillId="0" borderId="38" xfId="5" applyBorder="1" applyAlignment="1"/>
    <xf numFmtId="0" fontId="5" fillId="6" borderId="22" xfId="2" applyFont="1" applyFill="1" applyBorder="1" applyAlignment="1">
      <alignment horizontal="center"/>
    </xf>
    <xf numFmtId="164" fontId="5" fillId="4" borderId="10" xfId="3" applyNumberFormat="1" applyFont="1" applyBorder="1"/>
    <xf numFmtId="0" fontId="5" fillId="6" borderId="22" xfId="2" applyFont="1" applyFill="1" applyBorder="1" applyAlignment="1">
      <alignment horizontal="center"/>
    </xf>
    <xf numFmtId="0" fontId="10" fillId="0" borderId="23" xfId="5" applyBorder="1" applyAlignment="1"/>
    <xf numFmtId="0" fontId="0" fillId="0" borderId="0" xfId="0" applyAlignment="1"/>
    <xf numFmtId="0" fontId="5" fillId="6" borderId="22" xfId="2" applyFont="1" applyFill="1" applyBorder="1" applyAlignment="1">
      <alignment horizontal="center"/>
    </xf>
    <xf numFmtId="0" fontId="5" fillId="2" borderId="18" xfId="1" applyFont="1" applyBorder="1" applyAlignment="1">
      <alignment horizontal="right"/>
    </xf>
    <xf numFmtId="0" fontId="5" fillId="2" borderId="4" xfId="1" applyFont="1" applyBorder="1" applyAlignment="1">
      <alignment horizontal="right"/>
    </xf>
    <xf numFmtId="0" fontId="5" fillId="6" borderId="22" xfId="2" applyFont="1" applyFill="1" applyBorder="1" applyAlignment="1">
      <alignment horizontal="center"/>
    </xf>
    <xf numFmtId="0" fontId="5" fillId="6" borderId="27" xfId="2" applyFont="1" applyFill="1" applyBorder="1" applyAlignment="1">
      <alignment horizontal="center"/>
    </xf>
    <xf numFmtId="0" fontId="5" fillId="6" borderId="4" xfId="2" applyFont="1" applyFill="1" applyBorder="1" applyAlignment="1">
      <alignment horizontal="center"/>
    </xf>
    <xf numFmtId="0" fontId="5" fillId="6" borderId="5" xfId="2" applyFont="1" applyFill="1" applyBorder="1" applyAlignment="1">
      <alignment horizontal="center"/>
    </xf>
    <xf numFmtId="0" fontId="5" fillId="6" borderId="4" xfId="2" applyFont="1" applyFill="1" applyBorder="1" applyAlignment="1">
      <alignment horizontal="center"/>
    </xf>
    <xf numFmtId="0" fontId="5" fillId="6" borderId="22" xfId="2" applyFont="1" applyFill="1" applyBorder="1" applyAlignment="1">
      <alignment horizontal="center"/>
    </xf>
    <xf numFmtId="0" fontId="6" fillId="2" borderId="18" xfId="1" applyFont="1" applyBorder="1" applyAlignment="1">
      <alignment horizontal="right"/>
    </xf>
    <xf numFmtId="0" fontId="5" fillId="2" borderId="46" xfId="1" applyFont="1" applyBorder="1" applyAlignment="1">
      <alignment horizontal="right" wrapText="1"/>
    </xf>
    <xf numFmtId="164" fontId="5" fillId="4" borderId="47" xfId="3" applyNumberFormat="1" applyFont="1" applyBorder="1"/>
    <xf numFmtId="0" fontId="5" fillId="2" borderId="47" xfId="1" applyFont="1" applyBorder="1" applyAlignment="1">
      <alignment horizontal="right" wrapText="1"/>
    </xf>
    <xf numFmtId="164" fontId="5" fillId="4" borderId="48" xfId="3" applyNumberFormat="1" applyFont="1" applyBorder="1"/>
    <xf numFmtId="0" fontId="6" fillId="2" borderId="41" xfId="1" applyFont="1" applyBorder="1" applyAlignment="1">
      <alignment horizontal="right"/>
    </xf>
    <xf numFmtId="164" fontId="5" fillId="4" borderId="26" xfId="3" applyNumberFormat="1" applyFont="1" applyBorder="1"/>
    <xf numFmtId="0" fontId="5" fillId="2" borderId="46" xfId="1" applyFont="1" applyBorder="1" applyAlignment="1">
      <alignment horizontal="right"/>
    </xf>
    <xf numFmtId="0" fontId="5" fillId="6" borderId="47" xfId="2" applyFont="1" applyFill="1" applyBorder="1" applyAlignment="1">
      <alignment horizontal="center"/>
    </xf>
    <xf numFmtId="0" fontId="5" fillId="2" borderId="47" xfId="1" applyFont="1" applyBorder="1" applyAlignment="1">
      <alignment horizontal="right"/>
    </xf>
    <xf numFmtId="0" fontId="5" fillId="6" borderId="48" xfId="2" applyFont="1" applyFill="1" applyBorder="1" applyAlignment="1">
      <alignment horizontal="center"/>
    </xf>
    <xf numFmtId="0" fontId="5" fillId="2" borderId="26" xfId="1" applyFont="1" applyBorder="1" applyAlignment="1">
      <alignment horizontal="right"/>
    </xf>
    <xf numFmtId="164" fontId="5" fillId="4" borderId="27" xfId="3" applyNumberFormat="1" applyFont="1" applyBorder="1"/>
    <xf numFmtId="0" fontId="5" fillId="6" borderId="49" xfId="2" applyFont="1" applyFill="1" applyBorder="1" applyAlignment="1">
      <alignment horizontal="center"/>
    </xf>
    <xf numFmtId="0" fontId="5" fillId="2" borderId="6" xfId="1" applyFont="1" applyBorder="1" applyAlignment="1">
      <alignment horizontal="right"/>
    </xf>
    <xf numFmtId="164" fontId="5" fillId="4" borderId="51" xfId="3" applyNumberFormat="1" applyFont="1" applyBorder="1"/>
    <xf numFmtId="164" fontId="5" fillId="4" borderId="52" xfId="3" applyNumberFormat="1" applyFont="1" applyBorder="1"/>
    <xf numFmtId="164" fontId="5" fillId="4" borderId="53" xfId="3" applyNumberFormat="1" applyFont="1" applyBorder="1"/>
    <xf numFmtId="164" fontId="5" fillId="4" borderId="54" xfId="3" applyNumberFormat="1" applyFont="1" applyBorder="1"/>
    <xf numFmtId="0" fontId="7" fillId="2" borderId="41" xfId="1" applyFont="1" applyBorder="1" applyAlignment="1">
      <alignment horizontal="right"/>
    </xf>
    <xf numFmtId="164" fontId="5" fillId="4" borderId="55" xfId="3" applyNumberFormat="1" applyFont="1" applyBorder="1"/>
    <xf numFmtId="0" fontId="7" fillId="2" borderId="29" xfId="1" applyFont="1" applyBorder="1" applyAlignment="1">
      <alignment horizontal="right"/>
    </xf>
    <xf numFmtId="0" fontId="5" fillId="2" borderId="41" xfId="1" applyFont="1" applyBorder="1" applyAlignment="1">
      <alignment horizontal="right"/>
    </xf>
    <xf numFmtId="0" fontId="5" fillId="2" borderId="29" xfId="1" applyFont="1" applyBorder="1" applyAlignment="1">
      <alignment horizontal="right"/>
    </xf>
    <xf numFmtId="0" fontId="6" fillId="2" borderId="29" xfId="1" applyFont="1" applyBorder="1" applyAlignment="1">
      <alignment horizontal="right"/>
    </xf>
    <xf numFmtId="0" fontId="6" fillId="2" borderId="26" xfId="1" applyFont="1" applyBorder="1" applyAlignment="1">
      <alignment horizontal="right"/>
    </xf>
    <xf numFmtId="0" fontId="5" fillId="2" borderId="46" xfId="1" applyFont="1" applyBorder="1" applyAlignment="1">
      <alignment horizontal="right"/>
    </xf>
    <xf numFmtId="0" fontId="5" fillId="2" borderId="47" xfId="1" applyFont="1" applyBorder="1" applyAlignment="1">
      <alignment horizontal="right"/>
    </xf>
    <xf numFmtId="0" fontId="5" fillId="6" borderId="4" xfId="2" applyFont="1" applyFill="1" applyBorder="1" applyAlignment="1">
      <alignment horizontal="center"/>
    </xf>
    <xf numFmtId="0" fontId="5" fillId="6" borderId="22" xfId="2" applyFont="1" applyFill="1" applyBorder="1" applyAlignment="1">
      <alignment horizontal="center"/>
    </xf>
    <xf numFmtId="0" fontId="5" fillId="2" borderId="4" xfId="1" applyFont="1" applyBorder="1" applyAlignment="1">
      <alignment horizontal="center" wrapText="1"/>
    </xf>
    <xf numFmtId="0" fontId="5" fillId="6" borderId="4" xfId="2" applyFont="1" applyFill="1" applyBorder="1" applyAlignment="1">
      <alignment horizontal="center"/>
    </xf>
    <xf numFmtId="0" fontId="5" fillId="2" borderId="4" xfId="1" applyFont="1" applyBorder="1" applyAlignment="1">
      <alignment horizontal="right" wrapText="1"/>
    </xf>
    <xf numFmtId="0" fontId="5" fillId="4" borderId="58" xfId="6" applyFont="1" applyBorder="1"/>
    <xf numFmtId="0" fontId="0" fillId="0" borderId="61" xfId="0" applyBorder="1"/>
    <xf numFmtId="0" fontId="0" fillId="0" borderId="12" xfId="0" applyBorder="1"/>
    <xf numFmtId="0" fontId="5" fillId="4" borderId="63" xfId="6" applyFont="1" applyBorder="1"/>
    <xf numFmtId="0" fontId="5" fillId="6" borderId="22" xfId="2" applyFont="1" applyFill="1" applyBorder="1" applyAlignment="1">
      <alignment horizontal="center"/>
    </xf>
    <xf numFmtId="0" fontId="5" fillId="2" borderId="6" xfId="1" applyFont="1" applyBorder="1" applyAlignment="1">
      <alignment horizontal="center" wrapText="1"/>
    </xf>
    <xf numFmtId="0" fontId="5" fillId="6" borderId="4" xfId="2" applyFont="1" applyFill="1" applyBorder="1" applyAlignment="1">
      <alignment horizontal="center"/>
    </xf>
    <xf numFmtId="0" fontId="5" fillId="6" borderId="26" xfId="2" applyFont="1" applyFill="1" applyBorder="1" applyAlignment="1">
      <alignment horizontal="center"/>
    </xf>
    <xf numFmtId="0" fontId="5" fillId="6" borderId="22" xfId="2" applyFont="1" applyFill="1" applyBorder="1" applyAlignment="1">
      <alignment horizontal="center"/>
    </xf>
    <xf numFmtId="0" fontId="5" fillId="6" borderId="27" xfId="2" applyFont="1" applyFill="1" applyBorder="1" applyAlignment="1">
      <alignment horizontal="center"/>
    </xf>
    <xf numFmtId="0" fontId="7" fillId="2" borderId="18" xfId="1" applyFont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5" fillId="6" borderId="22" xfId="2" applyFont="1" applyFill="1" applyBorder="1" applyAlignment="1">
      <alignment horizontal="center" vertical="center"/>
    </xf>
    <xf numFmtId="0" fontId="5" fillId="5" borderId="18" xfId="4" applyFont="1" applyBorder="1" applyAlignment="1">
      <alignment horizontal="center"/>
    </xf>
    <xf numFmtId="0" fontId="5" fillId="5" borderId="4" xfId="4" applyFont="1" applyBorder="1" applyAlignment="1">
      <alignment horizontal="center"/>
    </xf>
    <xf numFmtId="0" fontId="5" fillId="5" borderId="22" xfId="4" applyFont="1" applyBorder="1" applyAlignment="1">
      <alignment horizontal="center"/>
    </xf>
    <xf numFmtId="0" fontId="5" fillId="2" borderId="18" xfId="1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5" fillId="2" borderId="18" xfId="1" applyFont="1" applyBorder="1" applyAlignment="1">
      <alignment horizontal="center" wrapText="1"/>
    </xf>
    <xf numFmtId="0" fontId="5" fillId="2" borderId="4" xfId="1" applyFont="1" applyBorder="1" applyAlignment="1">
      <alignment horizontal="center" wrapText="1"/>
    </xf>
    <xf numFmtId="0" fontId="5" fillId="5" borderId="46" xfId="4" applyFont="1" applyBorder="1" applyAlignment="1">
      <alignment horizontal="center"/>
    </xf>
    <xf numFmtId="0" fontId="5" fillId="5" borderId="48" xfId="4" applyFont="1" applyBorder="1" applyAlignment="1">
      <alignment horizontal="center"/>
    </xf>
    <xf numFmtId="0" fontId="5" fillId="2" borderId="41" xfId="1" applyFont="1" applyBorder="1" applyAlignment="1">
      <alignment horizontal="center" wrapText="1"/>
    </xf>
    <xf numFmtId="0" fontId="5" fillId="2" borderId="26" xfId="1" applyFont="1" applyBorder="1" applyAlignment="1">
      <alignment horizontal="center" wrapText="1"/>
    </xf>
    <xf numFmtId="0" fontId="11" fillId="5" borderId="16" xfId="4" applyFont="1" applyBorder="1" applyAlignment="1">
      <alignment horizontal="center"/>
    </xf>
    <xf numFmtId="0" fontId="12" fillId="5" borderId="12" xfId="4" applyFont="1" applyBorder="1" applyAlignment="1">
      <alignment horizontal="center"/>
    </xf>
    <xf numFmtId="0" fontId="12" fillId="5" borderId="17" xfId="4" applyFont="1" applyBorder="1" applyAlignment="1">
      <alignment horizontal="center"/>
    </xf>
    <xf numFmtId="0" fontId="5" fillId="5" borderId="47" xfId="4" applyFont="1" applyBorder="1" applyAlignment="1">
      <alignment horizontal="center"/>
    </xf>
    <xf numFmtId="0" fontId="13" fillId="5" borderId="13" xfId="4" applyFont="1" applyBorder="1" applyAlignment="1">
      <alignment horizontal="center" vertical="center"/>
    </xf>
    <xf numFmtId="0" fontId="13" fillId="5" borderId="14" xfId="4" applyFont="1" applyBorder="1" applyAlignment="1">
      <alignment horizontal="center" vertical="center"/>
    </xf>
    <xf numFmtId="0" fontId="13" fillId="5" borderId="50" xfId="4" applyFont="1" applyBorder="1" applyAlignment="1">
      <alignment horizontal="center" vertical="center"/>
    </xf>
    <xf numFmtId="0" fontId="5" fillId="2" borderId="29" xfId="1" applyFont="1" applyBorder="1" applyAlignment="1">
      <alignment horizontal="center" wrapText="1"/>
    </xf>
    <xf numFmtId="0" fontId="15" fillId="5" borderId="14" xfId="4" applyFont="1" applyBorder="1" applyAlignment="1">
      <alignment horizontal="center" vertical="center" wrapText="1"/>
    </xf>
    <xf numFmtId="0" fontId="5" fillId="5" borderId="14" xfId="4" applyFont="1" applyBorder="1" applyAlignment="1">
      <alignment horizontal="center" vertical="center"/>
    </xf>
    <xf numFmtId="0" fontId="5" fillId="5" borderId="15" xfId="4" applyFont="1" applyBorder="1" applyAlignment="1">
      <alignment horizontal="center" vertical="center"/>
    </xf>
    <xf numFmtId="0" fontId="5" fillId="5" borderId="12" xfId="4" applyFont="1" applyBorder="1" applyAlignment="1">
      <alignment horizontal="center" vertical="center"/>
    </xf>
    <xf numFmtId="0" fontId="5" fillId="5" borderId="17" xfId="4" applyFont="1" applyBorder="1" applyAlignment="1">
      <alignment horizontal="center" vertical="center"/>
    </xf>
    <xf numFmtId="0" fontId="5" fillId="4" borderId="28" xfId="6" applyFont="1" applyBorder="1" applyAlignment="1">
      <alignment horizontal="center"/>
    </xf>
    <xf numFmtId="0" fontId="5" fillId="4" borderId="1" xfId="6" applyFont="1" applyBorder="1" applyAlignment="1">
      <alignment horizontal="center"/>
    </xf>
    <xf numFmtId="0" fontId="5" fillId="2" borderId="37" xfId="1" applyFont="1" applyBorder="1" applyAlignment="1">
      <alignment horizontal="center" vertical="center" wrapText="1"/>
    </xf>
    <xf numFmtId="0" fontId="5" fillId="2" borderId="9" xfId="1" applyFont="1" applyBorder="1" applyAlignment="1">
      <alignment horizontal="center" vertical="center" wrapText="1"/>
    </xf>
    <xf numFmtId="0" fontId="5" fillId="2" borderId="24" xfId="1" applyFont="1" applyBorder="1" applyAlignment="1">
      <alignment horizontal="center" vertical="center" wrapText="1"/>
    </xf>
    <xf numFmtId="0" fontId="5" fillId="2" borderId="43" xfId="1" applyFont="1" applyBorder="1" applyAlignment="1">
      <alignment horizontal="center" vertical="center" wrapText="1"/>
    </xf>
    <xf numFmtId="1" fontId="5" fillId="4" borderId="42" xfId="3" applyNumberFormat="1" applyFont="1" applyBorder="1" applyAlignment="1">
      <alignment horizontal="center" vertical="center"/>
    </xf>
    <xf numFmtId="1" fontId="5" fillId="4" borderId="44" xfId="3" applyNumberFormat="1" applyFont="1" applyBorder="1" applyAlignment="1">
      <alignment horizontal="center" vertical="center"/>
    </xf>
    <xf numFmtId="0" fontId="5" fillId="5" borderId="49" xfId="4" applyFont="1" applyBorder="1" applyAlignment="1">
      <alignment horizontal="center"/>
    </xf>
    <xf numFmtId="0" fontId="5" fillId="5" borderId="39" xfId="4" applyFont="1" applyBorder="1" applyAlignment="1">
      <alignment horizontal="center"/>
    </xf>
    <xf numFmtId="0" fontId="5" fillId="5" borderId="32" xfId="4" applyFont="1" applyBorder="1" applyAlignment="1">
      <alignment horizontal="center"/>
    </xf>
    <xf numFmtId="0" fontId="5" fillId="4" borderId="18" xfId="6" applyFont="1" applyBorder="1" applyAlignment="1">
      <alignment horizontal="center" wrapText="1"/>
    </xf>
    <xf numFmtId="0" fontId="5" fillId="4" borderId="4" xfId="6" applyFont="1" applyBorder="1" applyAlignment="1">
      <alignment horizontal="center" wrapText="1"/>
    </xf>
    <xf numFmtId="0" fontId="5" fillId="4" borderId="22" xfId="6" applyFont="1" applyBorder="1" applyAlignment="1">
      <alignment horizontal="center" wrapText="1"/>
    </xf>
    <xf numFmtId="0" fontId="5" fillId="4" borderId="41" xfId="6" applyFont="1" applyBorder="1" applyAlignment="1">
      <alignment horizontal="center" wrapText="1"/>
    </xf>
    <xf numFmtId="0" fontId="5" fillId="4" borderId="26" xfId="6" applyFont="1" applyBorder="1" applyAlignment="1">
      <alignment horizontal="center" wrapText="1"/>
    </xf>
    <xf numFmtId="0" fontId="5" fillId="4" borderId="27" xfId="6" applyFont="1" applyBorder="1" applyAlignment="1">
      <alignment horizontal="center" wrapText="1"/>
    </xf>
    <xf numFmtId="0" fontId="5" fillId="6" borderId="7" xfId="2" applyFont="1" applyFill="1" applyBorder="1" applyAlignment="1">
      <alignment horizontal="center"/>
    </xf>
    <xf numFmtId="0" fontId="5" fillId="6" borderId="45" xfId="2" applyFont="1" applyFill="1" applyBorder="1" applyAlignment="1">
      <alignment horizontal="center"/>
    </xf>
    <xf numFmtId="0" fontId="15" fillId="5" borderId="37" xfId="4" applyFont="1" applyBorder="1" applyAlignment="1">
      <alignment horizontal="center" vertical="center" wrapText="1"/>
    </xf>
    <xf numFmtId="0" fontId="5" fillId="5" borderId="11" xfId="4" applyFont="1" applyBorder="1" applyAlignment="1">
      <alignment horizontal="center" vertical="center"/>
    </xf>
    <xf numFmtId="0" fontId="5" fillId="5" borderId="40" xfId="4" applyFont="1" applyBorder="1" applyAlignment="1">
      <alignment horizontal="center" vertical="center"/>
    </xf>
    <xf numFmtId="0" fontId="5" fillId="5" borderId="16" xfId="4" applyFont="1" applyBorder="1" applyAlignment="1">
      <alignment horizontal="center" vertical="center"/>
    </xf>
    <xf numFmtId="0" fontId="15" fillId="5" borderId="13" xfId="4" applyFont="1" applyBorder="1" applyAlignment="1">
      <alignment horizontal="center" vertical="center" wrapText="1"/>
    </xf>
    <xf numFmtId="0" fontId="5" fillId="2" borderId="18" xfId="1" applyFont="1" applyBorder="1" applyAlignment="1">
      <alignment horizontal="center" vertical="center" wrapText="1"/>
    </xf>
    <xf numFmtId="0" fontId="5" fillId="2" borderId="41" xfId="1" applyFont="1" applyBorder="1" applyAlignment="1">
      <alignment horizontal="center" vertical="center" wrapText="1"/>
    </xf>
    <xf numFmtId="0" fontId="5" fillId="6" borderId="42" xfId="2" applyFont="1" applyFill="1" applyBorder="1" applyAlignment="1">
      <alignment horizontal="center"/>
    </xf>
    <xf numFmtId="0" fontId="5" fillId="6" borderId="44" xfId="2" applyFont="1" applyFill="1" applyBorder="1" applyAlignment="1">
      <alignment horizontal="center"/>
    </xf>
    <xf numFmtId="0" fontId="5" fillId="2" borderId="18" xfId="1" applyFont="1" applyBorder="1" applyAlignment="1">
      <alignment horizontal="right" wrapText="1"/>
    </xf>
    <xf numFmtId="0" fontId="5" fillId="2" borderId="4" xfId="1" applyFont="1" applyBorder="1" applyAlignment="1">
      <alignment horizontal="right" wrapText="1"/>
    </xf>
    <xf numFmtId="0" fontId="5" fillId="2" borderId="41" xfId="1" applyFont="1" applyBorder="1" applyAlignment="1">
      <alignment horizontal="right" wrapText="1"/>
    </xf>
    <xf numFmtId="0" fontId="5" fillId="2" borderId="26" xfId="1" applyFont="1" applyBorder="1" applyAlignment="1">
      <alignment horizontal="right" wrapText="1"/>
    </xf>
    <xf numFmtId="0" fontId="5" fillId="5" borderId="30" xfId="4" applyFont="1" applyBorder="1" applyAlignment="1">
      <alignment horizontal="center"/>
    </xf>
    <xf numFmtId="0" fontId="5" fillId="5" borderId="31" xfId="4" applyFont="1" applyBorder="1" applyAlignment="1">
      <alignment horizontal="center"/>
    </xf>
    <xf numFmtId="0" fontId="13" fillId="5" borderId="15" xfId="4" applyFont="1" applyBorder="1" applyAlignment="1">
      <alignment horizontal="center" vertical="center"/>
    </xf>
    <xf numFmtId="0" fontId="13" fillId="5" borderId="23" xfId="4" applyFont="1" applyBorder="1" applyAlignment="1">
      <alignment horizontal="center" vertical="center"/>
    </xf>
    <xf numFmtId="0" fontId="13" fillId="5" borderId="0" xfId="4" applyFont="1" applyBorder="1" applyAlignment="1">
      <alignment horizontal="center" vertical="center"/>
    </xf>
    <xf numFmtId="0" fontId="13" fillId="5" borderId="33" xfId="4" applyFont="1" applyBorder="1" applyAlignment="1">
      <alignment horizontal="center" vertical="center"/>
    </xf>
    <xf numFmtId="0" fontId="5" fillId="2" borderId="46" xfId="1" applyFont="1" applyBorder="1" applyAlignment="1">
      <alignment horizontal="right"/>
    </xf>
    <xf numFmtId="0" fontId="5" fillId="2" borderId="47" xfId="1" applyFont="1" applyBorder="1" applyAlignment="1">
      <alignment horizontal="right"/>
    </xf>
    <xf numFmtId="0" fontId="5" fillId="5" borderId="5" xfId="4" applyFont="1" applyBorder="1" applyAlignment="1">
      <alignment horizontal="center"/>
    </xf>
    <xf numFmtId="0" fontId="5" fillId="5" borderId="19" xfId="4" applyFont="1" applyBorder="1" applyAlignment="1">
      <alignment horizontal="center"/>
    </xf>
    <xf numFmtId="0" fontId="5" fillId="5" borderId="0" xfId="4" applyFont="1" applyBorder="1" applyAlignment="1">
      <alignment horizontal="center" vertical="center"/>
    </xf>
    <xf numFmtId="0" fontId="5" fillId="5" borderId="33" xfId="4" applyFont="1" applyBorder="1" applyAlignment="1">
      <alignment horizontal="center" vertical="center"/>
    </xf>
    <xf numFmtId="0" fontId="6" fillId="2" borderId="36" xfId="1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1" fontId="5" fillId="4" borderId="22" xfId="3" applyNumberFormat="1" applyFont="1" applyBorder="1" applyAlignment="1">
      <alignment horizontal="center" vertical="center"/>
    </xf>
    <xf numFmtId="1" fontId="5" fillId="4" borderId="27" xfId="3" applyNumberFormat="1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 wrapText="1"/>
    </xf>
    <xf numFmtId="0" fontId="5" fillId="2" borderId="26" xfId="1" applyFont="1" applyBorder="1" applyAlignment="1">
      <alignment horizontal="center" vertical="center" wrapText="1"/>
    </xf>
    <xf numFmtId="0" fontId="5" fillId="2" borderId="36" xfId="1" applyFont="1" applyBorder="1" applyAlignment="1">
      <alignment horizontal="center" vertical="center" wrapText="1"/>
    </xf>
    <xf numFmtId="0" fontId="5" fillId="2" borderId="6" xfId="1" applyFont="1" applyBorder="1" applyAlignment="1">
      <alignment horizontal="center" vertical="center" wrapText="1"/>
    </xf>
    <xf numFmtId="0" fontId="5" fillId="2" borderId="36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0" fontId="5" fillId="4" borderId="18" xfId="6" applyFont="1" applyBorder="1" applyAlignment="1">
      <alignment horizontal="center" vertical="center" wrapText="1"/>
    </xf>
    <xf numFmtId="0" fontId="5" fillId="4" borderId="4" xfId="6" applyFont="1" applyBorder="1" applyAlignment="1">
      <alignment horizontal="center" vertical="center" wrapText="1"/>
    </xf>
    <xf numFmtId="0" fontId="5" fillId="4" borderId="22" xfId="6" applyFont="1" applyBorder="1" applyAlignment="1">
      <alignment horizontal="center" vertical="center" wrapText="1"/>
    </xf>
    <xf numFmtId="0" fontId="5" fillId="4" borderId="41" xfId="6" applyFont="1" applyBorder="1" applyAlignment="1">
      <alignment horizontal="center" vertical="center" wrapText="1"/>
    </xf>
    <xf numFmtId="0" fontId="5" fillId="4" borderId="26" xfId="6" applyFont="1" applyBorder="1" applyAlignment="1">
      <alignment horizontal="center" vertical="center" wrapText="1"/>
    </xf>
    <xf numFmtId="0" fontId="5" fillId="4" borderId="27" xfId="6" applyFont="1" applyBorder="1" applyAlignment="1">
      <alignment horizontal="center" vertical="center" wrapText="1"/>
    </xf>
    <xf numFmtId="0" fontId="5" fillId="6" borderId="4" xfId="2" applyFont="1" applyFill="1" applyBorder="1" applyAlignment="1">
      <alignment horizontal="center" vertical="center"/>
    </xf>
    <xf numFmtId="0" fontId="5" fillId="6" borderId="26" xfId="2" applyFont="1" applyFill="1" applyBorder="1" applyAlignment="1">
      <alignment horizontal="center" vertical="center"/>
    </xf>
    <xf numFmtId="0" fontId="5" fillId="6" borderId="27" xfId="2" applyFont="1" applyFill="1" applyBorder="1" applyAlignment="1">
      <alignment horizontal="center" vertical="center"/>
    </xf>
    <xf numFmtId="164" fontId="5" fillId="4" borderId="5" xfId="3" applyNumberFormat="1" applyFont="1" applyBorder="1" applyAlignment="1">
      <alignment horizontal="center" vertical="center"/>
    </xf>
    <xf numFmtId="164" fontId="5" fillId="4" borderId="19" xfId="3" applyNumberFormat="1" applyFont="1" applyBorder="1" applyAlignment="1">
      <alignment horizontal="center" vertical="center"/>
    </xf>
    <xf numFmtId="0" fontId="13" fillId="5" borderId="57" xfId="4" applyFont="1" applyBorder="1" applyAlignment="1">
      <alignment horizontal="center" vertical="center"/>
    </xf>
    <xf numFmtId="0" fontId="5" fillId="5" borderId="9" xfId="4" applyFont="1" applyBorder="1" applyAlignment="1">
      <alignment horizontal="center" vertical="center"/>
    </xf>
    <xf numFmtId="0" fontId="11" fillId="5" borderId="5" xfId="4" applyFont="1" applyBorder="1" applyAlignment="1">
      <alignment horizontal="center"/>
    </xf>
    <xf numFmtId="0" fontId="12" fillId="5" borderId="56" xfId="4" applyFont="1" applyBorder="1" applyAlignment="1">
      <alignment horizontal="center"/>
    </xf>
    <xf numFmtId="0" fontId="12" fillId="5" borderId="6" xfId="4" applyFont="1" applyBorder="1" applyAlignment="1">
      <alignment horizontal="center"/>
    </xf>
    <xf numFmtId="0" fontId="5" fillId="5" borderId="57" xfId="4" applyFont="1" applyBorder="1" applyAlignment="1">
      <alignment horizontal="center"/>
    </xf>
    <xf numFmtId="0" fontId="5" fillId="5" borderId="11" xfId="4" applyFont="1" applyBorder="1" applyAlignment="1">
      <alignment horizontal="center"/>
    </xf>
    <xf numFmtId="0" fontId="5" fillId="5" borderId="9" xfId="4" applyFont="1" applyBorder="1" applyAlignment="1">
      <alignment horizontal="center"/>
    </xf>
    <xf numFmtId="0" fontId="19" fillId="8" borderId="0" xfId="7" applyFont="1" applyFill="1" applyAlignment="1">
      <alignment horizontal="center" wrapText="1"/>
    </xf>
    <xf numFmtId="0" fontId="18" fillId="8" borderId="0" xfId="7" applyFont="1" applyFill="1" applyAlignment="1">
      <alignment horizontal="center" wrapText="1"/>
    </xf>
    <xf numFmtId="0" fontId="16" fillId="2" borderId="20" xfId="1" applyFont="1" applyBorder="1" applyAlignment="1">
      <alignment horizontal="center" wrapText="1"/>
    </xf>
    <xf numFmtId="0" fontId="16" fillId="2" borderId="21" xfId="1" applyFont="1" applyBorder="1" applyAlignment="1">
      <alignment horizontal="center" wrapText="1"/>
    </xf>
    <xf numFmtId="0" fontId="5" fillId="5" borderId="36" xfId="4" applyFont="1" applyBorder="1" applyAlignment="1">
      <alignment horizontal="center"/>
    </xf>
    <xf numFmtId="0" fontId="5" fillId="5" borderId="6" xfId="4" applyFont="1" applyBorder="1" applyAlignment="1">
      <alignment horizontal="center"/>
    </xf>
    <xf numFmtId="0" fontId="5" fillId="2" borderId="57" xfId="1" applyFont="1" applyBorder="1" applyAlignment="1">
      <alignment horizontal="center" vertical="center" wrapText="1"/>
    </xf>
    <xf numFmtId="0" fontId="5" fillId="2" borderId="61" xfId="1" applyFont="1" applyBorder="1" applyAlignment="1">
      <alignment horizontal="center" vertical="center" wrapText="1"/>
    </xf>
    <xf numFmtId="0" fontId="5" fillId="2" borderId="62" xfId="1" applyFont="1" applyBorder="1" applyAlignment="1">
      <alignment horizontal="center" vertical="center" wrapText="1"/>
    </xf>
    <xf numFmtId="1" fontId="5" fillId="4" borderId="7" xfId="3" applyNumberFormat="1" applyFont="1" applyBorder="1" applyAlignment="1">
      <alignment horizontal="center" vertical="center"/>
    </xf>
    <xf numFmtId="1" fontId="5" fillId="4" borderId="8" xfId="3" applyNumberFormat="1" applyFont="1" applyBorder="1" applyAlignment="1">
      <alignment horizontal="center" vertical="center"/>
    </xf>
    <xf numFmtId="0" fontId="5" fillId="5" borderId="56" xfId="4" applyFont="1" applyBorder="1" applyAlignment="1">
      <alignment horizontal="center"/>
    </xf>
    <xf numFmtId="0" fontId="5" fillId="4" borderId="57" xfId="6" applyFont="1" applyBorder="1" applyAlignment="1">
      <alignment horizontal="center" wrapText="1"/>
    </xf>
    <xf numFmtId="0" fontId="5" fillId="4" borderId="11" xfId="6" applyFont="1" applyBorder="1" applyAlignment="1">
      <alignment horizontal="center" wrapText="1"/>
    </xf>
    <xf numFmtId="0" fontId="5" fillId="4" borderId="9" xfId="6" applyFont="1" applyBorder="1" applyAlignment="1">
      <alignment horizontal="center" wrapText="1"/>
    </xf>
    <xf numFmtId="0" fontId="5" fillId="4" borderId="59" xfId="6" applyFont="1" applyBorder="1" applyAlignment="1">
      <alignment horizontal="center" wrapText="1"/>
    </xf>
    <xf numFmtId="0" fontId="5" fillId="4" borderId="0" xfId="6" applyFont="1" applyBorder="1" applyAlignment="1">
      <alignment horizontal="center" wrapText="1"/>
    </xf>
    <xf numFmtId="0" fontId="5" fillId="4" borderId="60" xfId="6" applyFont="1" applyBorder="1" applyAlignment="1">
      <alignment horizontal="center" wrapText="1"/>
    </xf>
    <xf numFmtId="0" fontId="5" fillId="4" borderId="61" xfId="6" applyFont="1" applyBorder="1" applyAlignment="1">
      <alignment horizontal="center" wrapText="1"/>
    </xf>
    <xf numFmtId="0" fontId="5" fillId="4" borderId="12" xfId="6" applyFont="1" applyBorder="1" applyAlignment="1">
      <alignment horizontal="center" wrapText="1"/>
    </xf>
    <xf numFmtId="0" fontId="5" fillId="4" borderId="62" xfId="6" applyFont="1" applyBorder="1" applyAlignment="1">
      <alignment horizontal="center" wrapText="1"/>
    </xf>
    <xf numFmtId="0" fontId="11" fillId="5" borderId="23" xfId="4" applyFont="1" applyBorder="1" applyAlignment="1">
      <alignment horizontal="center"/>
    </xf>
    <xf numFmtId="0" fontId="11" fillId="5" borderId="0" xfId="4" applyFont="1" applyBorder="1" applyAlignment="1">
      <alignment horizontal="center"/>
    </xf>
    <xf numFmtId="0" fontId="11" fillId="5" borderId="33" xfId="4" applyFont="1" applyBorder="1" applyAlignment="1">
      <alignment horizontal="center"/>
    </xf>
    <xf numFmtId="0" fontId="5" fillId="2" borderId="30" xfId="1" applyFont="1" applyBorder="1" applyAlignment="1">
      <alignment horizontal="center" vertical="center"/>
    </xf>
    <xf numFmtId="0" fontId="5" fillId="2" borderId="32" xfId="1" applyFont="1" applyBorder="1" applyAlignment="1">
      <alignment horizontal="center" vertical="center"/>
    </xf>
  </cellXfs>
  <cellStyles count="8">
    <cellStyle name="Accent6" xfId="7" builtinId="49"/>
    <cellStyle name="Calculation" xfId="6" builtinId="22"/>
    <cellStyle name="Input" xfId="2" builtinId="20"/>
    <cellStyle name="Neutral" xfId="1" builtinId="28"/>
    <cellStyle name="Normal" xfId="0" builtinId="0"/>
    <cellStyle name="Normal_Generalized Eta Examples" xfId="5" xr:uid="{00000000-0005-0000-0000-000005000000}"/>
    <cellStyle name="Note" xfId="4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57"/>
  <sheetViews>
    <sheetView tabSelected="1" workbookViewId="0">
      <selection sqref="A1:I1"/>
    </sheetView>
  </sheetViews>
  <sheetFormatPr defaultRowHeight="14.4" x14ac:dyDescent="0.55000000000000004"/>
  <cols>
    <col min="1" max="1" width="20.62890625" customWidth="1"/>
    <col min="2" max="2" width="14" customWidth="1"/>
    <col min="3" max="3" width="20.62890625" customWidth="1"/>
    <col min="4" max="4" width="14" customWidth="1"/>
    <col min="5" max="5" width="20.62890625" customWidth="1"/>
    <col min="6" max="6" width="16.1015625" customWidth="1"/>
    <col min="7" max="7" width="20.62890625" customWidth="1"/>
    <col min="8" max="8" width="15" customWidth="1"/>
    <col min="9" max="9" width="20.62890625" customWidth="1"/>
    <col min="10" max="10" width="11.62890625" customWidth="1"/>
    <col min="11" max="11" width="20.62890625" customWidth="1"/>
    <col min="12" max="12" width="14.5234375" customWidth="1"/>
    <col min="13" max="13" width="20.62890625" customWidth="1"/>
    <col min="14" max="14" width="14.5234375" customWidth="1"/>
  </cols>
  <sheetData>
    <row r="1" spans="1:16" s="4" customFormat="1" ht="88.5" customHeight="1" x14ac:dyDescent="0.7">
      <c r="A1" s="186" t="s">
        <v>107</v>
      </c>
      <c r="B1" s="187"/>
      <c r="C1" s="187"/>
      <c r="D1" s="187"/>
      <c r="E1" s="187"/>
      <c r="F1" s="187"/>
      <c r="G1" s="187"/>
      <c r="H1" s="187"/>
      <c r="I1" s="187"/>
    </row>
    <row r="2" spans="1:16" s="4" customFormat="1" ht="14.7" thickBot="1" x14ac:dyDescent="0.6"/>
    <row r="3" spans="1:16" ht="28.15" customHeight="1" thickBot="1" x14ac:dyDescent="0.6">
      <c r="A3" s="104" t="s">
        <v>78</v>
      </c>
      <c r="B3" s="109"/>
      <c r="C3" s="109"/>
      <c r="D3" s="109"/>
      <c r="E3" s="109"/>
      <c r="F3" s="109"/>
      <c r="G3" s="109"/>
      <c r="H3" s="110"/>
      <c r="M3" s="136" t="s">
        <v>95</v>
      </c>
      <c r="N3" s="109"/>
      <c r="O3" s="109"/>
      <c r="P3" s="110"/>
    </row>
    <row r="4" spans="1:16" ht="14.7" thickBot="1" x14ac:dyDescent="0.6">
      <c r="A4" s="50" t="s">
        <v>1</v>
      </c>
      <c r="B4" s="51">
        <v>5.25</v>
      </c>
      <c r="C4" s="52" t="s">
        <v>2</v>
      </c>
      <c r="D4" s="51">
        <v>5.22</v>
      </c>
      <c r="E4" s="44" t="s">
        <v>55</v>
      </c>
      <c r="F4" s="45">
        <f>(B4-D4)-_xlfn.T.INV.2T(0.1,(B6+D6-2))*SQRT((B5^2/B6)+(D5^2/D6))</f>
        <v>-0.18707900400760744</v>
      </c>
      <c r="G4" s="46" t="s">
        <v>56</v>
      </c>
      <c r="H4" s="47">
        <f>(B4-D4)+_xlfn.T.INV.2T(0.1,(B6+D6-2))*SQRT((B5^2/B6)+(D5^2/D6))</f>
        <v>0.24707900400760793</v>
      </c>
      <c r="J4" s="4"/>
      <c r="M4" s="135"/>
      <c r="N4" s="111"/>
      <c r="O4" s="111"/>
      <c r="P4" s="112"/>
    </row>
    <row r="5" spans="1:16" ht="14.25" customHeight="1" x14ac:dyDescent="0.55000000000000004">
      <c r="A5" s="35" t="s">
        <v>3</v>
      </c>
      <c r="B5" s="71">
        <v>0.95</v>
      </c>
      <c r="C5" s="36" t="s">
        <v>4</v>
      </c>
      <c r="D5" s="71">
        <v>0.83</v>
      </c>
      <c r="E5" s="89" t="s">
        <v>71</v>
      </c>
      <c r="F5" s="90"/>
      <c r="G5" s="15"/>
      <c r="H5" s="20"/>
      <c r="I5" s="96" t="s">
        <v>70</v>
      </c>
      <c r="J5" s="103"/>
      <c r="K5" s="121" t="s">
        <v>28</v>
      </c>
      <c r="L5" s="122"/>
      <c r="M5" s="94" t="s">
        <v>51</v>
      </c>
      <c r="N5" s="114">
        <v>-0.8</v>
      </c>
      <c r="O5" s="95" t="s">
        <v>52</v>
      </c>
      <c r="P5" s="113">
        <v>0.8</v>
      </c>
    </row>
    <row r="6" spans="1:16" ht="16.8" x14ac:dyDescent="0.75">
      <c r="A6" s="35" t="s">
        <v>6</v>
      </c>
      <c r="B6" s="71">
        <v>95</v>
      </c>
      <c r="C6" s="36" t="s">
        <v>7</v>
      </c>
      <c r="D6" s="71">
        <v>89</v>
      </c>
      <c r="E6" s="43" t="s">
        <v>19</v>
      </c>
      <c r="F6" s="7">
        <f>(B4-D4)/(SQRT(B5^2/B6+D5^2/D6))</f>
        <v>0.22847935450001453</v>
      </c>
      <c r="G6" s="15"/>
      <c r="H6" s="20"/>
      <c r="I6" s="43" t="s">
        <v>19</v>
      </c>
      <c r="J6" s="7">
        <f>(B4-D4)/(SQRT(((((B6-1)*B5^2)+((D6-1)*D5^2))/(B6+D6-2))*((1/B6+1/D6))))</f>
        <v>0.22747608159222044</v>
      </c>
      <c r="K6" s="36" t="s">
        <v>8</v>
      </c>
      <c r="L6" s="13">
        <f>(B4-D4)/(SQRT((((B6-1)*B5^2)+((D6-1)*D5^2))/(B6+D6-2)))</f>
        <v>3.3557364420053311E-2</v>
      </c>
      <c r="M6" s="94"/>
      <c r="N6" s="114"/>
      <c r="O6" s="95"/>
      <c r="P6" s="113"/>
    </row>
    <row r="7" spans="1:16" ht="14.7" customHeight="1" x14ac:dyDescent="0.75">
      <c r="A7" s="94" t="s">
        <v>24</v>
      </c>
      <c r="B7" s="130">
        <v>-0.43</v>
      </c>
      <c r="C7" s="95" t="s">
        <v>25</v>
      </c>
      <c r="D7" s="84">
        <v>0.43</v>
      </c>
      <c r="E7" s="43" t="s">
        <v>21</v>
      </c>
      <c r="F7" s="3">
        <f>(B5^2/B6+D5^2/D6)^2/(((B5^2/B6)^2/(B6-1))+((D5^2/D6)^2/(D6-1)))</f>
        <v>181.13436716050748</v>
      </c>
      <c r="G7" s="15"/>
      <c r="H7" s="20"/>
      <c r="I7" s="43" t="s">
        <v>21</v>
      </c>
      <c r="J7" s="3">
        <f>(B6+D6-2)</f>
        <v>182</v>
      </c>
      <c r="K7" s="36" t="s">
        <v>10</v>
      </c>
      <c r="L7" s="13">
        <f>L6*(1-(3/(4*(D6+B6-2)-1)))</f>
        <v>3.3418888363299308E-2</v>
      </c>
      <c r="M7" s="94" t="s">
        <v>24</v>
      </c>
      <c r="N7" s="82">
        <f>N5/L8</f>
        <v>-0.89486305120141429</v>
      </c>
      <c r="O7" s="95" t="s">
        <v>25</v>
      </c>
      <c r="P7" s="84">
        <f>P5/L8</f>
        <v>0.89486305120141429</v>
      </c>
    </row>
    <row r="8" spans="1:16" ht="14.7" thickBot="1" x14ac:dyDescent="0.6">
      <c r="A8" s="98"/>
      <c r="B8" s="131"/>
      <c r="C8" s="99"/>
      <c r="D8" s="85"/>
      <c r="E8" s="48" t="s">
        <v>20</v>
      </c>
      <c r="F8" s="49">
        <f>TDIST(ABS(F6), F7,2)</f>
        <v>0.81953153241891508</v>
      </c>
      <c r="G8" s="17"/>
      <c r="H8" s="23"/>
      <c r="I8" s="48" t="s">
        <v>20</v>
      </c>
      <c r="J8" s="49">
        <f>TDIST(ABS(J6), J7,2)</f>
        <v>0.82030889879791102</v>
      </c>
      <c r="K8" s="54" t="s">
        <v>50</v>
      </c>
      <c r="L8" s="55">
        <f>(SQRT((((B6-1)*B5^2)+((D6-1)*D5^2))/(B6+D6-2)))</f>
        <v>0.89399154309248308</v>
      </c>
      <c r="M8" s="94"/>
      <c r="N8" s="82"/>
      <c r="O8" s="95"/>
      <c r="P8" s="84"/>
    </row>
    <row r="9" spans="1:16" ht="14.5" customHeight="1" x14ac:dyDescent="0.55000000000000004">
      <c r="A9" s="100" t="s">
        <v>37</v>
      </c>
      <c r="B9" s="101"/>
      <c r="C9" s="102"/>
      <c r="D9" s="15"/>
      <c r="E9" s="96" t="s">
        <v>69</v>
      </c>
      <c r="F9" s="103"/>
      <c r="G9" s="103"/>
      <c r="H9" s="97"/>
      <c r="I9" s="96" t="s">
        <v>68</v>
      </c>
      <c r="J9" s="103"/>
      <c r="K9" s="103"/>
      <c r="L9" s="97"/>
      <c r="M9" s="132" t="s">
        <v>94</v>
      </c>
      <c r="N9" s="133"/>
      <c r="O9" s="133"/>
      <c r="P9" s="134"/>
    </row>
    <row r="10" spans="1:16" x14ac:dyDescent="0.55000000000000004">
      <c r="A10" s="92" t="s">
        <v>36</v>
      </c>
      <c r="B10" s="93"/>
      <c r="C10" s="29">
        <v>0.1</v>
      </c>
      <c r="D10" s="15"/>
      <c r="E10" s="89" t="s">
        <v>26</v>
      </c>
      <c r="F10" s="90"/>
      <c r="G10" s="90" t="s">
        <v>27</v>
      </c>
      <c r="H10" s="91"/>
      <c r="I10" s="89" t="s">
        <v>26</v>
      </c>
      <c r="J10" s="90"/>
      <c r="K10" s="90" t="s">
        <v>27</v>
      </c>
      <c r="L10" s="91"/>
      <c r="M10" s="135"/>
      <c r="N10" s="111"/>
      <c r="O10" s="111"/>
      <c r="P10" s="112"/>
    </row>
    <row r="11" spans="1:16" ht="14.25" customHeight="1" x14ac:dyDescent="0.55000000000000004">
      <c r="A11" s="92" t="s">
        <v>32</v>
      </c>
      <c r="B11" s="93"/>
      <c r="C11" s="29">
        <v>0.6</v>
      </c>
      <c r="D11" s="15"/>
      <c r="E11" s="43" t="s">
        <v>19</v>
      </c>
      <c r="F11" s="7">
        <f>((B4-D4)-(B7*SQRT((B5^2+D5^2)/2)))/(SQRT(B5^2/B6+D5^2/D6))</f>
        <v>3.1497301456557385</v>
      </c>
      <c r="G11" s="2" t="s">
        <v>19</v>
      </c>
      <c r="H11" s="13">
        <f>((B4-D4)-(D7*SQRT((B5^2+D5^2)/2)))/(SQRT(B5^2/B6+D5^2/D6))</f>
        <v>-2.6927714366557094</v>
      </c>
      <c r="I11" s="43" t="s">
        <v>19</v>
      </c>
      <c r="J11" s="7">
        <f>((B4-D4)-(B7*((SQRT((((B6-1)*B5^2)+((D6-1)*D5^2))/(B6+D6-2))))))/(((SQRT((((B6-1)*B5^2)+((D6-1)*D5^2))/(B6+D6-2))))*SQRT(1/B6+1/D6))</f>
        <v>3.1423270174482676</v>
      </c>
      <c r="K11" s="2" t="s">
        <v>19</v>
      </c>
      <c r="L11" s="13">
        <f>((B4-D4)-(D7*((SQRT((((B6-1)*B5^2)+((D6-1)*D5^2))/(B6+D6-2))))))/(((SQRT((((B6-1)*B5^2)+((D6-1)*D5^2))/(B6+D6-2))))*SQRT(1/B6+1/D6))</f>
        <v>-2.6873748542638265</v>
      </c>
      <c r="M11" s="94" t="s">
        <v>24</v>
      </c>
      <c r="N11" s="114">
        <v>-0.5</v>
      </c>
      <c r="O11" s="95" t="s">
        <v>25</v>
      </c>
      <c r="P11" s="113">
        <v>1</v>
      </c>
    </row>
    <row r="12" spans="1:16" ht="14.5" customHeight="1" x14ac:dyDescent="0.55000000000000004">
      <c r="A12" s="94" t="s">
        <v>34</v>
      </c>
      <c r="B12" s="95"/>
      <c r="C12" s="29">
        <v>-0.5</v>
      </c>
      <c r="D12" s="15"/>
      <c r="E12" s="43" t="s">
        <v>21</v>
      </c>
      <c r="F12" s="6">
        <f>(B5^2/B6+D5^2/D6)^2/(((B5^2/B6)^2/(B6-1))+((D5^2/D6)^2/(D6-1)))</f>
        <v>181.13436716050748</v>
      </c>
      <c r="G12" s="2" t="s">
        <v>21</v>
      </c>
      <c r="H12" s="12">
        <f>(B5^2/B6+D5^2/D6)^2/(((B5^2/B6)^2/(B6-1))+((D5^2/D6)^2/(D6-1)))</f>
        <v>181.13436716050748</v>
      </c>
      <c r="I12" s="43" t="s">
        <v>21</v>
      </c>
      <c r="J12" s="3">
        <f>B6+D6-2</f>
        <v>182</v>
      </c>
      <c r="K12" s="2" t="s">
        <v>21</v>
      </c>
      <c r="L12" s="24">
        <f>B6+D6-2</f>
        <v>182</v>
      </c>
      <c r="M12" s="94"/>
      <c r="N12" s="114"/>
      <c r="O12" s="95"/>
      <c r="P12" s="113"/>
    </row>
    <row r="13" spans="1:16" ht="14.5" customHeight="1" x14ac:dyDescent="0.55000000000000004">
      <c r="A13" s="94" t="s">
        <v>33</v>
      </c>
      <c r="B13" s="95"/>
      <c r="C13" s="29">
        <v>0.5</v>
      </c>
      <c r="D13" s="15"/>
      <c r="E13" s="43" t="s">
        <v>20</v>
      </c>
      <c r="F13" s="7">
        <f>IF(F11&lt;0,1-TDIST(ABS(F11), F12,1),TDIST(ABS(F11), F12,1))</f>
        <v>9.5611593737149369E-4</v>
      </c>
      <c r="G13" s="2" t="s">
        <v>20</v>
      </c>
      <c r="H13" s="13">
        <f>IF(H11&gt;0,1-TDIST(ABS(H11), H12,1),TDIST(ABS(H11), H12,1))</f>
        <v>3.8757734463156402E-3</v>
      </c>
      <c r="I13" s="43" t="s">
        <v>20</v>
      </c>
      <c r="J13" s="7">
        <f>IF(J11&lt;0,1-TDIST(ABS(J11), J12,1),TDIST(ABS(J11), J12,1))</f>
        <v>9.78515297408391E-4</v>
      </c>
      <c r="K13" s="2" t="s">
        <v>20</v>
      </c>
      <c r="L13" s="13">
        <f>IF(L11&gt;0,1-TDIST(ABS(L11), L12,1),TDIST(ABS(L11), L12,1))</f>
        <v>3.934585686943875E-3</v>
      </c>
      <c r="M13" s="94" t="s">
        <v>51</v>
      </c>
      <c r="N13" s="82">
        <f>N11*L8</f>
        <v>-0.44699577154624154</v>
      </c>
      <c r="O13" s="95" t="s">
        <v>52</v>
      </c>
      <c r="P13" s="84">
        <f>P11*L8</f>
        <v>0.89399154309248308</v>
      </c>
    </row>
    <row r="14" spans="1:16" ht="14.25" customHeight="1" thickBot="1" x14ac:dyDescent="0.6">
      <c r="A14" s="115" t="s">
        <v>35</v>
      </c>
      <c r="B14" s="116"/>
      <c r="C14" s="119">
        <f>ROUNDUP((MAX(2*(NORMSINV(1-C10)+NORMSINV(1-((1-C11)/2)))^2/(C12)^2,2*(NORMSINV(1-C10)+NORMSINV(1-((1-C11)/2)))^2/(C13)^2)),0)</f>
        <v>37</v>
      </c>
      <c r="D14" s="15"/>
      <c r="E14" s="89" t="s">
        <v>31</v>
      </c>
      <c r="F14" s="90"/>
      <c r="G14" s="90"/>
      <c r="H14" s="91"/>
      <c r="I14" s="89" t="s">
        <v>31</v>
      </c>
      <c r="J14" s="90"/>
      <c r="K14" s="90"/>
      <c r="L14" s="91"/>
      <c r="M14" s="98"/>
      <c r="N14" s="83"/>
      <c r="O14" s="99"/>
      <c r="P14" s="85"/>
    </row>
    <row r="15" spans="1:16" ht="14.7" thickBot="1" x14ac:dyDescent="0.6">
      <c r="A15" s="117"/>
      <c r="B15" s="118"/>
      <c r="C15" s="120"/>
      <c r="D15" s="15"/>
      <c r="E15" s="43" t="s">
        <v>19</v>
      </c>
      <c r="F15" s="7">
        <f>IF(ABS(F11)&lt;ABS(H11),F11,H11)</f>
        <v>-2.6927714366557094</v>
      </c>
      <c r="G15" s="2" t="s">
        <v>20</v>
      </c>
      <c r="H15" s="13">
        <f>MAX(F13,H13)</f>
        <v>3.8757734463156402E-3</v>
      </c>
      <c r="I15" s="43" t="s">
        <v>19</v>
      </c>
      <c r="J15" s="7">
        <f>IF(ABS(J11)&lt;ABS(L11),J11,L11)</f>
        <v>-2.6873748542638265</v>
      </c>
      <c r="K15" s="2" t="s">
        <v>20</v>
      </c>
      <c r="L15" s="13">
        <f>MAX(J13,L13)</f>
        <v>3.934585686943875E-3</v>
      </c>
    </row>
    <row r="16" spans="1:16" x14ac:dyDescent="0.55000000000000004">
      <c r="D16" s="15"/>
      <c r="E16" s="124" t="str">
        <f>"The TOST procedure based on Welch's t-test indicated that the observed effect size (d = "&amp;ROUND(L6,2)&amp;") was "&amp;IF(H15&lt;0.05,"significantly","not significantly")&amp;" within the equivalent bounds of d = "&amp;ROUND(B7,2)&amp;" and d = "&amp;ROUND(D7,2)&amp;", (or in raw scores: "&amp;ROUND(B7*SQRT((B5^2+D5^2)/2),2)&amp;" and "&amp;ROUND(D7*SQRT((B5^2+D5^2)/2),2)&amp;"), t("&amp;ROUND(H12,2)&amp;") = "&amp;ROUND(F15,2)&amp;", p = "&amp;ROUND(H15,3)</f>
        <v>The TOST procedure based on Welch's t-test indicated that the observed effect size (d = 0.03) was significantly within the equivalent bounds of d = -0.43 and d = 0.43, (or in raw scores: -0.38 and 0.38), t(181.13) = -2.69, p = 0.004</v>
      </c>
      <c r="F16" s="125"/>
      <c r="G16" s="125"/>
      <c r="H16" s="126"/>
      <c r="I16" s="124" t="str">
        <f>"The TOST procedure based on Student's t-test indicated that the observed effect size (d = "&amp;ROUND(L6,2)&amp;") was "&amp;IF(L15&lt;0.05,"significantly","not significantly")&amp;" within the equivalent bounds of d = "&amp;ROUND(B7,2)&amp;" and d = "&amp;ROUND(D7,2)&amp;", (or in raw scores: "&amp;ROUND(B7*L8,2)&amp;" and "&amp;ROUND(D7*L8,2)&amp;"), t("&amp;ROUND(L12,0)&amp;") = "&amp;ROUND(J15,2)&amp;", p = "&amp;ROUND(L15,3)</f>
        <v>The TOST procedure based on Student's t-test indicated that the observed effect size (d = 0.03) was significantly within the equivalent bounds of d = -0.43 and d = 0.43, (or in raw scores: -0.38 and 0.38), t(182) = -2.69, p = 0.004</v>
      </c>
      <c r="J16" s="125"/>
      <c r="K16" s="125"/>
      <c r="L16" s="126"/>
    </row>
    <row r="17" spans="1:16" x14ac:dyDescent="0.55000000000000004">
      <c r="D17" s="15"/>
      <c r="E17" s="124"/>
      <c r="F17" s="125"/>
      <c r="G17" s="125"/>
      <c r="H17" s="126"/>
      <c r="I17" s="124"/>
      <c r="J17" s="125"/>
      <c r="K17" s="125"/>
      <c r="L17" s="126"/>
    </row>
    <row r="18" spans="1:16" ht="14.7" thickBot="1" x14ac:dyDescent="0.6">
      <c r="A18" s="16"/>
      <c r="B18" s="17"/>
      <c r="C18" s="17"/>
      <c r="D18" s="17"/>
      <c r="E18" s="127"/>
      <c r="F18" s="128"/>
      <c r="G18" s="128"/>
      <c r="H18" s="129"/>
      <c r="I18" s="127"/>
      <c r="J18" s="128"/>
      <c r="K18" s="128"/>
      <c r="L18" s="129"/>
    </row>
    <row r="19" spans="1:16" s="4" customFormat="1" x14ac:dyDescent="0.55000000000000004">
      <c r="A19" s="15"/>
      <c r="B19" s="15"/>
      <c r="C19" s="15"/>
      <c r="D19" s="15"/>
      <c r="E19" s="5"/>
      <c r="F19" s="5"/>
      <c r="G19" s="5"/>
      <c r="H19" s="5"/>
      <c r="I19" s="5"/>
      <c r="J19" s="5"/>
      <c r="K19" s="5"/>
      <c r="L19" s="5"/>
    </row>
    <row r="20" spans="1:16" s="4" customFormat="1" x14ac:dyDescent="0.55000000000000004">
      <c r="A20" s="15"/>
      <c r="B20" s="15"/>
      <c r="C20" s="15"/>
      <c r="D20" s="15"/>
    </row>
    <row r="21" spans="1:16" s="4" customFormat="1" ht="14.7" thickBot="1" x14ac:dyDescent="0.6">
      <c r="A21" s="15"/>
      <c r="B21" s="15"/>
      <c r="C21" s="15"/>
      <c r="D21" s="15"/>
    </row>
    <row r="22" spans="1:16" s="4" customFormat="1" ht="28.15" customHeight="1" thickBot="1" x14ac:dyDescent="0.6">
      <c r="A22" s="104" t="s">
        <v>79</v>
      </c>
      <c r="B22" s="109"/>
      <c r="C22" s="109"/>
      <c r="D22" s="109"/>
      <c r="E22" s="109"/>
      <c r="F22" s="109"/>
      <c r="G22" s="109"/>
      <c r="H22" s="110"/>
      <c r="M22" s="136" t="s">
        <v>95</v>
      </c>
      <c r="N22" s="109"/>
      <c r="O22" s="109"/>
      <c r="P22" s="110"/>
    </row>
    <row r="23" spans="1:16" s="4" customFormat="1" ht="14.7" thickBot="1" x14ac:dyDescent="0.6">
      <c r="A23" s="50" t="s">
        <v>1</v>
      </c>
      <c r="B23" s="51">
        <v>5.25</v>
      </c>
      <c r="C23" s="52" t="s">
        <v>2</v>
      </c>
      <c r="D23" s="51">
        <v>5.22</v>
      </c>
      <c r="E23" s="44" t="s">
        <v>55</v>
      </c>
      <c r="F23" s="45">
        <f>(B23-D23)-_xlfn.T.INV.2T(0.1,(B25+D25-2))*SQRT((B24^2/B25)+(D24^2/D25))</f>
        <v>-0.18707900400760744</v>
      </c>
      <c r="G23" s="46" t="s">
        <v>56</v>
      </c>
      <c r="H23" s="47">
        <f>(B23-D23)+_xlfn.T.INV.2T(0.1,(B25+D25-2))*SQRT((B24^2/B25)+(D24^2/D25))</f>
        <v>0.24707900400760793</v>
      </c>
      <c r="M23" s="135"/>
      <c r="N23" s="111"/>
      <c r="O23" s="111"/>
      <c r="P23" s="112"/>
    </row>
    <row r="24" spans="1:16" s="4" customFormat="1" ht="14.25" customHeight="1" x14ac:dyDescent="0.55000000000000004">
      <c r="A24" s="35" t="s">
        <v>3</v>
      </c>
      <c r="B24" s="39">
        <v>0.95</v>
      </c>
      <c r="C24" s="36" t="s">
        <v>4</v>
      </c>
      <c r="D24" s="71">
        <v>0.83</v>
      </c>
      <c r="E24" s="89" t="s">
        <v>71</v>
      </c>
      <c r="F24" s="90"/>
      <c r="G24" s="15"/>
      <c r="H24" s="20"/>
      <c r="I24" s="96" t="s">
        <v>70</v>
      </c>
      <c r="J24" s="103"/>
      <c r="K24" s="121" t="s">
        <v>28</v>
      </c>
      <c r="L24" s="122"/>
      <c r="M24" s="94" t="s">
        <v>51</v>
      </c>
      <c r="N24" s="114">
        <v>-0.8</v>
      </c>
      <c r="O24" s="95" t="s">
        <v>52</v>
      </c>
      <c r="P24" s="113">
        <v>0.8</v>
      </c>
    </row>
    <row r="25" spans="1:16" s="4" customFormat="1" ht="16.8" x14ac:dyDescent="0.75">
      <c r="A25" s="35" t="s">
        <v>6</v>
      </c>
      <c r="B25" s="39">
        <v>95</v>
      </c>
      <c r="C25" s="36" t="s">
        <v>7</v>
      </c>
      <c r="D25" s="71">
        <v>89</v>
      </c>
      <c r="E25" s="43" t="s">
        <v>19</v>
      </c>
      <c r="F25" s="7">
        <f>(B23-D23)/(SQRT(B24^2/B25+D24^2/D25))</f>
        <v>0.22847935450001453</v>
      </c>
      <c r="G25" s="15"/>
      <c r="H25" s="20"/>
      <c r="I25" s="43" t="s">
        <v>19</v>
      </c>
      <c r="J25" s="7">
        <f>(B23-D23)/(SQRT(((((B25-1)*B24^2)+((D25-1)*D24^2))/(B25+D25-2))*((1/B25+1/D25))))</f>
        <v>0.22747608159222044</v>
      </c>
      <c r="K25" s="36" t="s">
        <v>8</v>
      </c>
      <c r="L25" s="13">
        <f>(B23-D23)/(SQRT((((B25-1)*B24^2)+((D25-1)*D24^2))/(B25+D25-2)))</f>
        <v>3.3557364420053311E-2</v>
      </c>
      <c r="M25" s="94"/>
      <c r="N25" s="114"/>
      <c r="O25" s="95"/>
      <c r="P25" s="113"/>
    </row>
    <row r="26" spans="1:16" s="4" customFormat="1" ht="14.7" customHeight="1" x14ac:dyDescent="0.75">
      <c r="A26" s="94" t="s">
        <v>80</v>
      </c>
      <c r="B26" s="130">
        <v>-0.3836</v>
      </c>
      <c r="C26" s="95" t="s">
        <v>81</v>
      </c>
      <c r="D26" s="139">
        <v>0.3836</v>
      </c>
      <c r="E26" s="43" t="s">
        <v>21</v>
      </c>
      <c r="F26" s="3">
        <f>(B24^2/B25+D24^2/D25)^2/(((B24^2/B25)^2/(B25-1))+((D24^2/D25)^2/(D25-1)))</f>
        <v>181.13436716050748</v>
      </c>
      <c r="G26" s="15"/>
      <c r="H26" s="20"/>
      <c r="I26" s="43" t="s">
        <v>21</v>
      </c>
      <c r="J26" s="3">
        <f>(B25+D25-2)</f>
        <v>182</v>
      </c>
      <c r="K26" s="36" t="s">
        <v>10</v>
      </c>
      <c r="L26" s="13">
        <f>L25*(1-(3/(4*(D25+B25-2)-1)))</f>
        <v>3.3418888363299308E-2</v>
      </c>
      <c r="M26" s="94" t="s">
        <v>24</v>
      </c>
      <c r="N26" s="82">
        <f>N24/L27</f>
        <v>-0.89486305120141429</v>
      </c>
      <c r="O26" s="95" t="s">
        <v>25</v>
      </c>
      <c r="P26" s="84">
        <f>P24/L27</f>
        <v>0.89486305120141429</v>
      </c>
    </row>
    <row r="27" spans="1:16" s="4" customFormat="1" ht="14.7" thickBot="1" x14ac:dyDescent="0.6">
      <c r="A27" s="98"/>
      <c r="B27" s="131"/>
      <c r="C27" s="99"/>
      <c r="D27" s="140"/>
      <c r="E27" s="48" t="s">
        <v>20</v>
      </c>
      <c r="F27" s="49">
        <f>TDIST(ABS(F25), F26,2)</f>
        <v>0.81953153241891508</v>
      </c>
      <c r="G27" s="17"/>
      <c r="H27" s="23"/>
      <c r="I27" s="48" t="s">
        <v>20</v>
      </c>
      <c r="J27" s="49">
        <f>TDIST(ABS(J25), J26,2)</f>
        <v>0.82030889879791102</v>
      </c>
      <c r="K27" s="54" t="s">
        <v>50</v>
      </c>
      <c r="L27" s="55">
        <f>(SQRT((((B25-1)*B24^2)+((D25-1)*D24^2))/(B25+D25-2)))</f>
        <v>0.89399154309248308</v>
      </c>
      <c r="M27" s="94"/>
      <c r="N27" s="82"/>
      <c r="O27" s="95"/>
      <c r="P27" s="84"/>
    </row>
    <row r="28" spans="1:16" s="4" customFormat="1" x14ac:dyDescent="0.55000000000000004">
      <c r="A28" s="100" t="s">
        <v>37</v>
      </c>
      <c r="B28" s="101"/>
      <c r="C28" s="102"/>
      <c r="D28" s="15"/>
      <c r="E28" s="96" t="s">
        <v>69</v>
      </c>
      <c r="F28" s="103"/>
      <c r="G28" s="103"/>
      <c r="H28" s="97"/>
      <c r="I28" s="96" t="s">
        <v>68</v>
      </c>
      <c r="J28" s="103"/>
      <c r="K28" s="103"/>
      <c r="L28" s="97"/>
      <c r="M28" s="132" t="s">
        <v>94</v>
      </c>
      <c r="N28" s="133"/>
      <c r="O28" s="133"/>
      <c r="P28" s="134"/>
    </row>
    <row r="29" spans="1:16" s="4" customFormat="1" x14ac:dyDescent="0.55000000000000004">
      <c r="A29" s="92" t="s">
        <v>36</v>
      </c>
      <c r="B29" s="93"/>
      <c r="C29" s="34">
        <v>2.5000000000000001E-2</v>
      </c>
      <c r="D29" s="15"/>
      <c r="E29" s="89" t="s">
        <v>26</v>
      </c>
      <c r="F29" s="90"/>
      <c r="G29" s="90" t="s">
        <v>27</v>
      </c>
      <c r="H29" s="91"/>
      <c r="I29" s="89" t="s">
        <v>26</v>
      </c>
      <c r="J29" s="90"/>
      <c r="K29" s="90" t="s">
        <v>27</v>
      </c>
      <c r="L29" s="91"/>
      <c r="M29" s="135"/>
      <c r="N29" s="111"/>
      <c r="O29" s="111"/>
      <c r="P29" s="112"/>
    </row>
    <row r="30" spans="1:16" s="4" customFormat="1" ht="14.25" customHeight="1" x14ac:dyDescent="0.55000000000000004">
      <c r="A30" s="92" t="s">
        <v>32</v>
      </c>
      <c r="B30" s="93"/>
      <c r="C30" s="34">
        <v>0.8</v>
      </c>
      <c r="D30" s="15"/>
      <c r="E30" s="43" t="s">
        <v>19</v>
      </c>
      <c r="F30" s="7">
        <f>((B23-D23)-(B26))/(SQRT(B24^2/B25+D24^2/D25))</f>
        <v>3.1499687007068427</v>
      </c>
      <c r="G30" s="2" t="s">
        <v>19</v>
      </c>
      <c r="H30" s="13">
        <f>((B23-D23)-(D26))/(SQRT(B24^2/B25+D24^2/D25))</f>
        <v>-2.6930099917068135</v>
      </c>
      <c r="I30" s="43" t="s">
        <v>19</v>
      </c>
      <c r="J30" s="7">
        <f>((B23-D23)-(B26))/(((SQRT((((B25-1)*B24^2)+((D25-1)*D24^2))/(B25+D25-2))))*SQRT(1/B25+1/D25))</f>
        <v>3.1361369115513891</v>
      </c>
      <c r="K30" s="2" t="s">
        <v>19</v>
      </c>
      <c r="L30" s="13">
        <f>((B23-D23)-(D26))/(((SQRT((((B25-1)*B24^2)+((D25-1)*D24^2))/(B25+D25-2))))*SQRT(1/B25+1/D25))</f>
        <v>-2.681184748366948</v>
      </c>
      <c r="M30" s="94" t="s">
        <v>24</v>
      </c>
      <c r="N30" s="114">
        <v>-0.3</v>
      </c>
      <c r="O30" s="95" t="s">
        <v>25</v>
      </c>
      <c r="P30" s="113">
        <v>0.3</v>
      </c>
    </row>
    <row r="31" spans="1:16" s="4" customFormat="1" ht="14.5" customHeight="1" x14ac:dyDescent="0.55000000000000004">
      <c r="A31" s="94" t="s">
        <v>83</v>
      </c>
      <c r="B31" s="95"/>
      <c r="C31" s="34">
        <v>-0.1</v>
      </c>
      <c r="D31" s="15"/>
      <c r="E31" s="43" t="s">
        <v>21</v>
      </c>
      <c r="F31" s="6">
        <f>(B24^2/B25+D24^2/D25)^2/(((B24^2/B25)^2/(B25-1))+((D24^2/D25)^2/(D25-1)))</f>
        <v>181.13436716050748</v>
      </c>
      <c r="G31" s="2" t="s">
        <v>21</v>
      </c>
      <c r="H31" s="12">
        <f>(B24^2/B25+D24^2/D25)^2/(((B24^2/B25)^2/(B25-1))+((D24^2/D25)^2/(D25-1)))</f>
        <v>181.13436716050748</v>
      </c>
      <c r="I31" s="43" t="s">
        <v>21</v>
      </c>
      <c r="J31" s="3">
        <f>B25+D25-2</f>
        <v>182</v>
      </c>
      <c r="K31" s="2" t="s">
        <v>21</v>
      </c>
      <c r="L31" s="24">
        <f>B25+D25-2</f>
        <v>182</v>
      </c>
      <c r="M31" s="94"/>
      <c r="N31" s="114"/>
      <c r="O31" s="95"/>
      <c r="P31" s="113"/>
    </row>
    <row r="32" spans="1:16" s="4" customFormat="1" ht="14.5" customHeight="1" x14ac:dyDescent="0.55000000000000004">
      <c r="A32" s="94" t="s">
        <v>84</v>
      </c>
      <c r="B32" s="95"/>
      <c r="C32" s="34">
        <v>0.1</v>
      </c>
      <c r="D32" s="15"/>
      <c r="E32" s="43" t="s">
        <v>20</v>
      </c>
      <c r="F32" s="7">
        <f>IF(F30&lt;0,1-TDIST(ABS(F30), F31,1),TDIST(ABS(F30), F31,1))</f>
        <v>9.553765904387326E-4</v>
      </c>
      <c r="G32" s="2" t="s">
        <v>20</v>
      </c>
      <c r="H32" s="13">
        <f>IF(H30&gt;0,1-TDIST(ABS(H30), H31,1),TDIST(ABS(H30), H31,1))</f>
        <v>3.8731101655779237E-3</v>
      </c>
      <c r="I32" s="43" t="s">
        <v>20</v>
      </c>
      <c r="J32" s="7">
        <f>IF(J30&lt;0,1-TDIST(ABS(J30), J31,1),TDIST(ABS(J30), J31,1))</f>
        <v>9.9831025944229542E-4</v>
      </c>
      <c r="K32" s="2" t="s">
        <v>20</v>
      </c>
      <c r="L32" s="13">
        <f>IF(L30&gt;0,1-TDIST(ABS(L30), L31,1),TDIST(ABS(L30), L31,1))</f>
        <v>4.0052400062444973E-3</v>
      </c>
      <c r="M32" s="94" t="s">
        <v>51</v>
      </c>
      <c r="N32" s="82">
        <f>N30*L27</f>
        <v>-0.26819746292774493</v>
      </c>
      <c r="O32" s="95" t="s">
        <v>52</v>
      </c>
      <c r="P32" s="84">
        <f>P30*L27</f>
        <v>0.26819746292774493</v>
      </c>
    </row>
    <row r="33" spans="1:16" s="4" customFormat="1" ht="14.25" customHeight="1" thickBot="1" x14ac:dyDescent="0.6">
      <c r="A33" s="94" t="s">
        <v>82</v>
      </c>
      <c r="B33" s="95"/>
      <c r="C33" s="34">
        <v>1</v>
      </c>
      <c r="D33" s="15"/>
      <c r="E33" s="89" t="s">
        <v>31</v>
      </c>
      <c r="F33" s="90"/>
      <c r="G33" s="90"/>
      <c r="H33" s="91"/>
      <c r="I33" s="89" t="s">
        <v>31</v>
      </c>
      <c r="J33" s="90"/>
      <c r="K33" s="90"/>
      <c r="L33" s="91"/>
      <c r="M33" s="98"/>
      <c r="N33" s="83"/>
      <c r="O33" s="99"/>
      <c r="P33" s="85"/>
    </row>
    <row r="34" spans="1:16" s="4" customFormat="1" ht="14.5" customHeight="1" x14ac:dyDescent="0.55000000000000004">
      <c r="A34" s="115" t="s">
        <v>35</v>
      </c>
      <c r="B34" s="116"/>
      <c r="C34" s="119">
        <f>ROUNDUP((MAX(2*(NORMSINV(1-C29)+NORMSINV(1-((1-C30)/2)))^2/(C31/C33)^2,2*(NORMSINV(1-C29)+NORMSINV(1-((1-C30)/2)))^2/(C32/C33)^2)),0)</f>
        <v>2102</v>
      </c>
      <c r="D34" s="15"/>
      <c r="E34" s="43" t="s">
        <v>19</v>
      </c>
      <c r="F34" s="7">
        <f>IF(ABS(F30)&lt;ABS(H30),F30,H30)</f>
        <v>-2.6930099917068135</v>
      </c>
      <c r="G34" s="2" t="s">
        <v>20</v>
      </c>
      <c r="H34" s="13">
        <f>MAX(F32,H32)</f>
        <v>3.8731101655779237E-3</v>
      </c>
      <c r="I34" s="43" t="s">
        <v>19</v>
      </c>
      <c r="J34" s="7">
        <f>IF(ABS(J30)&lt;ABS(L30),J30,L30)</f>
        <v>-2.681184748366948</v>
      </c>
      <c r="K34" s="2" t="s">
        <v>20</v>
      </c>
      <c r="L34" s="13">
        <f>MAX(J32,L32)</f>
        <v>4.0052400062444973E-3</v>
      </c>
    </row>
    <row r="35" spans="1:16" s="4" customFormat="1" ht="14.7" thickBot="1" x14ac:dyDescent="0.6">
      <c r="A35" s="117"/>
      <c r="B35" s="118"/>
      <c r="C35" s="120"/>
      <c r="D35" s="15"/>
      <c r="E35" s="124" t="str">
        <f>"The TOST procedure based on Welch's t-test indicated that the observed effect size (d = "&amp;ROUND(L25,2)&amp;") was "&amp;IF(H34&lt;0.05,"significantly","not significantly")&amp;" within the equivalent bounds of "&amp;ROUND(B26,2)&amp;" and  "&amp;ROUND(D26,2)&amp;" scale points, (or in Cohen's d: "&amp;ROUND(B26/L27,2)&amp;" and "&amp;ROUND(D26/L27,2)&amp;"), t("&amp;ROUND(H31,2)&amp;") = "&amp;ROUND(F34,2)&amp;", p = "&amp;ROUND(H34,3)</f>
        <v>The TOST procedure based on Welch's t-test indicated that the observed effect size (d = 0.03) was significantly within the equivalent bounds of -0.38 and  0.38 scale points, (or in Cohen's d: -0.43 and 0.43), t(181.13) = -2.69, p = 0.004</v>
      </c>
      <c r="F35" s="125"/>
      <c r="G35" s="125"/>
      <c r="H35" s="126"/>
      <c r="I35" s="124" t="str">
        <f>"The TOST procedure based on Student's t-test indicated that the observed effect size (d = "&amp;ROUND(L25,2)&amp;") was "&amp;IF(L34&lt;0.05,"significantly","not significantly")&amp;" within the equivalent bounds of "&amp;ROUND(B26,2)&amp;" and "&amp;ROUND(D26,2)&amp;" scale points, t("&amp;ROUND(L31,0)&amp;") = "&amp;ROUND(J34,2)&amp;", p = "&amp;ROUND(L34,3)</f>
        <v>The TOST procedure based on Student's t-test indicated that the observed effect size (d = 0.03) was significantly within the equivalent bounds of -0.38 and 0.38 scale points, t(182) = -2.68, p = 0.004</v>
      </c>
      <c r="J35" s="125"/>
      <c r="K35" s="125"/>
      <c r="L35" s="126"/>
    </row>
    <row r="36" spans="1:16" s="4" customFormat="1" x14ac:dyDescent="0.55000000000000004">
      <c r="A36" s="14"/>
      <c r="B36" s="15"/>
      <c r="C36" s="15"/>
      <c r="D36" s="15"/>
      <c r="E36" s="124"/>
      <c r="F36" s="125"/>
      <c r="G36" s="125"/>
      <c r="H36" s="126"/>
      <c r="I36" s="124"/>
      <c r="J36" s="125"/>
      <c r="K36" s="125"/>
      <c r="L36" s="126"/>
    </row>
    <row r="37" spans="1:16" s="4" customFormat="1" ht="14.7" thickBot="1" x14ac:dyDescent="0.6">
      <c r="A37" s="16"/>
      <c r="B37" s="17"/>
      <c r="C37" s="17"/>
      <c r="D37" s="17"/>
      <c r="E37" s="127"/>
      <c r="F37" s="128"/>
      <c r="G37" s="128"/>
      <c r="H37" s="129"/>
      <c r="I37" s="127"/>
      <c r="J37" s="128"/>
      <c r="K37" s="128"/>
      <c r="L37" s="129"/>
    </row>
    <row r="38" spans="1:16" x14ac:dyDescent="0.55000000000000004">
      <c r="C38" s="4"/>
    </row>
    <row r="39" spans="1:16" ht="14.7" thickBot="1" x14ac:dyDescent="0.6"/>
    <row r="40" spans="1:16" s="8" customFormat="1" ht="28.15" customHeight="1" thickBot="1" x14ac:dyDescent="0.6">
      <c r="A40" s="104" t="s">
        <v>86</v>
      </c>
      <c r="B40" s="105"/>
      <c r="C40" s="105"/>
      <c r="D40" s="105"/>
      <c r="E40" s="105"/>
      <c r="F40" s="105"/>
      <c r="G40" s="105"/>
      <c r="H40" s="106"/>
      <c r="I40" s="18"/>
      <c r="J40" s="19"/>
      <c r="K40" s="108" t="s">
        <v>64</v>
      </c>
      <c r="L40" s="109"/>
      <c r="M40" s="109"/>
      <c r="N40" s="110"/>
    </row>
    <row r="41" spans="1:16" ht="14.7" thickBot="1" x14ac:dyDescent="0.6">
      <c r="A41" s="50" t="s">
        <v>12</v>
      </c>
      <c r="B41" s="56">
        <v>59.2</v>
      </c>
      <c r="C41" s="52" t="s">
        <v>13</v>
      </c>
      <c r="D41" s="53">
        <v>59.5</v>
      </c>
      <c r="E41" s="44" t="s">
        <v>55</v>
      </c>
      <c r="F41" s="58">
        <f>H43-H45*_xlfn.T.INV.2T(0.1,(B43-1))</f>
        <v>-1.153479942895566</v>
      </c>
      <c r="G41" s="46" t="s">
        <v>56</v>
      </c>
      <c r="H41" s="59">
        <f>H43+H45*_xlfn.T.INV.2T(0.1,(B43-1))</f>
        <v>1.7534799428955603</v>
      </c>
      <c r="I41" s="15"/>
      <c r="J41" s="20"/>
      <c r="K41" s="111"/>
      <c r="L41" s="111"/>
      <c r="M41" s="111"/>
      <c r="N41" s="112"/>
    </row>
    <row r="42" spans="1:16" x14ac:dyDescent="0.55000000000000004">
      <c r="A42" s="35" t="s">
        <v>14</v>
      </c>
      <c r="B42" s="40">
        <v>9.5</v>
      </c>
      <c r="C42" s="36" t="s">
        <v>15</v>
      </c>
      <c r="D42" s="37">
        <v>10.1</v>
      </c>
      <c r="E42" s="89" t="s">
        <v>29</v>
      </c>
      <c r="F42" s="90"/>
      <c r="G42" s="90" t="s">
        <v>40</v>
      </c>
      <c r="H42" s="91"/>
      <c r="I42" s="96" t="s">
        <v>28</v>
      </c>
      <c r="J42" s="97"/>
      <c r="K42" s="81" t="s">
        <v>51</v>
      </c>
      <c r="L42" s="114">
        <v>-0.3</v>
      </c>
      <c r="M42" s="95" t="s">
        <v>52</v>
      </c>
      <c r="N42" s="113">
        <v>0.3</v>
      </c>
    </row>
    <row r="43" spans="1:16" ht="16.8" x14ac:dyDescent="0.75">
      <c r="A43" s="35" t="s">
        <v>0</v>
      </c>
      <c r="B43" s="10">
        <v>65</v>
      </c>
      <c r="C43" s="2" t="s">
        <v>5</v>
      </c>
      <c r="D43" s="37">
        <v>0.74499199999999999</v>
      </c>
      <c r="E43" s="43" t="s">
        <v>19</v>
      </c>
      <c r="F43" s="30">
        <f>H43/(H44/SQRT(B43))</f>
        <v>0.34448628614010329</v>
      </c>
      <c r="G43" s="1" t="s">
        <v>17</v>
      </c>
      <c r="H43" s="60">
        <f>D41-B41</f>
        <v>0.29999999999999716</v>
      </c>
      <c r="I43" s="35" t="s">
        <v>9</v>
      </c>
      <c r="J43" s="21">
        <f>H43/H44</f>
        <v>4.2728265071009831E-2</v>
      </c>
      <c r="K43" s="81"/>
      <c r="L43" s="114"/>
      <c r="M43" s="95"/>
      <c r="N43" s="113"/>
    </row>
    <row r="44" spans="1:16" ht="15.75" customHeight="1" x14ac:dyDescent="0.75">
      <c r="A44" s="94" t="s">
        <v>65</v>
      </c>
      <c r="B44" s="82">
        <v>-0.3</v>
      </c>
      <c r="C44" s="95" t="s">
        <v>66</v>
      </c>
      <c r="D44" s="84">
        <v>0.3</v>
      </c>
      <c r="E44" s="43" t="s">
        <v>21</v>
      </c>
      <c r="F44" s="3">
        <f>(B43-1)</f>
        <v>64</v>
      </c>
      <c r="G44" s="36" t="s">
        <v>53</v>
      </c>
      <c r="H44" s="22">
        <f>SQRT(B42^2+D42^2-2*D43*B42*D42)</f>
        <v>7.0211135299181713</v>
      </c>
      <c r="I44" s="35" t="s">
        <v>22</v>
      </c>
      <c r="J44" s="22">
        <f>J43*SQRT(2*(1-D43))</f>
        <v>3.0514563336597165E-2</v>
      </c>
      <c r="K44" s="81" t="s">
        <v>38</v>
      </c>
      <c r="L44" s="82">
        <f>L42/H44</f>
        <v>-4.2728265071010241E-2</v>
      </c>
      <c r="M44" s="95" t="s">
        <v>39</v>
      </c>
      <c r="N44" s="84">
        <f>N42/H44</f>
        <v>4.2728265071010241E-2</v>
      </c>
    </row>
    <row r="45" spans="1:16" ht="17.100000000000001" thickBot="1" x14ac:dyDescent="0.8">
      <c r="A45" s="98"/>
      <c r="B45" s="83"/>
      <c r="C45" s="99"/>
      <c r="D45" s="85"/>
      <c r="E45" s="48" t="s">
        <v>20</v>
      </c>
      <c r="F45" s="49">
        <f>TDIST(ABS(F43), F44,2)</f>
        <v>0.73161003276078151</v>
      </c>
      <c r="G45" s="54" t="s">
        <v>18</v>
      </c>
      <c r="H45" s="61">
        <f>SQRT(((B42^2/B43)+(D42^2/B43))-(2*D43*(B42/SQRT(B43))*(D42/SQRT(B43))))</f>
        <v>0.87086195320410065</v>
      </c>
      <c r="I45" s="35" t="s">
        <v>23</v>
      </c>
      <c r="J45" s="22">
        <f>J44*(1-(3/(4*(B43-1)-1)))</f>
        <v>3.015556847381367E-2</v>
      </c>
      <c r="K45" s="107"/>
      <c r="L45" s="83"/>
      <c r="M45" s="99"/>
      <c r="N45" s="85"/>
    </row>
    <row r="46" spans="1:16" ht="16.8" x14ac:dyDescent="0.75">
      <c r="A46" s="100" t="s">
        <v>37</v>
      </c>
      <c r="B46" s="101"/>
      <c r="C46" s="102"/>
      <c r="D46" s="15"/>
      <c r="E46" s="96" t="s">
        <v>30</v>
      </c>
      <c r="F46" s="103"/>
      <c r="G46" s="103"/>
      <c r="H46" s="97"/>
      <c r="I46" s="35" t="s">
        <v>11</v>
      </c>
      <c r="J46" s="22">
        <f>H43/SQRT(((B42^2+D42^2)/2))</f>
        <v>3.0597911457843109E-2</v>
      </c>
      <c r="K46" s="108" t="s">
        <v>67</v>
      </c>
      <c r="L46" s="109"/>
      <c r="M46" s="109"/>
      <c r="N46" s="110"/>
    </row>
    <row r="47" spans="1:16" ht="17.100000000000001" thickBot="1" x14ac:dyDescent="0.8">
      <c r="A47" s="92" t="s">
        <v>36</v>
      </c>
      <c r="B47" s="93"/>
      <c r="C47" s="29">
        <v>0.05</v>
      </c>
      <c r="D47" s="15"/>
      <c r="E47" s="89" t="s">
        <v>26</v>
      </c>
      <c r="F47" s="90"/>
      <c r="G47" s="90" t="s">
        <v>27</v>
      </c>
      <c r="H47" s="91"/>
      <c r="I47" s="62" t="s">
        <v>16</v>
      </c>
      <c r="J47" s="63">
        <f>J46*(1-(3/(4*(B43-1)-1)))</f>
        <v>3.0237936028927308E-2</v>
      </c>
      <c r="K47" s="111"/>
      <c r="L47" s="111"/>
      <c r="M47" s="111"/>
      <c r="N47" s="112"/>
    </row>
    <row r="48" spans="1:16" ht="14.5" customHeight="1" x14ac:dyDescent="0.55000000000000004">
      <c r="A48" s="92" t="s">
        <v>32</v>
      </c>
      <c r="B48" s="93"/>
      <c r="C48" s="29">
        <v>0.8</v>
      </c>
      <c r="D48" s="15"/>
      <c r="E48" s="43" t="s">
        <v>19</v>
      </c>
      <c r="F48" s="7">
        <f>(H43+(B44*H44))/H45</f>
        <v>-2.0741910383494617</v>
      </c>
      <c r="G48" s="2" t="s">
        <v>19</v>
      </c>
      <c r="H48" s="13">
        <f>(H43+(D44*H44))/H45</f>
        <v>2.7631636106296686</v>
      </c>
      <c r="I48" s="15"/>
      <c r="J48" s="20"/>
      <c r="K48" s="95" t="s">
        <v>39</v>
      </c>
      <c r="L48" s="114">
        <v>-0.3373417061798305</v>
      </c>
      <c r="M48" s="95" t="s">
        <v>39</v>
      </c>
      <c r="N48" s="113">
        <v>0.3373417061798305</v>
      </c>
    </row>
    <row r="49" spans="1:14" ht="14.7" thickBot="1" x14ac:dyDescent="0.6">
      <c r="A49" s="94" t="s">
        <v>41</v>
      </c>
      <c r="B49" s="95"/>
      <c r="C49" s="29">
        <v>-0.3</v>
      </c>
      <c r="D49" s="15"/>
      <c r="E49" s="43" t="s">
        <v>21</v>
      </c>
      <c r="F49" s="3">
        <f>B43-1</f>
        <v>64</v>
      </c>
      <c r="G49" s="2" t="s">
        <v>21</v>
      </c>
      <c r="H49" s="24">
        <f>B43-1</f>
        <v>64</v>
      </c>
      <c r="I49" s="15"/>
      <c r="J49" s="20"/>
      <c r="K49" s="99"/>
      <c r="L49" s="114"/>
      <c r="M49" s="99"/>
      <c r="N49" s="113"/>
    </row>
    <row r="50" spans="1:14" ht="14.5" customHeight="1" x14ac:dyDescent="0.55000000000000004">
      <c r="A50" s="94" t="s">
        <v>42</v>
      </c>
      <c r="B50" s="95"/>
      <c r="C50" s="29">
        <v>0.3</v>
      </c>
      <c r="D50" s="15"/>
      <c r="E50" s="43" t="s">
        <v>20</v>
      </c>
      <c r="F50" s="7">
        <f>IF(F48&gt;0,1-TDIST(ABS(F48), F49,1),TDIST(ABS(F48), F49,1))</f>
        <v>2.1044672414518021E-2</v>
      </c>
      <c r="G50" s="2" t="s">
        <v>20</v>
      </c>
      <c r="H50" s="13">
        <f>IF(H48&lt;0,1-TDIST(ABS(H48), H49,1),TDIST(ABS(H48), H49,1))</f>
        <v>3.7329538961506218E-3</v>
      </c>
      <c r="I50" s="15"/>
      <c r="J50" s="20"/>
      <c r="K50" s="81" t="s">
        <v>51</v>
      </c>
      <c r="L50" s="82">
        <f>L48*H44</f>
        <v>-2.3685144174648882</v>
      </c>
      <c r="M50" s="81" t="s">
        <v>51</v>
      </c>
      <c r="N50" s="84">
        <f>N48*H44</f>
        <v>2.3685144174648882</v>
      </c>
    </row>
    <row r="51" spans="1:14" ht="14.25" customHeight="1" thickBot="1" x14ac:dyDescent="0.6">
      <c r="A51" s="115" t="s">
        <v>54</v>
      </c>
      <c r="B51" s="116"/>
      <c r="C51" s="119">
        <f>ROUNDUP(MAX(((NORMSINV(1-C47)+NORMSINV(1-((1-C48)/2)))^2/(C49)^2),((NORMSINV(1-C47)+NORMSINV(1-((1-C48)/2)))^2/(C50)^2)),0)</f>
        <v>96</v>
      </c>
      <c r="D51" s="15"/>
      <c r="E51" s="89" t="s">
        <v>31</v>
      </c>
      <c r="F51" s="90"/>
      <c r="G51" s="90"/>
      <c r="H51" s="91"/>
      <c r="I51" s="15"/>
      <c r="J51" s="20"/>
      <c r="K51" s="81"/>
      <c r="L51" s="83"/>
      <c r="M51" s="81"/>
      <c r="N51" s="85"/>
    </row>
    <row r="52" spans="1:14" ht="14.7" thickBot="1" x14ac:dyDescent="0.6">
      <c r="A52" s="117"/>
      <c r="B52" s="118"/>
      <c r="C52" s="120"/>
      <c r="D52" s="15"/>
      <c r="E52" s="43" t="s">
        <v>19</v>
      </c>
      <c r="F52" s="7">
        <f>IF(ABS(F48)&lt;ABS(H48),F48,H48)</f>
        <v>-2.0741910383494617</v>
      </c>
      <c r="G52" s="2" t="s">
        <v>20</v>
      </c>
      <c r="H52" s="13">
        <f>MAX(F50,H50)</f>
        <v>2.1044672414518021E-2</v>
      </c>
      <c r="I52" s="15"/>
      <c r="J52" s="20"/>
      <c r="K52" s="5"/>
    </row>
    <row r="53" spans="1:14" x14ac:dyDescent="0.55000000000000004">
      <c r="D53" s="15"/>
      <c r="E53" s="124" t="str">
        <f>"The TOST procedure indicated that the observed effect size (dz = "&amp;ROUND(J43,2)&amp;") was "&amp;IF(H52&lt;0.05,"significantly","not significantly")&amp;" within the equivalent bounds of dz = "&amp;B44&amp;" and dz = "&amp;D44&amp;", (or in raw scores: "&amp;ROUND(B44*H44,2)&amp;" and "&amp;ROUND(D44*H44,2)&amp;"), t("&amp;ROUND(H49,0)&amp;") = "&amp;ROUND(F52,2)&amp;", p = "&amp;ROUND(H52,3)</f>
        <v>The TOST procedure indicated that the observed effect size (dz = 0.04) was significantly within the equivalent bounds of dz = -0.3 and dz = 0.3, (or in raw scores: -2.11 and 2.11), t(64) = -2.07, p = 0.021</v>
      </c>
      <c r="F53" s="125"/>
      <c r="G53" s="125"/>
      <c r="H53" s="126"/>
      <c r="I53" s="15"/>
      <c r="J53" s="20"/>
      <c r="K53" s="5"/>
    </row>
    <row r="54" spans="1:14" x14ac:dyDescent="0.55000000000000004">
      <c r="D54" s="15"/>
      <c r="E54" s="124"/>
      <c r="F54" s="125"/>
      <c r="G54" s="125"/>
      <c r="H54" s="126"/>
      <c r="I54" s="15"/>
      <c r="J54" s="20"/>
    </row>
    <row r="55" spans="1:14" ht="14.7" thickBot="1" x14ac:dyDescent="0.6">
      <c r="A55" s="16"/>
      <c r="B55" s="17"/>
      <c r="C55" s="17"/>
      <c r="D55" s="17"/>
      <c r="E55" s="127"/>
      <c r="F55" s="128"/>
      <c r="G55" s="128"/>
      <c r="H55" s="129"/>
      <c r="I55" s="17"/>
      <c r="J55" s="23"/>
    </row>
    <row r="56" spans="1:14" s="4" customFormat="1" x14ac:dyDescent="0.55000000000000004">
      <c r="A56" s="15"/>
      <c r="B56" s="15"/>
      <c r="C56" s="15"/>
      <c r="D56" s="15"/>
      <c r="I56" s="15"/>
      <c r="J56" s="15"/>
    </row>
    <row r="57" spans="1:14" s="4" customFormat="1" ht="14.7" thickBot="1" x14ac:dyDescent="0.6">
      <c r="A57" s="15"/>
      <c r="B57" s="15"/>
      <c r="C57" s="15"/>
      <c r="D57" s="15"/>
      <c r="I57" s="15"/>
      <c r="J57" s="15"/>
    </row>
    <row r="58" spans="1:14" s="8" customFormat="1" ht="28.15" customHeight="1" thickBot="1" x14ac:dyDescent="0.6">
      <c r="A58" s="104" t="s">
        <v>87</v>
      </c>
      <c r="B58" s="105"/>
      <c r="C58" s="105"/>
      <c r="D58" s="105"/>
      <c r="E58" s="105"/>
      <c r="F58" s="105"/>
      <c r="G58" s="105"/>
      <c r="H58" s="106"/>
      <c r="I58" s="18"/>
      <c r="J58" s="19"/>
      <c r="K58" s="108" t="s">
        <v>64</v>
      </c>
      <c r="L58" s="109"/>
      <c r="M58" s="109"/>
      <c r="N58" s="110"/>
    </row>
    <row r="59" spans="1:14" s="4" customFormat="1" ht="14.7" thickBot="1" x14ac:dyDescent="0.6">
      <c r="A59" s="50" t="s">
        <v>12</v>
      </c>
      <c r="B59" s="56">
        <v>2.6110000000000002</v>
      </c>
      <c r="C59" s="52" t="s">
        <v>13</v>
      </c>
      <c r="D59" s="53">
        <v>2.3332999999999999</v>
      </c>
      <c r="E59" s="44" t="s">
        <v>55</v>
      </c>
      <c r="F59" s="58">
        <f>H61-H63*_xlfn.T.INV.2T(0.1,(B61-1))</f>
        <v>-0.67067344496895653</v>
      </c>
      <c r="G59" s="46" t="s">
        <v>56</v>
      </c>
      <c r="H59" s="59">
        <f>H61+H63*_xlfn.T.INV.2T(0.1,(B61-1))</f>
        <v>0.11527344496895597</v>
      </c>
      <c r="I59" s="15"/>
      <c r="J59" s="20"/>
      <c r="K59" s="111"/>
      <c r="L59" s="111"/>
      <c r="M59" s="111"/>
      <c r="N59" s="112"/>
    </row>
    <row r="60" spans="1:14" s="4" customFormat="1" x14ac:dyDescent="0.55000000000000004">
      <c r="A60" s="35" t="s">
        <v>14</v>
      </c>
      <c r="B60" s="40">
        <v>0.69779999999999998</v>
      </c>
      <c r="C60" s="36" t="s">
        <v>15</v>
      </c>
      <c r="D60" s="72">
        <v>0.48507</v>
      </c>
      <c r="E60" s="89" t="s">
        <v>29</v>
      </c>
      <c r="F60" s="90"/>
      <c r="G60" s="90" t="s">
        <v>40</v>
      </c>
      <c r="H60" s="91"/>
      <c r="I60" s="123" t="s">
        <v>28</v>
      </c>
      <c r="J60" s="97"/>
      <c r="K60" s="81" t="s">
        <v>51</v>
      </c>
      <c r="L60" s="114">
        <v>-0.3</v>
      </c>
      <c r="M60" s="95" t="s">
        <v>52</v>
      </c>
      <c r="N60" s="113">
        <v>0.3</v>
      </c>
    </row>
    <row r="61" spans="1:14" s="4" customFormat="1" ht="16.8" x14ac:dyDescent="0.75">
      <c r="A61" s="35" t="s">
        <v>0</v>
      </c>
      <c r="B61" s="10">
        <v>18</v>
      </c>
      <c r="C61" s="2" t="s">
        <v>5</v>
      </c>
      <c r="D61" s="37">
        <v>-0.28999999999999998</v>
      </c>
      <c r="E61" s="43" t="s">
        <v>19</v>
      </c>
      <c r="F61" s="30">
        <f>H61/(H62/SQRT(B61))</f>
        <v>-1.2293166218119671</v>
      </c>
      <c r="G61" s="1" t="s">
        <v>17</v>
      </c>
      <c r="H61" s="60">
        <f>D59-B59</f>
        <v>-0.27770000000000028</v>
      </c>
      <c r="I61" s="57" t="s">
        <v>9</v>
      </c>
      <c r="J61" s="21">
        <f>H61/H62</f>
        <v>-0.28975270650286011</v>
      </c>
      <c r="K61" s="81"/>
      <c r="L61" s="114"/>
      <c r="M61" s="95"/>
      <c r="N61" s="113"/>
    </row>
    <row r="62" spans="1:14" s="4" customFormat="1" ht="15.75" customHeight="1" x14ac:dyDescent="0.75">
      <c r="A62" s="94" t="s">
        <v>88</v>
      </c>
      <c r="B62" s="82">
        <v>-0.4</v>
      </c>
      <c r="C62" s="95" t="s">
        <v>89</v>
      </c>
      <c r="D62" s="84">
        <v>0.4</v>
      </c>
      <c r="E62" s="43" t="s">
        <v>21</v>
      </c>
      <c r="F62" s="3">
        <f>(B61-1)</f>
        <v>17</v>
      </c>
      <c r="G62" s="36" t="s">
        <v>53</v>
      </c>
      <c r="H62" s="22">
        <f>SQRT(B60^2+D60^2-2*D61*B60*D60)</f>
        <v>0.95840347222868516</v>
      </c>
      <c r="I62" s="57" t="s">
        <v>22</v>
      </c>
      <c r="J62" s="22">
        <f>J61*SQRT(2*(1-D61))</f>
        <v>-0.46541176154926517</v>
      </c>
      <c r="K62" s="81" t="s">
        <v>38</v>
      </c>
      <c r="L62" s="82">
        <f>L60/H62</f>
        <v>-0.31302056878234769</v>
      </c>
      <c r="M62" s="95" t="s">
        <v>39</v>
      </c>
      <c r="N62" s="84">
        <f>N60/H62</f>
        <v>0.31302056878234769</v>
      </c>
    </row>
    <row r="63" spans="1:14" s="4" customFormat="1" ht="17.100000000000001" thickBot="1" x14ac:dyDescent="0.8">
      <c r="A63" s="98"/>
      <c r="B63" s="83"/>
      <c r="C63" s="99"/>
      <c r="D63" s="85"/>
      <c r="E63" s="48" t="s">
        <v>20</v>
      </c>
      <c r="F63" s="49">
        <f>TDIST(ABS(F61), F62,2)</f>
        <v>0.23569726894179127</v>
      </c>
      <c r="G63" s="54" t="s">
        <v>18</v>
      </c>
      <c r="H63" s="61">
        <f>SQRT(((B60^2/B61)+(D60^2/B61))-(2*D61*(B60/SQRT(B61))*(D60/SQRT(B61))))</f>
        <v>0.22589786477521206</v>
      </c>
      <c r="I63" s="57" t="s">
        <v>23</v>
      </c>
      <c r="J63" s="22">
        <f>J62*(1-(3/(4*(B61-1)-1)))</f>
        <v>-0.44457242894258164</v>
      </c>
      <c r="K63" s="107"/>
      <c r="L63" s="83"/>
      <c r="M63" s="99"/>
      <c r="N63" s="85"/>
    </row>
    <row r="64" spans="1:14" s="4" customFormat="1" ht="16.8" x14ac:dyDescent="0.75">
      <c r="A64" s="100" t="s">
        <v>37</v>
      </c>
      <c r="B64" s="101"/>
      <c r="C64" s="102"/>
      <c r="D64" s="15"/>
      <c r="E64" s="96" t="s">
        <v>30</v>
      </c>
      <c r="F64" s="103"/>
      <c r="G64" s="103"/>
      <c r="H64" s="97"/>
      <c r="I64" s="57" t="s">
        <v>11</v>
      </c>
      <c r="J64" s="22">
        <f>H61/SQRT(((B60^2+D60^2)/2))</f>
        <v>-0.46212216591042699</v>
      </c>
      <c r="K64" s="108" t="s">
        <v>67</v>
      </c>
      <c r="L64" s="109"/>
      <c r="M64" s="109"/>
      <c r="N64" s="110"/>
    </row>
    <row r="65" spans="1:14" s="4" customFormat="1" ht="17.100000000000001" thickBot="1" x14ac:dyDescent="0.8">
      <c r="A65" s="92" t="s">
        <v>36</v>
      </c>
      <c r="B65" s="93"/>
      <c r="C65" s="31">
        <v>2.5000000000000001E-2</v>
      </c>
      <c r="D65" s="15"/>
      <c r="E65" s="89" t="s">
        <v>26</v>
      </c>
      <c r="F65" s="90"/>
      <c r="G65" s="90" t="s">
        <v>27</v>
      </c>
      <c r="H65" s="91"/>
      <c r="I65" s="64" t="s">
        <v>16</v>
      </c>
      <c r="J65" s="63">
        <f>J64*(1-(3/(4*(B61-1)-1)))</f>
        <v>-0.44143012863085562</v>
      </c>
      <c r="K65" s="111"/>
      <c r="L65" s="111"/>
      <c r="M65" s="111"/>
      <c r="N65" s="112"/>
    </row>
    <row r="66" spans="1:14" s="4" customFormat="1" ht="14.5" customHeight="1" x14ac:dyDescent="0.55000000000000004">
      <c r="A66" s="92" t="s">
        <v>32</v>
      </c>
      <c r="B66" s="93"/>
      <c r="C66" s="31">
        <v>0.9</v>
      </c>
      <c r="D66" s="15"/>
      <c r="E66" s="43" t="s">
        <v>19</v>
      </c>
      <c r="F66" s="7">
        <f>(H61+(B62))/H63</f>
        <v>-3.0000283565069128</v>
      </c>
      <c r="G66" s="2" t="s">
        <v>19</v>
      </c>
      <c r="H66" s="13">
        <f>(H61+(D62))/H63</f>
        <v>0.54139511288297848</v>
      </c>
      <c r="I66" s="15"/>
      <c r="J66" s="20"/>
      <c r="K66" s="95" t="s">
        <v>39</v>
      </c>
      <c r="L66" s="114">
        <v>-0.3373417061798305</v>
      </c>
      <c r="M66" s="95" t="s">
        <v>39</v>
      </c>
      <c r="N66" s="113">
        <v>0.3373417061798305</v>
      </c>
    </row>
    <row r="67" spans="1:14" s="4" customFormat="1" ht="14.7" thickBot="1" x14ac:dyDescent="0.6">
      <c r="A67" s="94" t="s">
        <v>83</v>
      </c>
      <c r="B67" s="95"/>
      <c r="C67" s="31">
        <v>-10</v>
      </c>
      <c r="D67" s="15"/>
      <c r="E67" s="43" t="s">
        <v>21</v>
      </c>
      <c r="F67" s="3">
        <f>B61-1</f>
        <v>17</v>
      </c>
      <c r="G67" s="2" t="s">
        <v>21</v>
      </c>
      <c r="H67" s="24">
        <f>B61-1</f>
        <v>17</v>
      </c>
      <c r="I67" s="15"/>
      <c r="J67" s="20"/>
      <c r="K67" s="99"/>
      <c r="L67" s="114"/>
      <c r="M67" s="99"/>
      <c r="N67" s="113"/>
    </row>
    <row r="68" spans="1:14" s="4" customFormat="1" ht="14.5" customHeight="1" x14ac:dyDescent="0.55000000000000004">
      <c r="A68" s="94" t="s">
        <v>84</v>
      </c>
      <c r="B68" s="95"/>
      <c r="C68" s="31">
        <v>10</v>
      </c>
      <c r="D68" s="15"/>
      <c r="E68" s="43" t="s">
        <v>20</v>
      </c>
      <c r="F68" s="7">
        <f>IF(F66&gt;0,1-TDIST(ABS(F66), F67,1),TDIST(ABS(F66), F67,1))</f>
        <v>4.0271049336528669E-3</v>
      </c>
      <c r="G68" s="2" t="s">
        <v>20</v>
      </c>
      <c r="H68" s="13">
        <f>IF(H66&lt;0,1-TDIST(ABS(H66), H67,1),TDIST(ABS(H66), H67,1))</f>
        <v>0.29762995937351111</v>
      </c>
      <c r="I68" s="15"/>
      <c r="J68" s="20"/>
      <c r="K68" s="81" t="s">
        <v>51</v>
      </c>
      <c r="L68" s="82">
        <f>L66*H62</f>
        <v>-0.32330946253029846</v>
      </c>
      <c r="M68" s="81" t="s">
        <v>51</v>
      </c>
      <c r="N68" s="84">
        <f>N66*H62</f>
        <v>0.32330946253029846</v>
      </c>
    </row>
    <row r="69" spans="1:14" s="4" customFormat="1" ht="14.25" customHeight="1" thickBot="1" x14ac:dyDescent="0.6">
      <c r="A69" s="86" t="s">
        <v>90</v>
      </c>
      <c r="B69" s="87"/>
      <c r="C69" s="88">
        <v>0</v>
      </c>
      <c r="D69" s="15"/>
      <c r="E69" s="89" t="s">
        <v>31</v>
      </c>
      <c r="F69" s="90"/>
      <c r="G69" s="90"/>
      <c r="H69" s="91"/>
      <c r="I69" s="15"/>
      <c r="J69" s="20"/>
      <c r="K69" s="81"/>
      <c r="L69" s="83"/>
      <c r="M69" s="81"/>
      <c r="N69" s="85"/>
    </row>
    <row r="70" spans="1:14" s="4" customFormat="1" x14ac:dyDescent="0.55000000000000004">
      <c r="A70" s="86"/>
      <c r="B70" s="87"/>
      <c r="C70" s="88"/>
      <c r="D70" s="15"/>
      <c r="E70" s="43" t="s">
        <v>19</v>
      </c>
      <c r="F70" s="7">
        <f>IF(ABS(F66)&lt;ABS(H66),F66,H66)</f>
        <v>0.54139511288297848</v>
      </c>
      <c r="G70" s="2" t="s">
        <v>20</v>
      </c>
      <c r="H70" s="13">
        <f>MAX(F68,H68)</f>
        <v>0.29762995937351111</v>
      </c>
      <c r="I70" s="15"/>
      <c r="J70" s="20"/>
      <c r="K70" s="5"/>
    </row>
    <row r="71" spans="1:14" s="4" customFormat="1" ht="15.6" x14ac:dyDescent="0.75">
      <c r="A71" s="94" t="s">
        <v>53</v>
      </c>
      <c r="B71" s="95"/>
      <c r="C71" s="31">
        <v>50</v>
      </c>
      <c r="D71" s="15"/>
      <c r="E71" s="124" t="str">
        <f>"The TOST procedure indicated that the observed effect size (dz = "&amp;ROUND(J61,2)&amp;") was "&amp;IF(H70&lt;0.05,"significantly","not significantly")&amp;" within the equivalent bounds of "&amp;B62&amp;" and "&amp;D62&amp;" scale points, (or in Cohen's dz: "&amp;ROUND(B62/H62,2)&amp;" and "&amp;ROUND(D62/H62,2)&amp;"), t("&amp;ROUND(H67,0)&amp;") = "&amp;ROUND(F70,2)&amp;", p = "&amp;ROUND(H70,3)</f>
        <v>The TOST procedure indicated that the observed effect size (dz = -0.29) was not significantly within the equivalent bounds of -0.4 and 0.4 scale points, (or in Cohen's dz: -0.42 and 0.42), t(17) = 0.54, p = 0.298</v>
      </c>
      <c r="F71" s="125"/>
      <c r="G71" s="125"/>
      <c r="H71" s="126"/>
      <c r="I71" s="15"/>
      <c r="J71" s="20"/>
      <c r="K71" s="5"/>
    </row>
    <row r="72" spans="1:14" s="4" customFormat="1" x14ac:dyDescent="0.55000000000000004">
      <c r="A72" s="115" t="s">
        <v>54</v>
      </c>
      <c r="B72" s="116"/>
      <c r="C72" s="119">
        <f>ROUNDUP(MAX(((NORMSINV(1-C65)+NORMSINV(1-((1-C66)/2)))^2/(C69/C71-C67/C71)^2),((NORMSINV(1-C65)+NORMSINV(1-((1-C66)/2)))^2/(C68/C71-C69/C71)^2)),0)</f>
        <v>325</v>
      </c>
      <c r="D72" s="15"/>
      <c r="E72" s="124"/>
      <c r="F72" s="125"/>
      <c r="G72" s="125"/>
      <c r="H72" s="126"/>
      <c r="I72" s="15"/>
      <c r="J72" s="20"/>
    </row>
    <row r="73" spans="1:14" s="4" customFormat="1" ht="14.7" thickBot="1" x14ac:dyDescent="0.6">
      <c r="A73" s="117"/>
      <c r="B73" s="118"/>
      <c r="C73" s="120"/>
      <c r="D73" s="17"/>
      <c r="E73" s="127"/>
      <c r="F73" s="128"/>
      <c r="G73" s="128"/>
      <c r="H73" s="129"/>
      <c r="I73" s="17"/>
      <c r="J73" s="23"/>
    </row>
    <row r="74" spans="1:14" s="4" customFormat="1" x14ac:dyDescent="0.55000000000000004">
      <c r="D74" s="15"/>
      <c r="I74" s="15"/>
      <c r="J74" s="15"/>
    </row>
    <row r="75" spans="1:14" ht="14.7" thickBot="1" x14ac:dyDescent="0.6"/>
    <row r="76" spans="1:14" s="8" customFormat="1" ht="28.15" customHeight="1" thickBot="1" x14ac:dyDescent="0.6">
      <c r="A76" s="104" t="s">
        <v>85</v>
      </c>
      <c r="B76" s="105"/>
      <c r="C76" s="105"/>
      <c r="D76" s="105"/>
      <c r="E76" s="105"/>
      <c r="F76" s="105"/>
      <c r="G76" s="105"/>
      <c r="H76" s="106"/>
      <c r="I76" s="18"/>
      <c r="J76" s="19"/>
      <c r="K76" s="33"/>
      <c r="L76" s="33"/>
      <c r="M76" s="33"/>
      <c r="N76" s="33"/>
    </row>
    <row r="77" spans="1:14" s="4" customFormat="1" ht="14.7" thickBot="1" x14ac:dyDescent="0.6">
      <c r="A77" s="50" t="s">
        <v>77</v>
      </c>
      <c r="B77" s="56">
        <v>6.05</v>
      </c>
      <c r="C77" s="52" t="s">
        <v>72</v>
      </c>
      <c r="D77" s="53">
        <v>6</v>
      </c>
      <c r="E77" s="44" t="s">
        <v>55</v>
      </c>
      <c r="F77" s="58">
        <f>H79-H81*_xlfn.T.INV.2T(0.1,(B79-1))</f>
        <v>-0.51454656433255308</v>
      </c>
      <c r="G77" s="46" t="s">
        <v>56</v>
      </c>
      <c r="H77" s="59">
        <f>H79+H81*_xlfn.T.INV.2T(0.1,(B79-1))</f>
        <v>0.61454656433255272</v>
      </c>
      <c r="I77" s="15"/>
      <c r="J77" s="20"/>
      <c r="K77" s="33"/>
      <c r="L77" s="33"/>
      <c r="M77" s="33"/>
      <c r="N77" s="33"/>
    </row>
    <row r="78" spans="1:14" s="4" customFormat="1" x14ac:dyDescent="0.55000000000000004">
      <c r="A78" s="35" t="s">
        <v>76</v>
      </c>
      <c r="B78" s="39">
        <v>1.5</v>
      </c>
      <c r="C78" s="15"/>
      <c r="D78" s="20"/>
      <c r="E78" s="89" t="s">
        <v>29</v>
      </c>
      <c r="F78" s="90"/>
      <c r="G78" s="90" t="s">
        <v>40</v>
      </c>
      <c r="H78" s="91"/>
      <c r="I78" s="96" t="s">
        <v>28</v>
      </c>
      <c r="J78" s="97"/>
      <c r="K78" s="33"/>
      <c r="L78" s="33"/>
      <c r="M78" s="33"/>
      <c r="N78" s="33"/>
    </row>
    <row r="79" spans="1:14" s="4" customFormat="1" ht="16.8" x14ac:dyDescent="0.75">
      <c r="A79" s="35" t="s">
        <v>73</v>
      </c>
      <c r="B79" s="10">
        <v>21</v>
      </c>
      <c r="C79" s="15"/>
      <c r="D79" s="20"/>
      <c r="E79" s="43" t="s">
        <v>19</v>
      </c>
      <c r="F79" s="30">
        <f>(B77-D77)/(B78/SQRT(B79))</f>
        <v>0.15275252316519411</v>
      </c>
      <c r="G79" s="1" t="s">
        <v>17</v>
      </c>
      <c r="H79" s="60">
        <f>B77-D77</f>
        <v>4.9999999999999822E-2</v>
      </c>
      <c r="I79" s="35" t="s">
        <v>46</v>
      </c>
      <c r="J79" s="21">
        <f>H79/H80</f>
        <v>3.3333333333333215E-2</v>
      </c>
      <c r="K79" s="33"/>
      <c r="L79" s="33"/>
      <c r="M79" s="33"/>
      <c r="N79" s="33"/>
    </row>
    <row r="80" spans="1:14" s="4" customFormat="1" ht="15.75" customHeight="1" thickBot="1" x14ac:dyDescent="0.8">
      <c r="A80" s="94" t="s">
        <v>74</v>
      </c>
      <c r="B80" s="82">
        <v>-0.68</v>
      </c>
      <c r="C80" s="95" t="s">
        <v>75</v>
      </c>
      <c r="D80" s="84">
        <v>0.68</v>
      </c>
      <c r="E80" s="43" t="s">
        <v>21</v>
      </c>
      <c r="F80" s="3">
        <f>(B79-1)</f>
        <v>20</v>
      </c>
      <c r="G80" s="36" t="s">
        <v>53</v>
      </c>
      <c r="H80" s="22">
        <f>SQRT(B78^2+D78^2-2*D79*B78*D78)</f>
        <v>1.5</v>
      </c>
      <c r="I80" s="65" t="s">
        <v>93</v>
      </c>
      <c r="J80" s="63">
        <f>J79*(1-(3/(4*(B79-1)-1)))</f>
        <v>3.2067510548523095E-2</v>
      </c>
      <c r="K80" s="33"/>
      <c r="L80" s="33"/>
      <c r="M80" s="33"/>
      <c r="N80" s="33"/>
    </row>
    <row r="81" spans="1:14" s="4" customFormat="1" ht="17.100000000000001" thickBot="1" x14ac:dyDescent="0.8">
      <c r="A81" s="98"/>
      <c r="B81" s="83"/>
      <c r="C81" s="99"/>
      <c r="D81" s="85"/>
      <c r="E81" s="48" t="s">
        <v>20</v>
      </c>
      <c r="F81" s="49">
        <f>TDIST(ABS(F79), F80,2)</f>
        <v>0.88012401992234501</v>
      </c>
      <c r="G81" s="54" t="s">
        <v>18</v>
      </c>
      <c r="H81" s="61">
        <f>H80/SQRT(B79)</f>
        <v>0.3273268353539886</v>
      </c>
      <c r="I81" s="15"/>
      <c r="J81" s="20"/>
      <c r="K81" s="33"/>
      <c r="L81" s="33"/>
      <c r="M81" s="33"/>
      <c r="N81" s="33"/>
    </row>
    <row r="82" spans="1:14" s="4" customFormat="1" x14ac:dyDescent="0.55000000000000004">
      <c r="A82" s="100" t="s">
        <v>37</v>
      </c>
      <c r="B82" s="101"/>
      <c r="C82" s="102"/>
      <c r="D82" s="15"/>
      <c r="E82" s="96" t="s">
        <v>30</v>
      </c>
      <c r="F82" s="103"/>
      <c r="G82" s="103"/>
      <c r="H82" s="97"/>
      <c r="I82" s="15"/>
      <c r="J82" s="20"/>
      <c r="K82" s="33"/>
      <c r="L82" s="33"/>
      <c r="M82" s="33"/>
      <c r="N82" s="33"/>
    </row>
    <row r="83" spans="1:14" s="4" customFormat="1" x14ac:dyDescent="0.55000000000000004">
      <c r="A83" s="92" t="s">
        <v>36</v>
      </c>
      <c r="B83" s="93"/>
      <c r="C83" s="37">
        <v>0.05</v>
      </c>
      <c r="D83" s="15"/>
      <c r="E83" s="89" t="s">
        <v>26</v>
      </c>
      <c r="F83" s="90"/>
      <c r="G83" s="90" t="s">
        <v>27</v>
      </c>
      <c r="H83" s="91"/>
      <c r="I83" s="15"/>
      <c r="J83" s="20"/>
      <c r="K83" s="33"/>
      <c r="L83" s="33"/>
      <c r="M83" s="33"/>
      <c r="N83" s="33"/>
    </row>
    <row r="84" spans="1:14" s="4" customFormat="1" ht="14.5" customHeight="1" x14ac:dyDescent="0.55000000000000004">
      <c r="A84" s="92" t="s">
        <v>32</v>
      </c>
      <c r="B84" s="93"/>
      <c r="C84" s="37">
        <v>0.8</v>
      </c>
      <c r="D84" s="15"/>
      <c r="E84" s="43" t="s">
        <v>19</v>
      </c>
      <c r="F84" s="7">
        <f>(H79-(B80*B78))/H81</f>
        <v>3.2689039957351653</v>
      </c>
      <c r="G84" s="2" t="s">
        <v>19</v>
      </c>
      <c r="H84" s="13">
        <f>(H79-(D80*B78))/H81</f>
        <v>-2.9633989494047768</v>
      </c>
      <c r="I84" s="15"/>
      <c r="J84" s="20"/>
      <c r="K84" s="33"/>
      <c r="L84" s="33"/>
      <c r="M84" s="33"/>
      <c r="N84" s="33"/>
    </row>
    <row r="85" spans="1:14" s="4" customFormat="1" x14ac:dyDescent="0.55000000000000004">
      <c r="A85" s="94" t="s">
        <v>34</v>
      </c>
      <c r="B85" s="95"/>
      <c r="C85" s="37">
        <v>-0.68</v>
      </c>
      <c r="D85" s="15"/>
      <c r="E85" s="43" t="s">
        <v>21</v>
      </c>
      <c r="F85" s="3">
        <f>B79-1</f>
        <v>20</v>
      </c>
      <c r="G85" s="2" t="s">
        <v>21</v>
      </c>
      <c r="H85" s="24">
        <f>B79-1</f>
        <v>20</v>
      </c>
      <c r="I85" s="15"/>
      <c r="J85" s="20"/>
      <c r="K85" s="33"/>
      <c r="L85" s="33"/>
      <c r="M85" s="33"/>
      <c r="N85" s="33"/>
    </row>
    <row r="86" spans="1:14" s="4" customFormat="1" ht="14.5" customHeight="1" x14ac:dyDescent="0.55000000000000004">
      <c r="A86" s="94" t="s">
        <v>33</v>
      </c>
      <c r="B86" s="95"/>
      <c r="C86" s="37">
        <v>0.68</v>
      </c>
      <c r="D86" s="15"/>
      <c r="E86" s="43" t="s">
        <v>20</v>
      </c>
      <c r="F86" s="7">
        <f>IF(F84&gt;0,TDIST(ABS(F84), F85,1),1-TDIST(ABS(F84), F85,1))</f>
        <v>1.9203627511700889E-3</v>
      </c>
      <c r="G86" s="2" t="s">
        <v>20</v>
      </c>
      <c r="H86" s="13">
        <f>IF(H84&lt;0,TDIST(ABS(H84), H85,1),1-TDIST(ABS(H84), H85,1))</f>
        <v>3.8413148404912675E-3</v>
      </c>
      <c r="I86" s="15"/>
      <c r="J86" s="20"/>
      <c r="K86" s="33"/>
      <c r="L86" s="33"/>
      <c r="M86" s="33"/>
      <c r="N86" s="33"/>
    </row>
    <row r="87" spans="1:14" s="4" customFormat="1" ht="14.25" customHeight="1" x14ac:dyDescent="0.55000000000000004">
      <c r="A87" s="115" t="s">
        <v>54</v>
      </c>
      <c r="B87" s="116"/>
      <c r="C87" s="119">
        <f>ROUNDUP(MAX(((NORMSINV(1-C83)+NORMSINV(1-((1-C84)/2)))^2/(C85)^2),((NORMSINV(1-C83)+NORMSINV(1-((1-C84)/2)))^2/(C86)^2)),0)</f>
        <v>19</v>
      </c>
      <c r="D87" s="15"/>
      <c r="E87" s="89" t="s">
        <v>31</v>
      </c>
      <c r="F87" s="90"/>
      <c r="G87" s="90"/>
      <c r="H87" s="91"/>
      <c r="I87" s="15"/>
      <c r="J87" s="20"/>
      <c r="K87" s="33"/>
      <c r="L87" s="33"/>
      <c r="M87" s="33"/>
      <c r="N87" s="33"/>
    </row>
    <row r="88" spans="1:14" s="4" customFormat="1" ht="14.7" thickBot="1" x14ac:dyDescent="0.6">
      <c r="A88" s="117"/>
      <c r="B88" s="118"/>
      <c r="C88" s="120"/>
      <c r="D88" s="15"/>
      <c r="E88" s="43" t="s">
        <v>19</v>
      </c>
      <c r="F88" s="7">
        <f>IF(ABS(F84)&lt;ABS(H84),F84,H84)</f>
        <v>-2.9633989494047768</v>
      </c>
      <c r="G88" s="2" t="s">
        <v>20</v>
      </c>
      <c r="H88" s="13">
        <f>MAX(F86,H86)</f>
        <v>3.8413148404912675E-3</v>
      </c>
      <c r="I88" s="15"/>
      <c r="J88" s="20"/>
    </row>
    <row r="89" spans="1:14" s="4" customFormat="1" x14ac:dyDescent="0.55000000000000004">
      <c r="A89" s="14"/>
      <c r="B89" s="15"/>
      <c r="C89" s="15"/>
      <c r="D89" s="15"/>
      <c r="E89" s="124" t="str">
        <f>"The TOST procedure indicated that the observed effect size (d = "&amp;ROUND(J79,2)&amp;") was "&amp;IF(H88&lt;0.05,"significantly","not significantly")&amp;" within the equivalent bounds of d = "&amp;B80&amp;" and d = "&amp;D80&amp;", (or in raw scores: "&amp;ROUND(B80*H80,2)&amp;" and "&amp;ROUND(D80*H80,2)&amp;"), t("&amp;ROUND(H85,0)&amp;") = "&amp;ROUND(F88,2)&amp;", p = "&amp;ROUND(H88,3)</f>
        <v>The TOST procedure indicated that the observed effect size (d = 0.03) was significantly within the equivalent bounds of d = -0.68 and d = 0.68, (or in raw scores: -1.02 and 1.02), t(20) = -2.96, p = 0.004</v>
      </c>
      <c r="F89" s="125"/>
      <c r="G89" s="125"/>
      <c r="H89" s="126"/>
      <c r="I89" s="15"/>
      <c r="J89" s="20"/>
      <c r="K89" s="5"/>
    </row>
    <row r="90" spans="1:14" s="4" customFormat="1" x14ac:dyDescent="0.55000000000000004">
      <c r="A90" s="14"/>
      <c r="B90" s="15"/>
      <c r="C90" s="15"/>
      <c r="D90" s="15"/>
      <c r="E90" s="124"/>
      <c r="F90" s="125"/>
      <c r="G90" s="125"/>
      <c r="H90" s="126"/>
      <c r="I90" s="15"/>
      <c r="J90" s="20"/>
    </row>
    <row r="91" spans="1:14" s="4" customFormat="1" ht="14.7" thickBot="1" x14ac:dyDescent="0.6">
      <c r="A91" s="16"/>
      <c r="B91" s="17"/>
      <c r="C91" s="17"/>
      <c r="D91" s="17"/>
      <c r="E91" s="127"/>
      <c r="F91" s="128"/>
      <c r="G91" s="128"/>
      <c r="H91" s="129"/>
      <c r="I91" s="17"/>
      <c r="J91" s="23"/>
    </row>
    <row r="92" spans="1:14" s="4" customFormat="1" x14ac:dyDescent="0.55000000000000004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spans="1:14" ht="14.7" thickBot="1" x14ac:dyDescent="0.6"/>
    <row r="94" spans="1:14" s="8" customFormat="1" ht="28.15" customHeight="1" thickBot="1" x14ac:dyDescent="0.6">
      <c r="A94" s="104" t="s">
        <v>91</v>
      </c>
      <c r="B94" s="105"/>
      <c r="C94" s="105"/>
      <c r="D94" s="105"/>
      <c r="E94" s="105"/>
      <c r="F94" s="105"/>
      <c r="G94" s="105"/>
      <c r="H94" s="147"/>
      <c r="I94" s="18"/>
      <c r="J94" s="19"/>
      <c r="K94" s="33"/>
      <c r="L94" s="33"/>
      <c r="M94" s="33"/>
      <c r="N94" s="33"/>
    </row>
    <row r="95" spans="1:14" s="4" customFormat="1" ht="14.7" thickBot="1" x14ac:dyDescent="0.6">
      <c r="A95" s="69" t="s">
        <v>77</v>
      </c>
      <c r="B95" s="56">
        <v>0.33</v>
      </c>
      <c r="C95" s="70" t="s">
        <v>72</v>
      </c>
      <c r="D95" s="53">
        <v>0</v>
      </c>
      <c r="E95" s="44" t="s">
        <v>55</v>
      </c>
      <c r="F95" s="58">
        <f>H97-H99*_xlfn.T.INV.2T(0.1,(B97-1))</f>
        <v>-4.0267227791789373E-2</v>
      </c>
      <c r="G95" s="46" t="s">
        <v>56</v>
      </c>
      <c r="H95" s="59">
        <f>H97+H99*_xlfn.T.INV.2T(0.1,(B97-1))</f>
        <v>0.7002672277917894</v>
      </c>
      <c r="I95" s="15"/>
      <c r="J95" s="20"/>
      <c r="K95" s="33"/>
      <c r="L95" s="33"/>
      <c r="M95" s="33"/>
      <c r="N95" s="33"/>
    </row>
    <row r="96" spans="1:14" s="4" customFormat="1" x14ac:dyDescent="0.55000000000000004">
      <c r="A96" s="35" t="s">
        <v>76</v>
      </c>
      <c r="B96" s="41">
        <v>2.23</v>
      </c>
      <c r="C96" s="15"/>
      <c r="D96" s="20"/>
      <c r="E96" s="89" t="s">
        <v>29</v>
      </c>
      <c r="F96" s="90"/>
      <c r="G96" s="90" t="s">
        <v>40</v>
      </c>
      <c r="H96" s="91"/>
      <c r="I96" s="123" t="s">
        <v>28</v>
      </c>
      <c r="J96" s="97"/>
      <c r="K96" s="33"/>
      <c r="L96" s="33"/>
      <c r="M96" s="33"/>
      <c r="N96" s="33"/>
    </row>
    <row r="97" spans="1:14" s="4" customFormat="1" ht="16.8" x14ac:dyDescent="0.75">
      <c r="A97" s="35" t="s">
        <v>73</v>
      </c>
      <c r="B97" s="10">
        <v>100</v>
      </c>
      <c r="C97" s="15"/>
      <c r="D97" s="20"/>
      <c r="E97" s="43" t="s">
        <v>19</v>
      </c>
      <c r="F97" s="30">
        <f>(B95-D95)/(B96/SQRT(B97))</f>
        <v>1.4798206278026906</v>
      </c>
      <c r="G97" s="1" t="s">
        <v>17</v>
      </c>
      <c r="H97" s="60">
        <f>B95-D95</f>
        <v>0.33</v>
      </c>
      <c r="I97" s="57" t="s">
        <v>46</v>
      </c>
      <c r="J97" s="21">
        <f>H97/H98</f>
        <v>0.14798206278026907</v>
      </c>
      <c r="K97" s="33"/>
      <c r="L97" s="33"/>
      <c r="M97" s="33"/>
      <c r="N97" s="33"/>
    </row>
    <row r="98" spans="1:14" s="4" customFormat="1" ht="15.75" customHeight="1" thickBot="1" x14ac:dyDescent="0.8">
      <c r="A98" s="94" t="s">
        <v>88</v>
      </c>
      <c r="B98" s="82">
        <v>-0.8</v>
      </c>
      <c r="C98" s="95" t="s">
        <v>92</v>
      </c>
      <c r="D98" s="84">
        <v>0.8</v>
      </c>
      <c r="E98" s="43" t="s">
        <v>21</v>
      </c>
      <c r="F98" s="3">
        <f>(B97-1)</f>
        <v>99</v>
      </c>
      <c r="G98" s="36" t="s">
        <v>53</v>
      </c>
      <c r="H98" s="22">
        <f>SQRT(B96^2+D96^2-2*D97*B96*D96)</f>
        <v>2.23</v>
      </c>
      <c r="I98" s="66" t="s">
        <v>93</v>
      </c>
      <c r="J98" s="63">
        <f>J97*(1-(3/(4*(B97-1)-1)))</f>
        <v>0.14685814837940625</v>
      </c>
      <c r="K98" s="33"/>
      <c r="L98" s="33"/>
      <c r="M98" s="33"/>
      <c r="N98" s="33"/>
    </row>
    <row r="99" spans="1:14" s="4" customFormat="1" ht="17.100000000000001" thickBot="1" x14ac:dyDescent="0.8">
      <c r="A99" s="98"/>
      <c r="B99" s="83"/>
      <c r="C99" s="99"/>
      <c r="D99" s="85"/>
      <c r="E99" s="48" t="s">
        <v>20</v>
      </c>
      <c r="F99" s="49">
        <f>TDIST(ABS(F97), F98,2)</f>
        <v>0.14209636772723025</v>
      </c>
      <c r="G99" s="54" t="s">
        <v>18</v>
      </c>
      <c r="H99" s="61">
        <f>H98/SQRT(B97)</f>
        <v>0.223</v>
      </c>
      <c r="I99" s="15"/>
      <c r="J99" s="20"/>
      <c r="K99" s="33"/>
      <c r="L99" s="33"/>
      <c r="M99" s="33"/>
      <c r="N99" s="33"/>
    </row>
    <row r="100" spans="1:14" s="4" customFormat="1" x14ac:dyDescent="0.55000000000000004">
      <c r="A100" s="100" t="s">
        <v>37</v>
      </c>
      <c r="B100" s="101"/>
      <c r="C100" s="102"/>
      <c r="D100" s="15"/>
      <c r="E100" s="96" t="s">
        <v>30</v>
      </c>
      <c r="F100" s="103"/>
      <c r="G100" s="103"/>
      <c r="H100" s="97"/>
      <c r="I100" s="15"/>
      <c r="J100" s="20"/>
      <c r="K100" s="33"/>
      <c r="L100" s="33"/>
      <c r="M100" s="33"/>
      <c r="N100" s="33"/>
    </row>
    <row r="101" spans="1:14" s="4" customFormat="1" x14ac:dyDescent="0.55000000000000004">
      <c r="A101" s="92" t="s">
        <v>36</v>
      </c>
      <c r="B101" s="93"/>
      <c r="C101" s="42">
        <v>0.05</v>
      </c>
      <c r="D101" s="15"/>
      <c r="E101" s="89" t="s">
        <v>26</v>
      </c>
      <c r="F101" s="90"/>
      <c r="G101" s="90" t="s">
        <v>27</v>
      </c>
      <c r="H101" s="91"/>
      <c r="I101" s="15"/>
      <c r="J101" s="20"/>
      <c r="K101" s="33"/>
      <c r="L101" s="33"/>
      <c r="M101" s="33"/>
      <c r="N101" s="33"/>
    </row>
    <row r="102" spans="1:14" s="4" customFormat="1" ht="14.5" customHeight="1" x14ac:dyDescent="0.55000000000000004">
      <c r="A102" s="92" t="s">
        <v>32</v>
      </c>
      <c r="B102" s="93"/>
      <c r="C102" s="42">
        <v>0.95</v>
      </c>
      <c r="D102" s="15"/>
      <c r="E102" s="43" t="s">
        <v>19</v>
      </c>
      <c r="F102" s="7">
        <f>(H97-(B98))/H99</f>
        <v>5.0672645739910323</v>
      </c>
      <c r="G102" s="2" t="s">
        <v>19</v>
      </c>
      <c r="H102" s="13">
        <f>(H97-(D98))/H99</f>
        <v>-2.1076233183856505</v>
      </c>
      <c r="I102" s="15"/>
      <c r="J102" s="20"/>
      <c r="K102" s="33"/>
      <c r="L102" s="33"/>
      <c r="M102" s="33"/>
      <c r="N102" s="33"/>
    </row>
    <row r="103" spans="1:14" s="4" customFormat="1" x14ac:dyDescent="0.55000000000000004">
      <c r="A103" s="94" t="s">
        <v>83</v>
      </c>
      <c r="B103" s="95"/>
      <c r="C103" s="42">
        <v>-0.5</v>
      </c>
      <c r="D103" s="15"/>
      <c r="E103" s="43" t="s">
        <v>21</v>
      </c>
      <c r="F103" s="3">
        <f>B97-1</f>
        <v>99</v>
      </c>
      <c r="G103" s="2" t="s">
        <v>21</v>
      </c>
      <c r="H103" s="24">
        <f>B97-1</f>
        <v>99</v>
      </c>
      <c r="I103" s="15"/>
      <c r="J103" s="20"/>
      <c r="K103" s="33"/>
      <c r="L103" s="33"/>
      <c r="M103" s="33"/>
      <c r="N103" s="33"/>
    </row>
    <row r="104" spans="1:14" s="4" customFormat="1" ht="14.5" customHeight="1" x14ac:dyDescent="0.55000000000000004">
      <c r="A104" s="94" t="s">
        <v>84</v>
      </c>
      <c r="B104" s="95"/>
      <c r="C104" s="42">
        <v>0.5</v>
      </c>
      <c r="D104" s="15"/>
      <c r="E104" s="43" t="s">
        <v>20</v>
      </c>
      <c r="F104" s="7">
        <f>IF(F102&gt;0,TDIST(ABS(F102), F103,1),1-TDIST(ABS(F102), F103,1))</f>
        <v>9.3831115644469918E-7</v>
      </c>
      <c r="G104" s="2" t="s">
        <v>20</v>
      </c>
      <c r="H104" s="13">
        <f>IF(H102&lt;0,TDIST(ABS(H102), H103,1),1-TDIST(ABS(H102), H103,1))</f>
        <v>1.8794837749114546E-2</v>
      </c>
      <c r="I104" s="15"/>
      <c r="J104" s="20"/>
      <c r="K104" s="33"/>
      <c r="L104" s="33"/>
      <c r="M104" s="33"/>
      <c r="N104" s="33"/>
    </row>
    <row r="105" spans="1:14" s="4" customFormat="1" ht="14.25" customHeight="1" x14ac:dyDescent="0.55000000000000004">
      <c r="A105" s="94" t="s">
        <v>76</v>
      </c>
      <c r="B105" s="95"/>
      <c r="C105" s="42">
        <v>1</v>
      </c>
      <c r="D105" s="15"/>
      <c r="E105" s="89" t="s">
        <v>31</v>
      </c>
      <c r="F105" s="90"/>
      <c r="G105" s="90"/>
      <c r="H105" s="91"/>
      <c r="I105" s="15"/>
      <c r="J105" s="20"/>
      <c r="K105" s="33"/>
      <c r="L105" s="33"/>
      <c r="M105" s="33"/>
      <c r="N105" s="33"/>
    </row>
    <row r="106" spans="1:14" s="4" customFormat="1" x14ac:dyDescent="0.55000000000000004">
      <c r="A106" s="115" t="s">
        <v>54</v>
      </c>
      <c r="B106" s="116"/>
      <c r="C106" s="119">
        <f>ROUNDUP(MAX(((NORMSINV(1-C101)+NORMSINV(1-((1-C102)/2)))^2/(C103/C105)^2),((NORMSINV(1-C101)+NORMSINV(1-((1-C102)/2)))^2/(C104/C105)^2)),0)</f>
        <v>52</v>
      </c>
      <c r="D106" s="15"/>
      <c r="E106" s="43" t="s">
        <v>19</v>
      </c>
      <c r="F106" s="7">
        <f>IF(ABS(F102)&lt;ABS(H102),F102,H102)</f>
        <v>-2.1076233183856505</v>
      </c>
      <c r="G106" s="2" t="s">
        <v>20</v>
      </c>
      <c r="H106" s="13">
        <f>MAX(F104,H104)</f>
        <v>1.8794837749114546E-2</v>
      </c>
      <c r="I106" s="15"/>
      <c r="J106" s="20"/>
      <c r="K106" s="5"/>
    </row>
    <row r="107" spans="1:14" s="4" customFormat="1" ht="14.7" thickBot="1" x14ac:dyDescent="0.6">
      <c r="A107" s="117"/>
      <c r="B107" s="118"/>
      <c r="C107" s="120"/>
      <c r="D107" s="15"/>
      <c r="E107" s="124" t="str">
        <f>"The TOST procedure indicated that the observed effect size (d = "&amp;ROUND(J97,2)&amp;") was "&amp;IF(H106&lt;0.05,"significantly","not significantly")&amp;" within the equivalent bounds of "&amp;B98&amp;" and  "&amp;D98&amp;" scale points, (or in Cohen's d: "&amp;ROUND(B98*H98,2)&amp;" and "&amp;ROUND(D98*H98,2)&amp;"), t("&amp;ROUND(H103,0)&amp;") = "&amp;ROUND(F106,2)&amp;", p = "&amp;ROUND(H106,3)</f>
        <v>The TOST procedure indicated that the observed effect size (d = 0.15) was significantly within the equivalent bounds of -0.8 and  0.8 scale points, (or in Cohen's d: -1.78 and 1.78), t(99) = -2.11, p = 0.019</v>
      </c>
      <c r="F107" s="125"/>
      <c r="G107" s="125"/>
      <c r="H107" s="126"/>
      <c r="I107" s="15"/>
      <c r="J107" s="20"/>
      <c r="K107" s="5"/>
    </row>
    <row r="108" spans="1:14" s="4" customFormat="1" x14ac:dyDescent="0.55000000000000004">
      <c r="A108" s="14"/>
      <c r="B108" s="15"/>
      <c r="C108" s="15"/>
      <c r="D108" s="15"/>
      <c r="E108" s="124"/>
      <c r="F108" s="125"/>
      <c r="G108" s="125"/>
      <c r="H108" s="126"/>
      <c r="I108" s="15"/>
      <c r="J108" s="20"/>
    </row>
    <row r="109" spans="1:14" s="4" customFormat="1" ht="14.7" thickBot="1" x14ac:dyDescent="0.6">
      <c r="A109" s="16"/>
      <c r="B109" s="17"/>
      <c r="C109" s="17"/>
      <c r="D109" s="17"/>
      <c r="E109" s="127"/>
      <c r="F109" s="128"/>
      <c r="G109" s="128"/>
      <c r="H109" s="129"/>
      <c r="I109" s="17"/>
      <c r="J109" s="23"/>
    </row>
    <row r="110" spans="1:14" s="4" customFormat="1" x14ac:dyDescent="0.55000000000000004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4" s="4" customFormat="1" ht="14.7" thickBot="1" x14ac:dyDescent="0.6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spans="1:14" ht="28.15" customHeight="1" thickBot="1" x14ac:dyDescent="0.6">
      <c r="A112" s="104" t="s">
        <v>43</v>
      </c>
      <c r="B112" s="109"/>
      <c r="C112" s="109"/>
      <c r="D112" s="109"/>
      <c r="E112" s="109"/>
      <c r="F112" s="109"/>
      <c r="G112" s="109"/>
      <c r="H112" s="110"/>
    </row>
    <row r="113" spans="1:9" x14ac:dyDescent="0.55000000000000004">
      <c r="A113" s="50" t="s">
        <v>43</v>
      </c>
      <c r="B113" s="51">
        <v>0.02</v>
      </c>
      <c r="C113" s="52" t="s">
        <v>57</v>
      </c>
      <c r="D113" s="53">
        <v>50</v>
      </c>
      <c r="E113" s="123" t="s">
        <v>45</v>
      </c>
      <c r="F113" s="103"/>
      <c r="G113" s="103" t="s">
        <v>28</v>
      </c>
      <c r="H113" s="97"/>
    </row>
    <row r="114" spans="1:9" ht="14.5" customHeight="1" thickBot="1" x14ac:dyDescent="0.6">
      <c r="A114" s="137" t="s">
        <v>44</v>
      </c>
      <c r="B114" s="173">
        <v>-0.3</v>
      </c>
      <c r="C114" s="161" t="s">
        <v>49</v>
      </c>
      <c r="D114" s="88">
        <v>0.3</v>
      </c>
      <c r="E114" s="67" t="s">
        <v>20</v>
      </c>
      <c r="F114" s="49">
        <f>2*(1-_xlfn.T.DIST(ABS(B113)*SQRT(D113-2)/SQRT(1-ABS(B113)^2),D113-2,TRUE))</f>
        <v>0.89035255252794299</v>
      </c>
      <c r="G114" s="54" t="s">
        <v>46</v>
      </c>
      <c r="H114" s="55">
        <f>(2*B113)/(SQRT(1-B113^2))</f>
        <v>4.0008002400800283E-2</v>
      </c>
    </row>
    <row r="115" spans="1:9" ht="14.5" customHeight="1" thickBot="1" x14ac:dyDescent="0.6">
      <c r="A115" s="138"/>
      <c r="B115" s="174"/>
      <c r="C115" s="162"/>
      <c r="D115" s="175"/>
      <c r="E115" s="155" t="s">
        <v>30</v>
      </c>
      <c r="F115" s="155"/>
      <c r="G115" s="155"/>
      <c r="H115" s="156"/>
    </row>
    <row r="116" spans="1:9" ht="14.25" customHeight="1" thickBot="1" x14ac:dyDescent="0.6">
      <c r="A116" s="207" t="s">
        <v>37</v>
      </c>
      <c r="B116" s="208"/>
      <c r="C116" s="209"/>
      <c r="D116" s="15"/>
      <c r="E116" s="145" t="s">
        <v>26</v>
      </c>
      <c r="F116" s="123"/>
      <c r="G116" s="121" t="s">
        <v>27</v>
      </c>
      <c r="H116" s="122"/>
    </row>
    <row r="117" spans="1:9" x14ac:dyDescent="0.55000000000000004">
      <c r="A117" s="210" t="s">
        <v>36</v>
      </c>
      <c r="B117" s="211"/>
      <c r="C117" s="53">
        <v>0.05</v>
      </c>
      <c r="D117" s="32"/>
      <c r="E117" s="43" t="s">
        <v>20</v>
      </c>
      <c r="F117" s="7">
        <f>1-(_xlfn.NORM.DIST((((LN((1+B113)/(1-B113))/2)-(LN((1+B114)/(1-B114))/2))/(SQRT(1/(D113-3)))),0,1,TRUE))</f>
        <v>1.1938866272174886E-2</v>
      </c>
      <c r="G117" s="2" t="s">
        <v>20</v>
      </c>
      <c r="H117" s="13">
        <f>_xlfn.NORM.DIST((((LN((1+B113)/(1-B113))/2)-(LN((1+D114)/(1-D114))/2))/(SQRT(1/(D113-3)))),0,1,TRUE)</f>
        <v>2.3581798870877829E-2</v>
      </c>
    </row>
    <row r="118" spans="1:9" x14ac:dyDescent="0.55000000000000004">
      <c r="A118" s="165" t="s">
        <v>32</v>
      </c>
      <c r="B118" s="166"/>
      <c r="C118" s="80">
        <v>0.8</v>
      </c>
      <c r="D118" s="32"/>
      <c r="E118" s="89" t="s">
        <v>31</v>
      </c>
      <c r="F118" s="90"/>
      <c r="G118" s="90"/>
      <c r="H118" s="91"/>
    </row>
    <row r="119" spans="1:9" ht="28.5" customHeight="1" x14ac:dyDescent="0.55000000000000004">
      <c r="A119" s="163" t="s">
        <v>47</v>
      </c>
      <c r="B119" s="164"/>
      <c r="C119" s="80">
        <v>-0.2</v>
      </c>
      <c r="D119" s="32"/>
      <c r="E119" s="157" t="s">
        <v>20</v>
      </c>
      <c r="F119" s="158"/>
      <c r="G119" s="176">
        <f>MAX(F117,H117)</f>
        <v>2.3581798870877829E-2</v>
      </c>
      <c r="H119" s="177"/>
    </row>
    <row r="120" spans="1:9" ht="28.5" customHeight="1" x14ac:dyDescent="0.55000000000000004">
      <c r="A120" s="163" t="s">
        <v>48</v>
      </c>
      <c r="B120" s="164"/>
      <c r="C120" s="80">
        <v>0.2</v>
      </c>
      <c r="D120" s="32"/>
      <c r="E120" s="167" t="str">
        <f>"The TOST procedure indicated that the observed effect size (r = "&amp;ROUND(B113,2)&amp;") was "&amp;IF(G119&lt;0.05,"significantly","not significantly")&amp;" within the equivalent bounds of r = "&amp;B114&amp;" and r = "&amp;D114&amp;", p = "&amp;ROUND(G119,3)</f>
        <v>The TOST procedure indicated that the observed effect size (r = 0.02) was significantly within the equivalent bounds of r = -0.3 and r = 0.3, p = 0.024</v>
      </c>
      <c r="F120" s="168"/>
      <c r="G120" s="168"/>
      <c r="H120" s="169"/>
    </row>
    <row r="121" spans="1:9" ht="14.25" customHeight="1" x14ac:dyDescent="0.55000000000000004">
      <c r="A121" s="137" t="s">
        <v>106</v>
      </c>
      <c r="B121" s="161"/>
      <c r="C121" s="159">
        <f>ROUNDUP((MAX(((NORMSINV(1-C117)+NORMSINV(1-((1-C118)/2)))/(0.5*LN((1+C119)/(1-C119))))^2,((NORMSINV(1-C117)+NORMSINV(1-((1-C118)/2)))/(0.5*LN((1+C120)/(1-C120))))^2)),0)+3</f>
        <v>212</v>
      </c>
      <c r="D121" s="32"/>
      <c r="E121" s="167"/>
      <c r="F121" s="168"/>
      <c r="G121" s="168"/>
      <c r="H121" s="169"/>
    </row>
    <row r="122" spans="1:9" ht="14.25" customHeight="1" thickBot="1" x14ac:dyDescent="0.6">
      <c r="A122" s="138"/>
      <c r="B122" s="162"/>
      <c r="C122" s="160"/>
      <c r="D122" s="32"/>
      <c r="E122" s="170"/>
      <c r="F122" s="171"/>
      <c r="G122" s="171"/>
      <c r="H122" s="172"/>
    </row>
    <row r="123" spans="1:9" ht="14.25" customHeight="1" x14ac:dyDescent="0.55000000000000004">
      <c r="A123" s="4"/>
      <c r="B123" s="4"/>
      <c r="C123" s="15"/>
      <c r="D123" s="25"/>
      <c r="E123" s="25"/>
      <c r="F123" s="15"/>
      <c r="G123" s="15"/>
      <c r="H123" s="20"/>
    </row>
    <row r="124" spans="1:9" x14ac:dyDescent="0.55000000000000004">
      <c r="A124" s="4"/>
      <c r="B124" s="4"/>
      <c r="C124" s="15"/>
      <c r="D124" s="25"/>
      <c r="E124" s="25"/>
      <c r="F124" s="15"/>
      <c r="G124" s="15"/>
      <c r="H124" s="20"/>
    </row>
    <row r="125" spans="1:9" x14ac:dyDescent="0.55000000000000004">
      <c r="A125" s="14"/>
      <c r="B125" s="15"/>
      <c r="C125" s="15"/>
      <c r="D125" s="25"/>
      <c r="E125" s="25"/>
      <c r="F125" s="15"/>
      <c r="G125" s="25"/>
      <c r="H125" s="26"/>
    </row>
    <row r="126" spans="1:9" ht="14.7" thickBot="1" x14ac:dyDescent="0.6">
      <c r="A126" s="16"/>
      <c r="B126" s="17"/>
      <c r="C126" s="17"/>
      <c r="D126" s="17"/>
      <c r="E126" s="27"/>
      <c r="F126" s="27"/>
      <c r="G126" s="27"/>
      <c r="H126" s="28"/>
    </row>
    <row r="127" spans="1:9" x14ac:dyDescent="0.55000000000000004">
      <c r="D127" s="4"/>
      <c r="E127" s="9"/>
      <c r="F127" s="9"/>
      <c r="G127" s="9"/>
      <c r="H127" s="9"/>
      <c r="I127" s="4"/>
    </row>
    <row r="128" spans="1:9" ht="14.7" thickBot="1" x14ac:dyDescent="0.6">
      <c r="A128" s="4"/>
    </row>
    <row r="129" spans="1:11" x14ac:dyDescent="0.55000000000000004">
      <c r="A129" s="104" t="s">
        <v>58</v>
      </c>
      <c r="B129" s="105"/>
      <c r="C129" s="105"/>
      <c r="D129" s="105"/>
      <c r="E129" s="105"/>
      <c r="F129" s="105"/>
      <c r="G129" s="147"/>
    </row>
    <row r="130" spans="1:11" ht="14.7" thickBot="1" x14ac:dyDescent="0.6">
      <c r="A130" s="148"/>
      <c r="B130" s="149"/>
      <c r="C130" s="149"/>
      <c r="D130" s="149"/>
      <c r="E130" s="149"/>
      <c r="F130" s="149"/>
      <c r="G130" s="150"/>
    </row>
    <row r="131" spans="1:11" x14ac:dyDescent="0.55000000000000004">
      <c r="A131" s="151" t="s">
        <v>59</v>
      </c>
      <c r="B131" s="152"/>
      <c r="C131" s="53">
        <v>0.12</v>
      </c>
      <c r="D131" s="145" t="s">
        <v>30</v>
      </c>
      <c r="E131" s="146"/>
      <c r="F131" s="146"/>
      <c r="G131" s="122"/>
    </row>
    <row r="132" spans="1:11" x14ac:dyDescent="0.55000000000000004">
      <c r="A132" s="188" t="s">
        <v>60</v>
      </c>
      <c r="B132" s="11" t="s">
        <v>61</v>
      </c>
      <c r="C132" s="37">
        <v>8.0999999999999996E-3</v>
      </c>
      <c r="D132" s="190" t="s">
        <v>26</v>
      </c>
      <c r="E132" s="191"/>
      <c r="F132" s="153" t="s">
        <v>27</v>
      </c>
      <c r="G132" s="154"/>
      <c r="K132" s="4"/>
    </row>
    <row r="133" spans="1:11" x14ac:dyDescent="0.55000000000000004">
      <c r="A133" s="189"/>
      <c r="B133" s="11" t="s">
        <v>62</v>
      </c>
      <c r="C133" s="37">
        <v>0.09</v>
      </c>
      <c r="D133" s="43" t="s">
        <v>63</v>
      </c>
      <c r="E133" s="6">
        <f>IF(C133&lt;&gt;"",(C131+C135)/C133,(C131+C135)/SQRT(C132))</f>
        <v>3.5555555555555558</v>
      </c>
      <c r="F133" s="2" t="s">
        <v>63</v>
      </c>
      <c r="G133" s="12">
        <f>IF(C133&lt;&gt;"",(C131+C134)/C133,(C131+C134)/SQRT(C132))</f>
        <v>-0.88888888888888906</v>
      </c>
    </row>
    <row r="134" spans="1:11" ht="14.7" thickBot="1" x14ac:dyDescent="0.6">
      <c r="A134" s="141" t="s">
        <v>34</v>
      </c>
      <c r="B134" s="142"/>
      <c r="C134" s="37">
        <v>-0.2</v>
      </c>
      <c r="D134" s="48" t="s">
        <v>20</v>
      </c>
      <c r="E134" s="49">
        <f>_xlfn.NORM.DIST(-E133,0,1,TRUE)</f>
        <v>1.8859061491912856E-4</v>
      </c>
      <c r="F134" s="68" t="s">
        <v>20</v>
      </c>
      <c r="G134" s="55">
        <f>_xlfn.NORM.DIST(G133,0,1,TRUE)</f>
        <v>0.1870313987454412</v>
      </c>
    </row>
    <row r="135" spans="1:11" ht="14.7" thickBot="1" x14ac:dyDescent="0.6">
      <c r="A135" s="143" t="s">
        <v>33</v>
      </c>
      <c r="B135" s="144"/>
      <c r="C135" s="38">
        <v>0.2</v>
      </c>
      <c r="D135" s="145" t="s">
        <v>31</v>
      </c>
      <c r="E135" s="146"/>
      <c r="F135" s="146"/>
      <c r="G135" s="122"/>
    </row>
    <row r="136" spans="1:11" x14ac:dyDescent="0.55000000000000004">
      <c r="A136" s="14"/>
      <c r="B136" s="15"/>
      <c r="C136" s="15"/>
      <c r="D136" s="43" t="s">
        <v>63</v>
      </c>
      <c r="E136" s="6">
        <f>IF(ABS(E133)&lt;ABS(G133),E133,G133)</f>
        <v>-0.88888888888888906</v>
      </c>
      <c r="F136" s="2" t="s">
        <v>20</v>
      </c>
      <c r="G136" s="13">
        <f>MAX(G134,E134)</f>
        <v>0.1870313987454412</v>
      </c>
      <c r="H136" s="5"/>
      <c r="I136" s="5"/>
      <c r="J136" s="5"/>
      <c r="K136" s="5"/>
    </row>
    <row r="137" spans="1:11" x14ac:dyDescent="0.55000000000000004">
      <c r="A137" s="14"/>
      <c r="B137" s="15"/>
      <c r="C137" s="15"/>
      <c r="D137" s="167" t="str">
        <f>"The TOST procedure indicated that the observed effect size (d = "&amp;ROUND(C131,2)&amp;") was "&amp;IF(G136&lt;0.05,"significantly","not significantly")&amp;" within the equivalent bounds of d = "&amp;ROUND(C134,2)&amp;" and d = "&amp;ROUND(C135,2)&amp;", Z = "&amp;ROUND(E136,2)&amp;", p = "&amp;ROUND(G136,3)</f>
        <v>The TOST procedure indicated that the observed effect size (d = 0.12) was not significantly within the equivalent bounds of d = -0.2 and d = 0.2, Z = -0.89, p = 0.187</v>
      </c>
      <c r="E137" s="168"/>
      <c r="F137" s="168"/>
      <c r="G137" s="169"/>
      <c r="H137" s="5"/>
      <c r="I137" s="5"/>
      <c r="J137" s="5"/>
      <c r="K137" s="5"/>
    </row>
    <row r="138" spans="1:11" x14ac:dyDescent="0.55000000000000004">
      <c r="A138" s="14"/>
      <c r="B138" s="15"/>
      <c r="C138" s="15"/>
      <c r="D138" s="167"/>
      <c r="E138" s="168"/>
      <c r="F138" s="168"/>
      <c r="G138" s="169"/>
      <c r="H138" s="5"/>
      <c r="I138" s="5"/>
      <c r="J138" s="5"/>
      <c r="K138" s="5"/>
    </row>
    <row r="139" spans="1:11" ht="14.7" thickBot="1" x14ac:dyDescent="0.6">
      <c r="A139" s="16"/>
      <c r="B139" s="17"/>
      <c r="C139" s="17"/>
      <c r="D139" s="170"/>
      <c r="E139" s="171"/>
      <c r="F139" s="171"/>
      <c r="G139" s="172"/>
      <c r="H139" s="5"/>
      <c r="I139" s="5"/>
      <c r="J139" s="5"/>
      <c r="K139" s="5"/>
    </row>
    <row r="140" spans="1:11" x14ac:dyDescent="0.55000000000000004">
      <c r="H140" s="5"/>
      <c r="I140" s="5"/>
      <c r="J140" s="5"/>
      <c r="K140" s="5"/>
    </row>
    <row r="141" spans="1:11" x14ac:dyDescent="0.55000000000000004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1" ht="18.3" x14ac:dyDescent="0.55000000000000004">
      <c r="A142" s="178" t="s">
        <v>96</v>
      </c>
      <c r="B142" s="133"/>
      <c r="C142" s="133"/>
      <c r="D142" s="133"/>
      <c r="E142" s="133"/>
      <c r="F142" s="133"/>
      <c r="G142" s="133"/>
      <c r="H142" s="179"/>
      <c r="I142" s="5"/>
      <c r="J142" s="5"/>
    </row>
    <row r="143" spans="1:11" x14ac:dyDescent="0.55000000000000004">
      <c r="A143" s="36" t="s">
        <v>98</v>
      </c>
      <c r="B143" s="74">
        <v>0.65</v>
      </c>
      <c r="C143" s="36" t="s">
        <v>97</v>
      </c>
      <c r="D143" s="74">
        <v>0.7</v>
      </c>
      <c r="E143" s="75" t="s">
        <v>55</v>
      </c>
      <c r="F143" s="7">
        <f>H145-_xlfn.NORM.INV(1-0.05,0,1)*H146</f>
        <v>-0.15879684100040503</v>
      </c>
      <c r="G143" s="75" t="s">
        <v>56</v>
      </c>
      <c r="H143" s="7">
        <f>H145+_xlfn.NORM.INV(1-0.05,0,1)*H146</f>
        <v>5.8796841000405151E-2</v>
      </c>
      <c r="I143" s="5"/>
      <c r="J143" s="5"/>
    </row>
    <row r="144" spans="1:11" x14ac:dyDescent="0.55000000000000004">
      <c r="A144" s="36" t="s">
        <v>6</v>
      </c>
      <c r="B144" s="74">
        <v>100</v>
      </c>
      <c r="C144" s="36" t="s">
        <v>7</v>
      </c>
      <c r="D144" s="74">
        <v>100</v>
      </c>
      <c r="E144" s="183" t="s">
        <v>101</v>
      </c>
      <c r="F144" s="184"/>
      <c r="G144" s="184"/>
      <c r="H144" s="185"/>
      <c r="I144" s="5"/>
      <c r="J144" s="5"/>
    </row>
    <row r="145" spans="1:10" ht="15" customHeight="1" x14ac:dyDescent="0.55000000000000004">
      <c r="A145" s="73" t="s">
        <v>99</v>
      </c>
      <c r="B145" s="74">
        <v>-0.1</v>
      </c>
      <c r="C145" s="73" t="s">
        <v>100</v>
      </c>
      <c r="D145" s="74">
        <v>0.1</v>
      </c>
      <c r="E145" s="2" t="s">
        <v>63</v>
      </c>
      <c r="F145" s="7">
        <f>H145/H146</f>
        <v>-0.7559289460184534</v>
      </c>
      <c r="G145" s="35" t="s">
        <v>104</v>
      </c>
      <c r="H145" s="76">
        <f>B143-D143</f>
        <v>-4.9999999999999933E-2</v>
      </c>
      <c r="I145" s="5"/>
      <c r="J145" s="5"/>
    </row>
    <row r="146" spans="1:10" ht="14.35" customHeight="1" x14ac:dyDescent="0.55000000000000004">
      <c r="A146" s="180" t="s">
        <v>37</v>
      </c>
      <c r="B146" s="181"/>
      <c r="C146" s="182"/>
      <c r="D146" s="15"/>
      <c r="E146" s="2" t="s">
        <v>20</v>
      </c>
      <c r="F146" s="7">
        <f>1-_xlfn.NORM.DIST(ABS(F145),0,1,TRUE)</f>
        <v>0.22484589898444574</v>
      </c>
      <c r="G146" s="35" t="s">
        <v>103</v>
      </c>
      <c r="H146" s="79">
        <f>SQRT((B143*(1-B143))/B144+(D143*(1-D143))/D144)</f>
        <v>6.6143782776614771E-2</v>
      </c>
      <c r="I146" s="5"/>
      <c r="J146" s="5"/>
    </row>
    <row r="147" spans="1:10" x14ac:dyDescent="0.55000000000000004">
      <c r="A147" s="93" t="s">
        <v>98</v>
      </c>
      <c r="B147" s="93"/>
      <c r="C147" s="74">
        <v>0.5</v>
      </c>
      <c r="D147" s="15"/>
      <c r="E147" s="153" t="s">
        <v>102</v>
      </c>
      <c r="F147" s="197"/>
      <c r="G147" s="197"/>
      <c r="H147" s="191"/>
      <c r="I147" s="5"/>
      <c r="J147" s="5"/>
    </row>
    <row r="148" spans="1:10" x14ac:dyDescent="0.55000000000000004">
      <c r="A148" s="93" t="s">
        <v>97</v>
      </c>
      <c r="B148" s="93"/>
      <c r="C148" s="74">
        <v>0.5</v>
      </c>
      <c r="D148" s="15"/>
      <c r="E148" s="153" t="s">
        <v>26</v>
      </c>
      <c r="F148" s="191"/>
      <c r="G148" s="153" t="s">
        <v>27</v>
      </c>
      <c r="H148" s="191"/>
      <c r="I148" s="5"/>
      <c r="J148" s="5"/>
    </row>
    <row r="149" spans="1:10" x14ac:dyDescent="0.55000000000000004">
      <c r="A149" s="93" t="s">
        <v>36</v>
      </c>
      <c r="B149" s="93"/>
      <c r="C149" s="74">
        <v>0.05</v>
      </c>
      <c r="D149" s="15"/>
      <c r="E149" s="2" t="s">
        <v>63</v>
      </c>
      <c r="F149" s="7">
        <f>(H145-B145)/H146</f>
        <v>0.75592894601845551</v>
      </c>
      <c r="G149" s="2" t="s">
        <v>63</v>
      </c>
      <c r="H149" s="7">
        <f>(H145-D145)/H146</f>
        <v>-2.2677868380553621</v>
      </c>
      <c r="I149" s="5"/>
      <c r="J149" s="5"/>
    </row>
    <row r="150" spans="1:10" x14ac:dyDescent="0.55000000000000004">
      <c r="A150" s="93" t="s">
        <v>32</v>
      </c>
      <c r="B150" s="93"/>
      <c r="C150" s="74">
        <v>0.9</v>
      </c>
      <c r="D150" s="15"/>
      <c r="E150" s="2" t="s">
        <v>20</v>
      </c>
      <c r="F150" s="7">
        <f>1-_xlfn.NORM.DIST(ABS(F149),0,1,TRUE)</f>
        <v>0.22484589898444518</v>
      </c>
      <c r="G150" s="2" t="s">
        <v>20</v>
      </c>
      <c r="H150" s="7">
        <f>_xlfn.NORM.DIST(H149,0,1,TRUE)</f>
        <v>1.1671101006445445E-2</v>
      </c>
      <c r="I150" s="5"/>
      <c r="J150" s="5"/>
    </row>
    <row r="151" spans="1:10" x14ac:dyDescent="0.55000000000000004">
      <c r="A151" s="95" t="s">
        <v>99</v>
      </c>
      <c r="B151" s="95"/>
      <c r="C151" s="74">
        <v>-0.3</v>
      </c>
      <c r="D151" s="15"/>
      <c r="E151" s="153" t="s">
        <v>31</v>
      </c>
      <c r="F151" s="197"/>
      <c r="G151" s="197"/>
      <c r="H151" s="191"/>
      <c r="I151" s="5"/>
      <c r="J151" s="5"/>
    </row>
    <row r="152" spans="1:10" x14ac:dyDescent="0.55000000000000004">
      <c r="A152" s="95" t="s">
        <v>105</v>
      </c>
      <c r="B152" s="95"/>
      <c r="C152" s="74">
        <v>0.3</v>
      </c>
      <c r="D152" s="15"/>
      <c r="E152" s="2" t="s">
        <v>63</v>
      </c>
      <c r="F152" s="7">
        <f>IF(ABS(F149)&lt;ABS(H149),F149,H149)</f>
        <v>0.75592894601845551</v>
      </c>
      <c r="G152" s="2" t="s">
        <v>20</v>
      </c>
      <c r="H152" s="7">
        <f>MAX(F150,H150)</f>
        <v>0.22484589898444518</v>
      </c>
      <c r="I152" s="5"/>
      <c r="J152" s="5"/>
    </row>
    <row r="153" spans="1:10" x14ac:dyDescent="0.55000000000000004">
      <c r="A153" s="192" t="s">
        <v>35</v>
      </c>
      <c r="B153" s="116"/>
      <c r="C153" s="195">
        <f>ROUNDUP((MAX((C147*(1-C147)+C148*(1-C148))*(((_xlfn.NORM.INV(1-C149,0,1)+_xlfn.NORM.INV(1-((1-C150)/2),0,1)))/(ABS(C147-C148)-ABS(C151)))^2,(C147*(1-C147)+C148*(1-C148))*(((_xlfn.NORM.INV(1-C149,0,1)+_xlfn.NORM.INV(1-((1-C150)/2),0,1)))/(ABS(C147-C148)-ABS(C152)))^2)),0)</f>
        <v>61</v>
      </c>
      <c r="D153" s="15"/>
      <c r="E153" s="198" t="str">
        <f>"The TOST procedure based on Fishers exact Z-test indicated that the observed difference ("&amp;ROUND(H145,2)&amp;") was "&amp;IF(H152&lt;0.05,"significantly","not significantly")&amp;" within the equivalent bounds of "&amp;ROUND(B145,2)&amp;" and "&amp;ROUND(D145,2)&amp;", Z = ("&amp;ROUND(F152,2)&amp;"), p = "&amp;ROUND(H152,3)</f>
        <v>The TOST procedure based on Fishers exact Z-test indicated that the observed difference (-0.05) was not significantly within the equivalent bounds of -0.1 and 0.1, Z = (0.76), p = 0.225</v>
      </c>
      <c r="F153" s="199"/>
      <c r="G153" s="199"/>
      <c r="H153" s="200"/>
      <c r="I153" s="5"/>
      <c r="J153" s="5"/>
    </row>
    <row r="154" spans="1:10" s="4" customFormat="1" x14ac:dyDescent="0.55000000000000004">
      <c r="A154" s="193"/>
      <c r="B154" s="194"/>
      <c r="C154" s="196"/>
      <c r="D154" s="15"/>
      <c r="E154" s="201"/>
      <c r="F154" s="202"/>
      <c r="G154" s="202"/>
      <c r="H154" s="203"/>
    </row>
    <row r="155" spans="1:10" s="4" customFormat="1" x14ac:dyDescent="0.55000000000000004">
      <c r="A155" s="77"/>
      <c r="B155" s="78"/>
      <c r="C155" s="78"/>
      <c r="D155" s="78"/>
      <c r="E155" s="204"/>
      <c r="F155" s="205"/>
      <c r="G155" s="205"/>
      <c r="H155" s="206"/>
    </row>
    <row r="156" spans="1:10" x14ac:dyDescent="0.55000000000000004">
      <c r="A156" s="4"/>
      <c r="B156" s="4"/>
      <c r="C156" s="4"/>
      <c r="D156" s="15"/>
      <c r="I156" s="5"/>
      <c r="J156" s="5"/>
    </row>
    <row r="157" spans="1:10" x14ac:dyDescent="0.55000000000000004">
      <c r="A157" s="15"/>
      <c r="B157" s="15"/>
      <c r="C157" s="15"/>
      <c r="D157" s="15"/>
      <c r="E157" s="15"/>
    </row>
  </sheetData>
  <mergeCells count="255">
    <mergeCell ref="A150:B150"/>
    <mergeCell ref="A151:B151"/>
    <mergeCell ref="A152:B152"/>
    <mergeCell ref="A153:B154"/>
    <mergeCell ref="C153:C154"/>
    <mergeCell ref="E147:H147"/>
    <mergeCell ref="E148:F148"/>
    <mergeCell ref="G148:H148"/>
    <mergeCell ref="E151:H151"/>
    <mergeCell ref="E153:H155"/>
    <mergeCell ref="A147:B147"/>
    <mergeCell ref="A148:B148"/>
    <mergeCell ref="A142:H142"/>
    <mergeCell ref="A146:C146"/>
    <mergeCell ref="A149:B149"/>
    <mergeCell ref="E144:H144"/>
    <mergeCell ref="A1:I1"/>
    <mergeCell ref="M44:M45"/>
    <mergeCell ref="N44:N45"/>
    <mergeCell ref="A112:H112"/>
    <mergeCell ref="E113:F113"/>
    <mergeCell ref="G113:H113"/>
    <mergeCell ref="E51:H51"/>
    <mergeCell ref="E53:H55"/>
    <mergeCell ref="A132:A133"/>
    <mergeCell ref="D132:E132"/>
    <mergeCell ref="E89:H91"/>
    <mergeCell ref="M24:M25"/>
    <mergeCell ref="N24:N25"/>
    <mergeCell ref="E14:H14"/>
    <mergeCell ref="I16:L18"/>
    <mergeCell ref="A94:H94"/>
    <mergeCell ref="A40:H40"/>
    <mergeCell ref="E42:F42"/>
    <mergeCell ref="M3:P4"/>
    <mergeCell ref="M9:P10"/>
    <mergeCell ref="D137:G139"/>
    <mergeCell ref="I28:L28"/>
    <mergeCell ref="E118:H118"/>
    <mergeCell ref="E120:H122"/>
    <mergeCell ref="A120:B120"/>
    <mergeCell ref="B44:B45"/>
    <mergeCell ref="C44:C45"/>
    <mergeCell ref="B114:B115"/>
    <mergeCell ref="C114:C115"/>
    <mergeCell ref="D114:D115"/>
    <mergeCell ref="A116:C116"/>
    <mergeCell ref="A117:B117"/>
    <mergeCell ref="G119:H119"/>
    <mergeCell ref="I42:J42"/>
    <mergeCell ref="A48:B48"/>
    <mergeCell ref="A49:B49"/>
    <mergeCell ref="A46:C46"/>
    <mergeCell ref="A86:B86"/>
    <mergeCell ref="E87:H87"/>
    <mergeCell ref="A87:B88"/>
    <mergeCell ref="K42:K43"/>
    <mergeCell ref="L42:L43"/>
    <mergeCell ref="F132:G132"/>
    <mergeCell ref="E115:H115"/>
    <mergeCell ref="E116:F116"/>
    <mergeCell ref="G116:H116"/>
    <mergeCell ref="E119:F119"/>
    <mergeCell ref="A121:B122"/>
    <mergeCell ref="C121:C122"/>
    <mergeCell ref="A119:B119"/>
    <mergeCell ref="A118:B118"/>
    <mergeCell ref="E71:H73"/>
    <mergeCell ref="A68:B68"/>
    <mergeCell ref="A106:B107"/>
    <mergeCell ref="C106:C107"/>
    <mergeCell ref="A51:B52"/>
    <mergeCell ref="C51:C52"/>
    <mergeCell ref="A105:B105"/>
    <mergeCell ref="A72:B73"/>
    <mergeCell ref="C72:C73"/>
    <mergeCell ref="C87:C88"/>
    <mergeCell ref="A134:B134"/>
    <mergeCell ref="A135:B135"/>
    <mergeCell ref="D135:G135"/>
    <mergeCell ref="A129:G130"/>
    <mergeCell ref="A131:B131"/>
    <mergeCell ref="D131:G131"/>
    <mergeCell ref="M5:M6"/>
    <mergeCell ref="N5:N6"/>
    <mergeCell ref="O5:O6"/>
    <mergeCell ref="P5:P6"/>
    <mergeCell ref="A114:A115"/>
    <mergeCell ref="E96:F96"/>
    <mergeCell ref="G96:H96"/>
    <mergeCell ref="A101:B101"/>
    <mergeCell ref="E101:F101"/>
    <mergeCell ref="G101:H101"/>
    <mergeCell ref="A26:A27"/>
    <mergeCell ref="B26:B27"/>
    <mergeCell ref="C26:C27"/>
    <mergeCell ref="D26:D27"/>
    <mergeCell ref="A28:C28"/>
    <mergeCell ref="E28:H28"/>
    <mergeCell ref="A32:B32"/>
    <mergeCell ref="A58:H58"/>
    <mergeCell ref="A62:A63"/>
    <mergeCell ref="B62:B63"/>
    <mergeCell ref="M42:M43"/>
    <mergeCell ref="N42:N43"/>
    <mergeCell ref="K44:K45"/>
    <mergeCell ref="L44:L45"/>
    <mergeCell ref="A34:B35"/>
    <mergeCell ref="C34:C35"/>
    <mergeCell ref="E35:H37"/>
    <mergeCell ref="I35:L37"/>
    <mergeCell ref="A33:B33"/>
    <mergeCell ref="G29:H29"/>
    <mergeCell ref="I29:J29"/>
    <mergeCell ref="K29:L29"/>
    <mergeCell ref="E107:H109"/>
    <mergeCell ref="A102:B102"/>
    <mergeCell ref="A103:B103"/>
    <mergeCell ref="A104:B104"/>
    <mergeCell ref="E105:H105"/>
    <mergeCell ref="A98:A99"/>
    <mergeCell ref="B98:B99"/>
    <mergeCell ref="C98:C99"/>
    <mergeCell ref="D98:D99"/>
    <mergeCell ref="A100:C100"/>
    <mergeCell ref="E100:H100"/>
    <mergeCell ref="G42:H42"/>
    <mergeCell ref="A44:A45"/>
    <mergeCell ref="A50:B50"/>
    <mergeCell ref="I96:J96"/>
    <mergeCell ref="K66:K67"/>
    <mergeCell ref="K40:N41"/>
    <mergeCell ref="M7:M8"/>
    <mergeCell ref="N7:N8"/>
    <mergeCell ref="O7:O8"/>
    <mergeCell ref="N26:N27"/>
    <mergeCell ref="O26:O27"/>
    <mergeCell ref="E29:F29"/>
    <mergeCell ref="O24:O25"/>
    <mergeCell ref="P24:P25"/>
    <mergeCell ref="M26:M27"/>
    <mergeCell ref="P26:P27"/>
    <mergeCell ref="M11:M12"/>
    <mergeCell ref="N11:N12"/>
    <mergeCell ref="O11:O12"/>
    <mergeCell ref="P11:P12"/>
    <mergeCell ref="P7:P8"/>
    <mergeCell ref="N13:N14"/>
    <mergeCell ref="O13:O14"/>
    <mergeCell ref="M13:M14"/>
    <mergeCell ref="M30:M31"/>
    <mergeCell ref="N30:N31"/>
    <mergeCell ref="O30:O31"/>
    <mergeCell ref="P30:P31"/>
    <mergeCell ref="M32:M33"/>
    <mergeCell ref="N32:N33"/>
    <mergeCell ref="O32:O33"/>
    <mergeCell ref="P32:P33"/>
    <mergeCell ref="P13:P14"/>
    <mergeCell ref="M28:P29"/>
    <mergeCell ref="M22:P23"/>
    <mergeCell ref="A3:H3"/>
    <mergeCell ref="I5:J5"/>
    <mergeCell ref="A7:A8"/>
    <mergeCell ref="C7:C8"/>
    <mergeCell ref="E10:F10"/>
    <mergeCell ref="E16:H18"/>
    <mergeCell ref="G10:H10"/>
    <mergeCell ref="E9:H9"/>
    <mergeCell ref="B7:B8"/>
    <mergeCell ref="D7:D8"/>
    <mergeCell ref="I9:L9"/>
    <mergeCell ref="I10:J10"/>
    <mergeCell ref="K10:L10"/>
    <mergeCell ref="A9:C9"/>
    <mergeCell ref="A13:B13"/>
    <mergeCell ref="A10:B10"/>
    <mergeCell ref="A11:B11"/>
    <mergeCell ref="A12:B12"/>
    <mergeCell ref="I14:L14"/>
    <mergeCell ref="A14:B15"/>
    <mergeCell ref="C14:C15"/>
    <mergeCell ref="E5:F5"/>
    <mergeCell ref="K5:L5"/>
    <mergeCell ref="A30:B30"/>
    <mergeCell ref="A31:B31"/>
    <mergeCell ref="E33:H33"/>
    <mergeCell ref="G60:H60"/>
    <mergeCell ref="I60:J60"/>
    <mergeCell ref="K60:K61"/>
    <mergeCell ref="L60:L61"/>
    <mergeCell ref="E46:H46"/>
    <mergeCell ref="A47:B47"/>
    <mergeCell ref="E47:F47"/>
    <mergeCell ref="G47:H47"/>
    <mergeCell ref="E60:F60"/>
    <mergeCell ref="I33:L33"/>
    <mergeCell ref="A22:H22"/>
    <mergeCell ref="E24:F24"/>
    <mergeCell ref="I24:J24"/>
    <mergeCell ref="K24:L24"/>
    <mergeCell ref="A29:B29"/>
    <mergeCell ref="K46:N47"/>
    <mergeCell ref="D44:D45"/>
    <mergeCell ref="M60:M61"/>
    <mergeCell ref="N60:N61"/>
    <mergeCell ref="M48:M49"/>
    <mergeCell ref="N48:N49"/>
    <mergeCell ref="K48:K49"/>
    <mergeCell ref="L48:L49"/>
    <mergeCell ref="K50:K51"/>
    <mergeCell ref="L50:L51"/>
    <mergeCell ref="M50:M51"/>
    <mergeCell ref="N50:N51"/>
    <mergeCell ref="K58:N59"/>
    <mergeCell ref="A67:B67"/>
    <mergeCell ref="A66:B66"/>
    <mergeCell ref="K62:K63"/>
    <mergeCell ref="L62:L63"/>
    <mergeCell ref="M62:M63"/>
    <mergeCell ref="N62:N63"/>
    <mergeCell ref="A64:C64"/>
    <mergeCell ref="E64:H64"/>
    <mergeCell ref="K64:N65"/>
    <mergeCell ref="A65:B65"/>
    <mergeCell ref="E65:F65"/>
    <mergeCell ref="G65:H65"/>
    <mergeCell ref="C62:C63"/>
    <mergeCell ref="D62:D63"/>
    <mergeCell ref="L66:L67"/>
    <mergeCell ref="M66:M67"/>
    <mergeCell ref="N66:N67"/>
    <mergeCell ref="K68:K69"/>
    <mergeCell ref="L68:L69"/>
    <mergeCell ref="M68:M69"/>
    <mergeCell ref="N68:N69"/>
    <mergeCell ref="A69:B70"/>
    <mergeCell ref="C69:C70"/>
    <mergeCell ref="E69:H69"/>
    <mergeCell ref="A84:B84"/>
    <mergeCell ref="A85:B85"/>
    <mergeCell ref="I78:J78"/>
    <mergeCell ref="A80:A81"/>
    <mergeCell ref="B80:B81"/>
    <mergeCell ref="C80:C81"/>
    <mergeCell ref="D80:D81"/>
    <mergeCell ref="A82:C82"/>
    <mergeCell ref="E82:H82"/>
    <mergeCell ref="A83:B83"/>
    <mergeCell ref="E83:F83"/>
    <mergeCell ref="G83:H83"/>
    <mergeCell ref="A71:B71"/>
    <mergeCell ref="A76:H76"/>
    <mergeCell ref="E78:F78"/>
    <mergeCell ref="G78:H78"/>
  </mergeCells>
  <pageMargins left="0.7" right="0.7" top="0.75" bottom="0.75" header="0.3" footer="0.3"/>
  <pageSetup orientation="portrait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FileFormat xmlns="ad6050de-b204-4cd9-b492-5bc34f5a8a79">XLSX</FileFormat>
    <DocumentId xmlns="ad6050de-b204-4cd9-b492-5bc34f5a8a79">Data Sheet 1.XLSX</DocumentId>
    <IsDeleted xmlns="ad6050de-b204-4cd9-b492-5bc34f5a8a79">false</IsDeleted>
    <Checked_x0020_Out_x0020_To xmlns="ad6050de-b204-4cd9-b492-5bc34f5a8a79">
      <UserInfo>
        <DisplayName/>
        <AccountId xsi:nil="true"/>
        <AccountType/>
      </UserInfo>
    </Checked_x0020_Out_x0020_To>
    <DocumentType xmlns="ad6050de-b204-4cd9-b492-5bc34f5a8a79">Data Sheet</DocumentType>
    <TitleName xmlns="ad6050de-b204-4cd9-b492-5bc34f5a8a79">Data Sheet 1.XLSX</TitleName>
    <StageName xmlns="ad6050de-b204-4cd9-b492-5bc34f5a8a79">Upload</StageNam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45540C5CC05F49B9F102AC9006ABC0" ma:contentTypeVersion="7" ma:contentTypeDescription="Create a new document." ma:contentTypeScope="" ma:versionID="13dd8d8b02aecb40adc89552bf514269">
  <xsd:schema xmlns:xsd="http://www.w3.org/2001/XMLSchema" xmlns:p="http://schemas.microsoft.com/office/2006/metadata/properties" xmlns:ns2="ad6050de-b204-4cd9-b492-5bc34f5a8a79" targetNamespace="http://schemas.microsoft.com/office/2006/metadata/properties" ma:root="true" ma:fieldsID="ba31fb450d54352de63754597d7a3f68" ns2:_="">
    <xsd:import namespace="ad6050de-b204-4cd9-b492-5bc34f5a8a79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FileFormat" minOccurs="0"/>
                <xsd:element ref="ns2:DocumentId" minOccurs="0"/>
                <xsd:element ref="ns2:TitleName" minOccurs="0"/>
                <xsd:element ref="ns2:StageName" minOccurs="0"/>
                <xsd:element ref="ns2:IsDeleted" minOccurs="0"/>
                <xsd:element ref="ns2:Checked_x0020_Out_x0020_To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ad6050de-b204-4cd9-b492-5bc34f5a8a79" elementFormDefault="qualified">
    <xsd:import namespace="http://schemas.microsoft.com/office/2006/documentManagement/types"/>
    <xsd:element name="DocumentType" ma:index="8" nillable="true" ma:displayName="DocumentType" ma:internalName="DocumentType">
      <xsd:simpleType>
        <xsd:restriction base="dms:Text"/>
      </xsd:simpleType>
    </xsd:element>
    <xsd:element name="FileFormat" ma:index="9" nillable="true" ma:displayName="FileFormat" ma:internalName="FileFormat">
      <xsd:simpleType>
        <xsd:restriction base="dms:Text"/>
      </xsd:simpleType>
    </xsd:element>
    <xsd:element name="DocumentId" ma:index="10" nillable="true" ma:displayName="DocumentId" ma:internalName="DocumentId">
      <xsd:simpleType>
        <xsd:restriction base="dms:Text"/>
      </xsd:simpleType>
    </xsd:element>
    <xsd:element name="TitleName" ma:index="11" nillable="true" ma:displayName="TitleName" ma:internalName="TitleName">
      <xsd:simpleType>
        <xsd:restriction base="dms:Text"/>
      </xsd:simpleType>
    </xsd:element>
    <xsd:element name="StageName" ma:index="12" nillable="true" ma:displayName="StageName" ma:internalName="StageName">
      <xsd:simpleType>
        <xsd:restriction base="dms:Text"/>
      </xsd:simpleType>
    </xsd:element>
    <xsd:element name="IsDeleted" ma:index="13" nillable="true" ma:displayName="IsDeleted" ma:default="0" ma:internalName="IsDeleted">
      <xsd:simpleType>
        <xsd:restriction base="dms:Boolean"/>
      </xsd:simpleType>
    </xsd:element>
    <xsd:element name="Checked_x0020_Out_x0020_To" ma:index="14" nillable="true" ma:displayName="Checked Out To" ma:list="UserInfo" ma:internalName="Checked_x0020_Out_x0020_T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B0567D5-BD80-4677-8E75-D32F05137619}">
  <ds:schemaRefs>
    <ds:schemaRef ds:uri="http://schemas.microsoft.com/office/2006/documentManagement/types"/>
    <ds:schemaRef ds:uri="http://schemas.microsoft.com/office/2006/metadata/properties"/>
    <ds:schemaRef ds:uri="ad6050de-b204-4cd9-b492-5bc34f5a8a79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A849663-E906-47CB-8B3F-0EB266235A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2732D7-A548-4B39-842C-4C878D1E1A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6050de-b204-4cd9-b492-5bc34f5a8a7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Equivalence Test</vt:lpstr>
    </vt:vector>
  </TitlesOfParts>
  <Company>Technische Universiteit Eindhoven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Lakens</dc:creator>
  <cp:lastModifiedBy>Daniel Lakens</cp:lastModifiedBy>
  <dcterms:created xsi:type="dcterms:W3CDTF">2013-05-09T12:54:42Z</dcterms:created>
  <dcterms:modified xsi:type="dcterms:W3CDTF">2018-05-08T07:54:03Z</dcterms:modified>
</cp:coreProperties>
</file>