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riennezane/Desktop/Data Bootcamp/Resources/"/>
    </mc:Choice>
  </mc:AlternateContent>
  <xr:revisionPtr revIDLastSave="0" documentId="13_ncr:1_{150319D3-E1A7-A846-9B6E-236D81E3D28C}" xr6:coauthVersionLast="47" xr6:coauthVersionMax="47" xr10:uidLastSave="{00000000-0000-0000-0000-000000000000}"/>
  <bookViews>
    <workbookView xWindow="28800" yWindow="500" windowWidth="38400" windowHeight="19880" activeTab="7" xr2:uid="{00000000-000D-0000-FFFF-FFFF00000000}"/>
  </bookViews>
  <sheets>
    <sheet name="Category Statistics" sheetId="2" r:id="rId1"/>
    <sheet name="Subcategory Statistics" sheetId="3" r:id="rId2"/>
    <sheet name="Edinburgh Research" sheetId="5" r:id="rId3"/>
    <sheet name="Outcomes Based on Launch Date" sheetId="4" r:id="rId4"/>
    <sheet name="Theater Outcomes by Launch Date" sheetId="10" r:id="rId5"/>
    <sheet name="Sheet1" sheetId="12" r:id="rId6"/>
    <sheet name="Outcomes Based on Goals" sheetId="11" r:id="rId7"/>
    <sheet name="Kickstarter" sheetId="1" r:id="rId8"/>
    <sheet name="Descriptive Statistics" sheetId="8" r:id="rId9"/>
  </sheets>
  <definedNames>
    <definedName name="_xlnm._FilterDatabase" localSheetId="7" hidden="1">Kickstarter!$A$1:$T$4115</definedName>
  </definedNames>
  <calcPr calcId="191029"/>
  <pivotCaches>
    <pivotCache cacheId="0" r:id="rId10"/>
    <pivotCache cacheId="1" r:id="rId11"/>
    <pivotCache cacheId="2" r:id="rId12"/>
    <pivotCache cacheId="2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1" l="1"/>
  <c r="C5" i="11"/>
  <c r="C4" i="11"/>
  <c r="C3" i="11"/>
  <c r="D5" i="11"/>
  <c r="D4" i="11"/>
  <c r="D3" i="11"/>
  <c r="C7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D6" i="11"/>
  <c r="B13" i="11"/>
  <c r="E13" i="11" s="1"/>
  <c r="B12" i="11"/>
  <c r="E12" i="11" s="1"/>
  <c r="B11" i="11"/>
  <c r="B10" i="11"/>
  <c r="B9" i="11"/>
  <c r="E9" i="11" s="1"/>
  <c r="B8" i="11"/>
  <c r="E8" i="11" s="1"/>
  <c r="B7" i="11"/>
  <c r="B6" i="11"/>
  <c r="B5" i="11"/>
  <c r="B4" i="11"/>
  <c r="B3" i="11"/>
  <c r="D2" i="11"/>
  <c r="C2" i="11"/>
  <c r="B2" i="11"/>
  <c r="C6" i="8"/>
  <c r="C5" i="8"/>
  <c r="C4" i="8"/>
  <c r="C13" i="8"/>
  <c r="C12" i="8"/>
  <c r="C11" i="8"/>
  <c r="B13" i="8"/>
  <c r="B12" i="8"/>
  <c r="B11" i="8"/>
  <c r="B6" i="8"/>
  <c r="B5" i="8"/>
  <c r="B4" i="8"/>
  <c r="C10" i="8"/>
  <c r="B10" i="8"/>
  <c r="C2" i="8"/>
  <c r="C9" i="8"/>
  <c r="B9" i="8"/>
  <c r="C3" i="8"/>
  <c r="B3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6" i="5" s="1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1" l="1"/>
  <c r="H3" i="11" s="1"/>
  <c r="C14" i="8"/>
  <c r="B14" i="8"/>
  <c r="C7" i="8"/>
  <c r="B7" i="8"/>
  <c r="G9" i="11"/>
  <c r="E5" i="11"/>
  <c r="H5" i="11" s="1"/>
  <c r="E10" i="11"/>
  <c r="F10" i="11" s="1"/>
  <c r="H8" i="11"/>
  <c r="G8" i="11"/>
  <c r="G3" i="11"/>
  <c r="G10" i="11"/>
  <c r="H9" i="11"/>
  <c r="E2" i="11"/>
  <c r="F2" i="11" s="1"/>
  <c r="E4" i="11"/>
  <c r="H4" i="11" s="1"/>
  <c r="F9" i="11"/>
  <c r="F3" i="11"/>
  <c r="F8" i="11"/>
  <c r="E11" i="11"/>
  <c r="G11" i="11" s="1"/>
  <c r="E7" i="11"/>
  <c r="E6" i="11"/>
  <c r="F5" i="11" l="1"/>
  <c r="H10" i="11"/>
  <c r="G2" i="11"/>
  <c r="F4" i="11"/>
  <c r="G5" i="11"/>
  <c r="G4" i="11"/>
  <c r="H2" i="11"/>
  <c r="H11" i="11"/>
  <c r="F11" i="11"/>
  <c r="H7" i="11"/>
  <c r="F7" i="11"/>
  <c r="G7" i="11"/>
  <c r="F6" i="11"/>
  <c r="H6" i="11"/>
  <c r="G6" i="11"/>
</calcChain>
</file>

<file path=xl/sharedStrings.xml><?xml version="1.0" encoding="utf-8"?>
<sst xmlns="http://schemas.openxmlformats.org/spreadsheetml/2006/main" count="33083" uniqueCount="8422">
  <si>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</si>
  <si>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</si>
  <si>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</si>
  <si>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</si>
  <si>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</si>
  <si>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</si>
  <si>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</si>
  <si>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</si>
  <si>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</si>
  <si>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</si>
  <si>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</si>
  <si>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</si>
  <si>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</si>
  <si>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</si>
  <si>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</si>
  <si>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</si>
  <si>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</si>
  <si>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</si>
  <si>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</si>
  <si>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</si>
  <si>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</si>
  <si>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</si>
  <si>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</si>
  <si>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</si>
  <si>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</si>
  <si>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</si>
  <si>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</si>
  <si>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</si>
  <si>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</si>
  <si>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</si>
  <si>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</si>
  <si>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</si>
  <si>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</si>
  <si>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</si>
  <si>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</si>
  <si>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</si>
  <si>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</si>
  <si>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</si>
  <si>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</si>
  <si>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</si>
  <si>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</si>
  <si>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</si>
  <si>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</si>
  <si>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</si>
  <si>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</si>
  <si>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</si>
  <si>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</si>
  <si>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</si>
  <si>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</si>
  <si>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</si>
  <si>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</si>
  <si>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</si>
  <si>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</si>
  <si>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</si>
  <si>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</si>
  <si>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</si>
  <si>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</si>
  <si>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</si>
  <si>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</si>
  <si>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</si>
  <si>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</si>
  <si>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</si>
  <si>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</si>
  <si>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</si>
  <si>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</si>
  <si>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</si>
  <si>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</si>
  <si>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</si>
  <si>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</si>
  <si>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</si>
  <si>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</si>
  <si>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</si>
  <si>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</si>
  <si>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</si>
  <si>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</si>
  <si>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</si>
  <si>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</si>
  <si>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</si>
  <si>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</si>
  <si>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</si>
  <si>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</si>
  <si>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</si>
  <si>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</si>
  <si>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</si>
  <si>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</si>
  <si>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</si>
  <si>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</si>
  <si>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</si>
  <si>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</si>
  <si>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</si>
  <si>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</si>
  <si>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</si>
  <si>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</si>
  <si>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</si>
  <si>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</si>
  <si>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</si>
  <si>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</si>
  <si>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</si>
  <si>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</si>
  <si>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</si>
  <si>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</si>
  <si>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</si>
  <si>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</si>
  <si>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</si>
  <si>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</si>
  <si>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</si>
  <si>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</si>
  <si>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</si>
  <si>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</si>
  <si>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</si>
  <si>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</si>
  <si>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</si>
  <si>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</si>
  <si>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</si>
  <si>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</si>
  <si>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</si>
  <si>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</si>
  <si>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</si>
  <si>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</si>
  <si>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</si>
  <si>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</si>
  <si>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</si>
  <si>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</si>
  <si>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</si>
  <si>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</si>
  <si>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</si>
  <si>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</si>
  <si>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</si>
  <si>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</si>
  <si>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</si>
  <si>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</si>
  <si>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</si>
  <si>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</si>
  <si>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</si>
  <si>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</si>
  <si>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</si>
  <si>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</si>
  <si>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</si>
  <si>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</si>
  <si>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</si>
  <si>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</si>
  <si>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</si>
  <si>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</si>
  <si>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</si>
  <si>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</si>
  <si>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</si>
  <si>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</si>
  <si>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</si>
  <si>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</si>
  <si>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</si>
  <si>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</si>
  <si>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</si>
  <si>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</si>
  <si>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</si>
  <si>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</si>
  <si>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</si>
  <si>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</si>
  <si>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</si>
  <si>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</si>
  <si>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</si>
  <si>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</si>
  <si>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</si>
  <si>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</si>
  <si>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</si>
  <si>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</si>
  <si>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</si>
  <si>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</si>
  <si>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</si>
  <si>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</si>
  <si>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</si>
  <si>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</si>
  <si>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</si>
  <si>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</si>
  <si>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</si>
  <si>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</si>
  <si>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</si>
  <si>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</si>
  <si>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</si>
  <si>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</si>
  <si>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</si>
  <si>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</si>
  <si>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</si>
  <si>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</si>
  <si>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</si>
  <si>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</si>
  <si>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</si>
  <si>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</si>
  <si>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</si>
  <si>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</si>
  <si>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</si>
  <si>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</si>
  <si>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</si>
  <si>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</si>
  <si>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</si>
  <si>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</si>
  <si>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</si>
  <si>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</si>
  <si>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</si>
  <si>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</si>
  <si>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</si>
  <si>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</si>
  <si>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</si>
  <si>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</si>
  <si>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</si>
  <si>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</si>
  <si>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</si>
  <si>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</si>
  <si>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</si>
  <si>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</si>
  <si>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</si>
  <si>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</si>
  <si>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</si>
  <si>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</si>
  <si>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</si>
  <si>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</si>
  <si>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</si>
  <si>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</si>
  <si>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</si>
  <si>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</si>
  <si>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</si>
  <si>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</si>
  <si>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</si>
  <si>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</si>
  <si>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</si>
  <si>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</si>
  <si>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</si>
  <si>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</si>
  <si>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</si>
  <si>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</si>
  <si>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</si>
  <si>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</si>
  <si>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</si>
  <si>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</si>
  <si>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</si>
  <si>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</si>
  <si>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</si>
  <si>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</si>
  <si>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</si>
  <si>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</si>
  <si>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</si>
  <si>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</si>
  <si>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</si>
  <si>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</si>
  <si>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</si>
  <si>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</si>
  <si>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</si>
  <si>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</si>
  <si>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</si>
  <si>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</si>
  <si>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</si>
  <si>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</si>
  <si>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</si>
  <si>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</si>
  <si>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</si>
  <si>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</si>
  <si>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</si>
  <si>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</si>
  <si>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</si>
  <si>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</si>
  <si>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</si>
  <si>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</si>
  <si>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</si>
  <si>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</si>
  <si>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</si>
  <si>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</si>
  <si>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</si>
  <si>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</si>
  <si>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</si>
  <si>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</si>
  <si>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</si>
  <si>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</si>
  <si>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</si>
  <si>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</si>
  <si>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</si>
  <si>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</si>
  <si>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</si>
  <si>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</si>
  <si>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</si>
  <si>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</si>
  <si>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</si>
  <si>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</si>
  <si>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</si>
  <si>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</si>
  <si>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</si>
  <si>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</si>
  <si>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</si>
  <si>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</si>
  <si>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</si>
  <si>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</si>
  <si>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</si>
  <si>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</si>
  <si>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</si>
  <si>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</si>
  <si>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</si>
  <si>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</si>
  <si>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</si>
  <si>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</si>
  <si>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</si>
  <si>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</si>
  <si>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</si>
  <si>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</si>
  <si>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</si>
  <si>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</si>
  <si>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</si>
  <si>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</si>
  <si>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</si>
  <si>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</si>
  <si>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</si>
  <si>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</si>
  <si>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</si>
  <si>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</si>
  <si>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</si>
  <si>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</si>
  <si>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</si>
  <si>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</si>
  <si>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</si>
  <si>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</si>
  <si>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</si>
  <si>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</si>
  <si>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</si>
  <si>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</si>
  <si>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</si>
  <si>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</si>
  <si>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</si>
  <si>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</si>
  <si>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</si>
  <si>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</si>
  <si>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</si>
  <si>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</si>
  <si>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</si>
  <si>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</si>
  <si>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</si>
  <si>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</si>
  <si>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</si>
  <si>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</si>
  <si>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</si>
  <si>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</si>
  <si>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</si>
  <si>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</si>
  <si>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</si>
  <si>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</si>
  <si>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</si>
  <si>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</si>
  <si>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</si>
  <si>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</si>
  <si>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</si>
  <si>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</si>
  <si>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</si>
  <si>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</si>
  <si>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</si>
  <si>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</si>
  <si>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</si>
  <si>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</si>
  <si>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</si>
  <si>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</si>
  <si>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</si>
  <si>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</si>
  <si>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</si>
  <si>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</si>
  <si>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</si>
  <si>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</si>
  <si>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</si>
  <si>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</si>
  <si>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</si>
  <si>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</si>
  <si>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</si>
  <si>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</si>
  <si>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</si>
  <si>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</si>
  <si>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</si>
  <si>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</si>
  <si>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</si>
  <si>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</si>
  <si>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</si>
  <si>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</si>
  <si>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</si>
  <si>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</si>
  <si>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</si>
  <si>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</si>
  <si>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</si>
  <si>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</si>
  <si>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</si>
  <si>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</si>
  <si>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</si>
  <si>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</si>
  <si>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</si>
  <si>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</si>
  <si>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</si>
  <si>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</si>
  <si>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</si>
  <si>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</si>
  <si>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</si>
  <si>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</si>
  <si>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</si>
  <si>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</si>
  <si>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</si>
  <si>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</si>
  <si>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</si>
  <si>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</si>
  <si>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</si>
  <si>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</si>
  <si>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</si>
  <si>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</si>
  <si>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</si>
  <si>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</si>
  <si>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</si>
  <si>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</si>
  <si>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</si>
  <si>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</si>
  <si>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</si>
  <si>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</si>
  <si>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</si>
  <si>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</si>
  <si>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</si>
  <si>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</si>
  <si>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</si>
  <si>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</si>
  <si>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</si>
  <si>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</si>
  <si>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</si>
  <si>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</si>
  <si>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</si>
  <si>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</si>
  <si>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</si>
  <si>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</si>
  <si>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</si>
  <si>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</si>
  <si>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</si>
  <si>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</si>
  <si>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</si>
  <si>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</si>
  <si>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</si>
  <si>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</si>
  <si>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</si>
  <si>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</si>
  <si>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</si>
  <si>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</si>
  <si>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</si>
  <si>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</si>
  <si>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</si>
  <si>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</si>
  <si>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</si>
  <si>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</si>
  <si>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</si>
  <si>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</si>
  <si>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</si>
  <si>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</si>
  <si>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</si>
  <si>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</si>
  <si>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</si>
  <si>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</si>
  <si>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</si>
  <si>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</si>
  <si>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</si>
  <si>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</si>
  <si>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</si>
  <si>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</si>
  <si>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</si>
  <si>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</si>
  <si>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</si>
  <si>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</si>
  <si>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</si>
  <si>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</si>
  <si>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</si>
  <si>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</si>
  <si>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</si>
  <si>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</si>
  <si>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</si>
  <si>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</si>
  <si>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</si>
  <si>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</si>
  <si>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</si>
  <si>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</si>
  <si>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</si>
  <si>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</si>
  <si>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</si>
  <si>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</si>
  <si>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</si>
  <si>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</si>
  <si>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</si>
  <si>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</si>
  <si>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</si>
  <si>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</si>
  <si>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</si>
  <si>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</si>
  <si>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</si>
  <si>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</si>
  <si>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</si>
  <si>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</si>
  <si>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</si>
  <si>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</si>
  <si>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</si>
  <si>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</si>
  <si>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</si>
  <si>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</si>
  <si>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</si>
  <si>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</si>
  <si>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</si>
  <si>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</si>
  <si>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</si>
  <si>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</si>
  <si>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</si>
  <si>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</si>
  <si>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</si>
  <si>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</si>
  <si>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</si>
  <si>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</si>
  <si>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</si>
  <si>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</si>
  <si>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</si>
  <si>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</si>
  <si>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</si>
  <si>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</si>
  <si>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</si>
  <si>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</si>
  <si>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</si>
  <si>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</si>
  <si>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</si>
  <si>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</si>
  <si>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</si>
  <si>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</si>
  <si>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</si>
  <si>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</si>
  <si>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</si>
  <si>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</si>
  <si>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</si>
  <si>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</si>
  <si>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</si>
  <si>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</si>
  <si>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</si>
  <si>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</si>
  <si>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</si>
  <si>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</si>
  <si>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</si>
  <si>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</si>
  <si>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</si>
  <si>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</si>
  <si>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</si>
  <si>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</si>
  <si>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</si>
  <si>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</si>
  <si>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</si>
  <si>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</si>
  <si>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</si>
  <si>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</si>
  <si>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</si>
  <si>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</si>
  <si>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</si>
  <si>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</si>
  <si>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</si>
  <si>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</si>
  <si>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</si>
  <si>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</si>
  <si>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</si>
  <si>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</si>
  <si>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</si>
  <si>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</si>
  <si>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</si>
  <si>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</si>
  <si>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</si>
  <si>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</si>
  <si>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</si>
  <si>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</si>
  <si>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</si>
  <si>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</si>
  <si>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</si>
  <si>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</si>
  <si>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</si>
  <si>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</si>
  <si>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</si>
  <si>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</si>
  <si>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</si>
  <si>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</si>
  <si>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</si>
  <si>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</si>
  <si>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</si>
  <si>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</si>
  <si>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</si>
  <si>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</si>
  <si>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</si>
  <si>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</si>
  <si>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</si>
  <si>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</si>
  <si>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</si>
  <si>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</si>
  <si>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</si>
  <si>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</si>
  <si>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</si>
  <si>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</si>
  <si>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</si>
  <si>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</si>
  <si>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</si>
  <si>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</si>
  <si>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</si>
  <si>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</si>
  <si>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</si>
  <si>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</si>
  <si>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</si>
  <si>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</si>
  <si>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</si>
  <si>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</si>
  <si>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</si>
  <si>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</si>
  <si>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</si>
  <si>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</si>
  <si>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</si>
  <si>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</si>
  <si>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</si>
  <si>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</si>
  <si>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</si>
  <si>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</si>
  <si>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</si>
  <si>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</si>
  <si>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</si>
  <si>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</si>
  <si>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</si>
  <si>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</si>
  <si>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</si>
  <si>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</si>
  <si>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</si>
  <si>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</si>
  <si>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</si>
  <si>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</si>
  <si>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</si>
  <si>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</si>
  <si>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</si>
  <si>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</si>
  <si>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</si>
  <si>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</si>
  <si>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</si>
  <si>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</si>
  <si>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</si>
  <si>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</si>
  <si>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</si>
  <si>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</si>
  <si>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</si>
  <si>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</si>
  <si>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</si>
  <si>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</si>
  <si>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</si>
  <si>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</si>
  <si>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</si>
  <si>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</si>
  <si>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</si>
  <si>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</si>
  <si>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</si>
  <si>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</si>
  <si>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</si>
  <si>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</si>
  <si>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</si>
  <si>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</si>
  <si>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</si>
  <si>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</si>
  <si>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</si>
  <si>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</si>
  <si>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</si>
  <si>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</si>
  <si>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</si>
  <si>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</si>
  <si>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</si>
  <si>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</si>
  <si>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</si>
  <si>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</si>
  <si>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</si>
  <si>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</si>
  <si>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</si>
  <si>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</si>
  <si>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</si>
  <si>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</si>
  <si>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</si>
  <si>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</si>
  <si>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</si>
  <si>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</si>
  <si>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</si>
  <si>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</si>
  <si>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</si>
  <si>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</si>
  <si>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</si>
  <si>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</si>
  <si>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</si>
  <si>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</si>
  <si>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</si>
  <si>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</si>
  <si>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</si>
  <si>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</si>
  <si>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</si>
  <si>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</si>
  <si>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</si>
  <si>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</si>
  <si>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</si>
  <si>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</si>
  <si>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</si>
  <si>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</si>
  <si>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</si>
  <si>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</si>
  <si>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</si>
  <si>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</si>
  <si>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</si>
  <si>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</si>
  <si>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</si>
  <si>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</si>
  <si>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</si>
  <si>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</si>
  <si>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</si>
  <si>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</si>
  <si>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</si>
  <si>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</si>
  <si>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</si>
  <si>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</si>
  <si>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</si>
  <si>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</si>
  <si>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</si>
  <si>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</si>
  <si>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</si>
  <si>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</si>
  <si>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</si>
  <si>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</si>
  <si>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</si>
  <si>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</si>
  <si>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</si>
  <si>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</si>
  <si>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</si>
  <si>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</si>
  <si>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</si>
  <si>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</si>
  <si>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</si>
  <si>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</si>
  <si>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</si>
  <si>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</si>
  <si>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</si>
  <si>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</si>
  <si>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</si>
  <si>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</si>
  <si>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</si>
  <si>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</si>
  <si>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</si>
  <si>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</si>
  <si>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</si>
  <si>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</si>
  <si>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</si>
  <si>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</si>
  <si>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</si>
  <si>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</si>
  <si>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</si>
  <si>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</si>
  <si>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</si>
  <si>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</si>
  <si>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</si>
  <si>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</si>
  <si>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</si>
  <si>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</si>
  <si>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</si>
  <si>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</si>
  <si>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</si>
  <si>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</si>
  <si>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</si>
  <si>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</si>
  <si>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</si>
  <si>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</si>
  <si>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</si>
  <si>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</si>
  <si>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</si>
  <si>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</si>
  <si>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</si>
  <si>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</si>
  <si>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</si>
  <si>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</si>
  <si>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</si>
  <si>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</si>
  <si>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</si>
  <si>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</si>
  <si>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</si>
  <si>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</si>
  <si>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</si>
  <si>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</si>
  <si>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</si>
  <si>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</si>
  <si>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</si>
  <si>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</si>
  <si>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</si>
  <si>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</si>
  <si>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</si>
  <si>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</si>
  <si>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</si>
  <si>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</si>
  <si>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</si>
  <si>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</si>
  <si>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</si>
  <si>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</si>
  <si>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</si>
  <si>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</si>
  <si>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</si>
  <si>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</si>
  <si>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</si>
  <si>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</si>
  <si>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</si>
  <si>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</si>
  <si>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</si>
  <si>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</si>
  <si>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</si>
  <si>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</si>
  <si>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</si>
  <si>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</si>
  <si>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</si>
  <si>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</si>
  <si>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</si>
  <si>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</si>
  <si>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</si>
  <si>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</si>
  <si>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</si>
  <si>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</si>
  <si>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</si>
  <si>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</si>
  <si>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</si>
  <si>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</si>
  <si>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</si>
  <si>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</si>
  <si>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</si>
  <si>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</si>
  <si>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</si>
  <si>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</si>
  <si>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</si>
  <si>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</si>
  <si>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</si>
  <si>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</si>
  <si>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</si>
  <si>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</si>
  <si>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</si>
  <si>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</si>
  <si>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</si>
  <si>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</si>
  <si>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</si>
  <si>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</si>
  <si>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</si>
  <si>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</si>
  <si>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</si>
  <si>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</si>
  <si>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</si>
  <si>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</si>
  <si>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</si>
  <si>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</si>
  <si>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</si>
  <si>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</si>
  <si>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</si>
  <si>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</si>
  <si>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</si>
  <si>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</si>
  <si>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</si>
  <si>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</si>
  <si>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</si>
  <si>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</si>
  <si>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</si>
  <si>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</si>
  <si>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</si>
  <si>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</si>
  <si>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</si>
  <si>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</si>
  <si>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</si>
  <si>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</si>
  <si>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</si>
  <si>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</si>
  <si>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</si>
  <si>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</si>
  <si>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</si>
  <si>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</si>
  <si>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</si>
  <si>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</si>
  <si>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</si>
  <si>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</si>
  <si>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</si>
  <si>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</si>
  <si>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</si>
  <si>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</si>
  <si>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</si>
  <si>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</si>
  <si>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</si>
  <si>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</si>
  <si>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</si>
  <si>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</si>
  <si>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</si>
  <si>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</si>
  <si>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</si>
  <si>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</si>
  <si>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</si>
  <si>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</si>
  <si>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</si>
  <si>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</si>
  <si>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</si>
  <si>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</si>
  <si>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</si>
  <si>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</si>
  <si>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</si>
  <si>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</si>
  <si>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</si>
  <si>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</si>
  <si>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</si>
  <si>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</si>
  <si>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</si>
  <si>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</si>
  <si>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</si>
  <si>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</si>
  <si>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</si>
  <si>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</si>
  <si>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</si>
  <si>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</si>
  <si>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</si>
  <si>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</si>
  <si>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</si>
  <si>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</si>
  <si>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</si>
  <si>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</si>
  <si>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</si>
  <si>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</si>
  <si>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</si>
  <si>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</si>
  <si>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</si>
  <si>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</si>
  <si>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</si>
  <si>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</si>
  <si>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</si>
  <si>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</si>
  <si>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</si>
  <si>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</si>
  <si>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</si>
  <si>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</si>
  <si>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</si>
  <si>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</si>
  <si>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</si>
  <si>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</si>
  <si>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</si>
  <si>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</si>
  <si>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</si>
  <si>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</si>
  <si>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</si>
  <si>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</si>
  <si>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</si>
  <si>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</si>
  <si>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</si>
  <si>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</si>
  <si>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</si>
  <si>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</si>
  <si>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</si>
  <si>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</si>
  <si>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</si>
  <si>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</si>
  <si>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</si>
  <si>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</si>
  <si>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</si>
  <si>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</si>
  <si>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</si>
  <si>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</si>
  <si>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</si>
  <si>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</si>
  <si>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</si>
  <si>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</si>
  <si>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</si>
  <si>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</si>
  <si>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</si>
  <si>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</si>
  <si>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</si>
  <si>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</si>
  <si>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</si>
  <si>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</si>
  <si>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</si>
  <si>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</si>
  <si>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</si>
  <si>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</si>
  <si>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</si>
  <si>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</si>
  <si>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</si>
  <si>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</si>
  <si>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</si>
  <si>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</si>
  <si>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</si>
  <si>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</si>
  <si>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</si>
  <si>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</si>
  <si>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</si>
  <si>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</si>
  <si>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</si>
  <si>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</si>
  <si>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</si>
  <si>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</si>
  <si>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</si>
  <si>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</si>
  <si>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</si>
  <si>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</si>
  <si>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</si>
  <si>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</si>
  <si>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</si>
  <si>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</si>
  <si>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</si>
  <si>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</si>
  <si>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</si>
  <si>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</si>
  <si>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</si>
  <si>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</si>
  <si>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</si>
  <si>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</si>
  <si>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</si>
  <si>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</si>
  <si>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</si>
  <si>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</si>
  <si>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</si>
  <si>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</si>
  <si>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</si>
  <si>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</si>
  <si>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</si>
  <si>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</si>
  <si>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</si>
  <si>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</si>
  <si>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</si>
  <si>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</si>
  <si>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</si>
  <si>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</si>
  <si>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</si>
  <si>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</si>
  <si>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</si>
  <si>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</si>
  <si>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</si>
  <si>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</si>
  <si>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</si>
  <si>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</si>
  <si>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</si>
  <si>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</si>
  <si>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</si>
  <si>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</si>
  <si>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</si>
  <si>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</si>
  <si>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</si>
  <si>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</si>
  <si>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</si>
  <si>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</si>
  <si>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</si>
  <si>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</si>
  <si>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</si>
  <si>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</si>
  <si>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</si>
  <si>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</si>
  <si>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</si>
  <si>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</si>
  <si>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</si>
  <si>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</si>
  <si>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</si>
  <si>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</si>
  <si>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</si>
  <si>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</si>
  <si>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</si>
  <si>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</si>
  <si>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</si>
  <si>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</si>
  <si>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</si>
  <si>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</si>
  <si>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</si>
  <si>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</si>
  <si>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</si>
  <si>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</si>
  <si>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</si>
  <si>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</si>
  <si>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</si>
  <si>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</si>
  <si>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</si>
  <si>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</si>
  <si>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</si>
  <si>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</si>
  <si>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</si>
  <si>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</si>
  <si>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</si>
  <si>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</si>
  <si>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</si>
  <si>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</si>
  <si>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</si>
  <si>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</si>
  <si>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</si>
  <si>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</si>
  <si>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</si>
  <si>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</si>
  <si>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</si>
  <si>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</si>
  <si>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</si>
  <si>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</si>
  <si>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</si>
  <si>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</si>
  <si>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</si>
  <si>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</si>
  <si>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</si>
  <si>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</si>
  <si>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</si>
  <si>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</si>
  <si>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</si>
  <si>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</si>
  <si>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</si>
  <si>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</si>
  <si>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</si>
  <si>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</si>
  <si>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</si>
  <si>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</si>
  <si>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</si>
  <si>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</si>
  <si>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</si>
  <si>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</si>
  <si>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</si>
  <si>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</si>
  <si>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</si>
  <si>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</si>
  <si>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</si>
  <si>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</si>
  <si>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</si>
  <si>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</si>
  <si>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</si>
  <si>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</si>
  <si>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</si>
  <si>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</si>
  <si>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</si>
  <si>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</si>
  <si>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</si>
  <si>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</si>
  <si>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</si>
  <si>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</si>
  <si>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</si>
  <si>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</si>
  <si>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</si>
  <si>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</si>
  <si>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</si>
  <si>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</si>
  <si>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</si>
  <si>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</si>
  <si>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</si>
  <si>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</si>
  <si>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</si>
  <si>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</si>
  <si>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</si>
  <si>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</si>
  <si>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</si>
  <si>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</si>
  <si>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</si>
  <si>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</si>
  <si>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</si>
  <si>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</si>
  <si>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</si>
  <si>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</si>
  <si>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</si>
  <si>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</si>
  <si>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</si>
  <si>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</si>
  <si>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</si>
  <si>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</si>
  <si>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</si>
  <si>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</si>
  <si>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</si>
  <si>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</si>
  <si>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</si>
  <si>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</si>
  <si>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</si>
  <si>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</si>
  <si>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</si>
  <si>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</si>
  <si>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</si>
  <si>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</si>
  <si>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</si>
  <si>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</si>
  <si>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</si>
  <si>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</si>
  <si>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</si>
  <si>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</si>
  <si>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</si>
  <si>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</si>
  <si>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</si>
  <si>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</si>
  <si>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</si>
  <si>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</si>
  <si>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</si>
  <si>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</si>
  <si>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</si>
  <si>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</si>
  <si>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</si>
  <si>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</si>
  <si>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</si>
  <si>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</si>
  <si>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</si>
  <si>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</si>
  <si>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</si>
  <si>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</si>
  <si>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</si>
  <si>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</si>
  <si>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</si>
  <si>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</si>
  <si>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</si>
  <si>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</si>
  <si>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</si>
  <si>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</si>
  <si>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</si>
  <si>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</si>
  <si>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</si>
  <si>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</si>
  <si>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</si>
  <si>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</si>
  <si>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</si>
  <si>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</si>
  <si>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</si>
  <si>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</si>
  <si>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</si>
  <si>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</si>
  <si>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</si>
  <si>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</si>
  <si>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</si>
  <si>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</si>
  <si>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</si>
  <si>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</si>
  <si>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</si>
  <si>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</si>
  <si>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</si>
  <si>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</si>
  <si>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</si>
  <si>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</si>
  <si>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</si>
  <si>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</si>
  <si>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</si>
  <si>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</si>
  <si>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</si>
  <si>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</si>
  <si>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</si>
  <si>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</si>
  <si>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</si>
  <si>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</si>
  <si>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</si>
  <si>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</si>
  <si>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</si>
  <si>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</si>
  <si>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</si>
  <si>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</si>
  <si>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</si>
  <si>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</si>
  <si>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</si>
  <si>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</si>
  <si>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</si>
  <si>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</si>
  <si>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</si>
  <si>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</si>
  <si>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</si>
  <si>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</si>
  <si>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</si>
  <si>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</si>
  <si>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</si>
  <si>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</si>
  <si>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</si>
  <si>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</si>
  <si>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</si>
  <si>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</si>
  <si>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</si>
  <si>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</si>
  <si>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</si>
  <si>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</si>
  <si>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</si>
  <si>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</si>
  <si>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</si>
  <si>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</si>
  <si>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</si>
  <si>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</si>
  <si>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</si>
  <si>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</si>
  <si>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</si>
  <si>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</si>
  <si>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</si>
  <si>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</si>
  <si>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</si>
  <si>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</si>
  <si>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</si>
  <si>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</si>
  <si>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</si>
  <si>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</si>
  <si>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</si>
  <si>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</si>
  <si>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</si>
  <si>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</si>
  <si>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</si>
  <si>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</si>
  <si>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</si>
  <si>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</si>
  <si>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</si>
  <si>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</si>
  <si>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</si>
  <si>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</si>
  <si>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</si>
  <si>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</si>
  <si>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</si>
  <si>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</si>
  <si>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</si>
  <si>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</si>
  <si>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</si>
  <si>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</si>
  <si>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</si>
  <si>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</si>
  <si>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</si>
  <si>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</si>
  <si>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</si>
  <si>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</si>
  <si>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</si>
  <si>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</si>
  <si>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</si>
  <si>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</si>
  <si>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</si>
  <si>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</si>
  <si>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</si>
  <si>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</si>
  <si>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</si>
  <si>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</si>
  <si>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</si>
  <si>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</si>
  <si>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</si>
  <si>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</si>
  <si>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</si>
  <si>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</si>
  <si>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</si>
  <si>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</si>
  <si>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</si>
  <si>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</si>
  <si>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</si>
  <si>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</si>
  <si>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</si>
  <si>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</si>
  <si>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</si>
  <si>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</si>
  <si>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</si>
  <si>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</si>
  <si>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</si>
  <si>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</si>
  <si>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</si>
  <si>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</si>
  <si>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</si>
  <si>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</si>
  <si>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</si>
  <si>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</si>
  <si>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</si>
  <si>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</si>
  <si>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</si>
  <si>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</si>
  <si>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</si>
  <si>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</si>
  <si>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</si>
  <si>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</si>
  <si>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</si>
  <si>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</si>
  <si>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</si>
  <si>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</si>
  <si>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</si>
  <si>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</si>
  <si>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</si>
  <si>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</si>
  <si>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</si>
  <si>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</si>
  <si>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</si>
  <si>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</si>
  <si>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</si>
  <si>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</si>
  <si>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</si>
  <si>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</si>
  <si>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</si>
  <si>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</si>
  <si>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</si>
  <si>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</si>
  <si>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</si>
  <si>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</si>
  <si>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</si>
  <si>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</si>
  <si>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</si>
  <si>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</si>
  <si>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</si>
  <si>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</si>
  <si>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</si>
  <si>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</si>
  <si>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</si>
  <si>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</si>
  <si>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</si>
  <si>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</si>
  <si>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</si>
  <si>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</si>
  <si>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</si>
  <si>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</si>
  <si>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</si>
  <si>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</si>
  <si>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</si>
  <si>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</si>
  <si>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</si>
  <si>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</si>
  <si>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</si>
  <si>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</si>
  <si>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</si>
  <si>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</si>
  <si>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</si>
  <si>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</si>
  <si>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</si>
  <si>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</si>
  <si>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</si>
  <si>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</si>
  <si>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</si>
  <si>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</si>
  <si>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</si>
  <si>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</si>
  <si>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</si>
  <si>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</si>
  <si>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</si>
  <si>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</si>
  <si>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</si>
  <si>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</si>
  <si>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</si>
  <si>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</si>
  <si>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</si>
  <si>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</si>
  <si>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</si>
  <si>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</si>
  <si>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</si>
  <si>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</si>
  <si>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</si>
  <si>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</si>
  <si>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</si>
  <si>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</si>
  <si>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</si>
  <si>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</si>
  <si>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</si>
  <si>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</si>
  <si>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</si>
  <si>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</si>
  <si>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</si>
  <si>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</si>
  <si>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</si>
  <si>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</si>
  <si>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</si>
  <si>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</si>
  <si>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</si>
  <si>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</si>
  <si>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</si>
  <si>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</si>
  <si>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</si>
  <si>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</si>
  <si>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</si>
  <si>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</si>
  <si>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</si>
  <si>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</si>
  <si>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</si>
  <si>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</si>
  <si>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</si>
  <si>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</si>
  <si>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</si>
  <si>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</si>
  <si>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</si>
  <si>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</si>
  <si>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</si>
  <si>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</si>
  <si>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</si>
  <si>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</si>
  <si>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</si>
  <si>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</si>
  <si>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</si>
  <si>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</si>
  <si>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</si>
  <si>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</si>
  <si>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</si>
  <si>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</si>
  <si>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</si>
  <si>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</si>
  <si>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</si>
  <si>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</si>
  <si>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</si>
  <si>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</si>
  <si>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</si>
  <si>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</si>
  <si>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</si>
  <si>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</si>
  <si>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</si>
  <si>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</si>
  <si>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</si>
  <si>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</si>
  <si>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</si>
  <si>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</si>
  <si>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</si>
  <si>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</si>
  <si>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</si>
  <si>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</si>
  <si>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</si>
  <si>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</si>
  <si>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</si>
  <si>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</si>
  <si>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</si>
  <si>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</si>
  <si>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</si>
  <si>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</si>
  <si>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</si>
  <si>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</si>
  <si>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</si>
  <si>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</si>
  <si>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</si>
  <si>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</si>
  <si>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</si>
  <si>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</si>
  <si>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</si>
  <si>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</si>
  <si>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</si>
  <si>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</si>
  <si>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</si>
  <si>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</si>
  <si>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</si>
  <si>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</si>
  <si>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</si>
  <si>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</si>
  <si>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</si>
  <si>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</si>
  <si>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</si>
  <si>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</si>
  <si>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</si>
  <si>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</si>
  <si>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</si>
  <si>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</si>
  <si>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</si>
  <si>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</si>
  <si>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</si>
  <si>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</si>
  <si>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</si>
  <si>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</si>
  <si>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</si>
  <si>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</si>
  <si>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</si>
  <si>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</si>
  <si>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</si>
  <si>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</si>
  <si>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</si>
  <si>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</si>
  <si>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</si>
  <si>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</si>
  <si>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</si>
  <si>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</si>
  <si>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</si>
  <si>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</si>
  <si>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</si>
  <si>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</si>
  <si>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</si>
  <si>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</si>
  <si>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</si>
  <si>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</si>
  <si>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</si>
  <si>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</si>
  <si>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</si>
  <si>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</si>
  <si>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</si>
  <si>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</si>
  <si>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</si>
  <si>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</si>
  <si>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</si>
  <si>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</si>
  <si>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</si>
  <si>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</si>
  <si>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</si>
  <si>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</si>
  <si>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</si>
  <si>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</si>
  <si>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</si>
  <si>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</si>
  <si>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</si>
  <si>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</si>
  <si>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</si>
  <si>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</si>
  <si>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</si>
  <si>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</si>
  <si>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</si>
  <si>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</si>
  <si>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</si>
  <si>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</si>
  <si>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</si>
  <si>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</si>
  <si>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</si>
  <si>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</si>
  <si>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</si>
  <si>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</si>
  <si>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</si>
  <si>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</si>
  <si>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</si>
  <si>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</si>
  <si>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</si>
  <si>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</si>
  <si>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</si>
  <si>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</si>
  <si>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</si>
  <si>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</si>
  <si>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</si>
  <si>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</si>
  <si>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</si>
  <si>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</si>
  <si>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</si>
  <si>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</si>
  <si>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</si>
  <si>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</si>
  <si>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</si>
  <si>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</si>
  <si>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</si>
  <si>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</si>
  <si>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</si>
  <si>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</si>
  <si>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</si>
  <si>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</si>
  <si>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</si>
  <si>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</si>
  <si>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</si>
  <si>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</si>
  <si>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</si>
  <si>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</si>
  <si>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</si>
  <si>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</si>
  <si>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</si>
  <si>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</si>
  <si>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</si>
  <si>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</si>
  <si>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</si>
  <si>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</si>
  <si>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</si>
  <si>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</si>
  <si>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</si>
  <si>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</si>
  <si>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</si>
  <si>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</si>
  <si>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</si>
  <si>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</si>
  <si>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</si>
  <si>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</si>
  <si>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</si>
  <si>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</si>
  <si>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</si>
  <si>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</si>
  <si>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</si>
  <si>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</si>
  <si>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</si>
  <si>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</si>
  <si>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</si>
  <si>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</si>
  <si>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</si>
  <si>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</si>
  <si>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</si>
  <si>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</si>
  <si>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</si>
  <si>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</si>
  <si>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</si>
  <si>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</si>
  <si>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</si>
  <si>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</si>
  <si>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</si>
  <si>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</si>
  <si>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</si>
  <si>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</si>
  <si>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</si>
  <si>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</si>
  <si>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</si>
  <si>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</si>
  <si>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</si>
  <si>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</si>
  <si>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</si>
  <si>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</si>
  <si>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</si>
  <si>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</si>
  <si>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</si>
  <si>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</si>
  <si>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</si>
  <si>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</si>
  <si>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</si>
  <si>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</si>
  <si>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</si>
  <si>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</si>
  <si>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</si>
  <si>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</si>
  <si>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</si>
  <si>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</si>
  <si>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</si>
  <si>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</si>
  <si>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</si>
  <si>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</si>
  <si>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</si>
  <si>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</si>
  <si>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</si>
  <si>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</si>
  <si>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</si>
  <si>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</si>
  <si>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</si>
  <si>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</si>
  <si>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</si>
  <si>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</si>
  <si>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</si>
  <si>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</si>
  <si>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</si>
  <si>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</si>
  <si>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</si>
  <si>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</si>
  <si>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</si>
  <si>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</si>
  <si>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</si>
  <si>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</si>
  <si>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</si>
  <si>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</si>
  <si>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</si>
  <si>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</si>
  <si>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</si>
  <si>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</si>
  <si>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</si>
  <si>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</si>
  <si>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</si>
  <si>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</si>
  <si>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</si>
  <si>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</si>
  <si>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</si>
  <si>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</si>
  <si>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</si>
  <si>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</si>
  <si>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</si>
  <si>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</si>
  <si>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</si>
  <si>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</si>
  <si>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</si>
  <si>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</si>
  <si>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</si>
  <si>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</si>
  <si>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</si>
  <si>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</si>
  <si>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</si>
  <si>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</si>
  <si>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</si>
  <si>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</si>
  <si>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</si>
  <si>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</si>
  <si>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</si>
  <si>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</si>
  <si>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</si>
  <si>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</si>
  <si>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</si>
  <si>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</si>
  <si>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</si>
  <si>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</si>
  <si>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</si>
  <si>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</si>
  <si>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</si>
  <si>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</si>
  <si>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</si>
  <si>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</si>
  <si>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</si>
  <si>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</si>
  <si>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</si>
  <si>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</si>
  <si>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</si>
  <si>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</si>
  <si>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</si>
  <si>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</si>
  <si>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</si>
  <si>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</si>
  <si>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</si>
  <si>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</si>
  <si>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</si>
  <si>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</si>
  <si>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</si>
  <si>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</si>
  <si>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</si>
  <si>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</si>
  <si>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</si>
  <si>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</si>
  <si>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</si>
  <si>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</si>
  <si>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</si>
  <si>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</si>
  <si>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</si>
  <si>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</si>
  <si>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</si>
  <si>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</si>
  <si>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</si>
  <si>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</si>
  <si>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</si>
  <si>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</si>
  <si>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</si>
  <si>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</si>
  <si>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</si>
  <si>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</si>
  <si>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</si>
  <si>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</si>
  <si>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</si>
  <si>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</si>
  <si>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</si>
  <si>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</si>
  <si>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</si>
  <si>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</si>
  <si>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</si>
  <si>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</si>
  <si>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</si>
  <si>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</si>
  <si>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</si>
  <si>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</si>
  <si>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</si>
  <si>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</si>
  <si>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</si>
  <si>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</si>
  <si>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</si>
  <si>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</si>
  <si>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</si>
  <si>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</si>
  <si>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</si>
  <si>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</si>
  <si>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</si>
  <si>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</si>
  <si>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</si>
  <si>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</si>
  <si>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</si>
  <si>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</si>
  <si>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</si>
  <si>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</si>
  <si>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</si>
  <si>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</si>
  <si>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</si>
  <si>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</si>
  <si>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</si>
  <si>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</si>
  <si>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</si>
  <si>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</si>
  <si>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</si>
  <si>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</si>
  <si>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</si>
  <si>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</si>
  <si>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</si>
  <si>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</si>
  <si>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</si>
  <si>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</si>
  <si>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</si>
  <si>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</si>
  <si>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</si>
  <si>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</si>
  <si>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</si>
  <si>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</si>
  <si>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</si>
  <si>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</si>
  <si>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</si>
  <si>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</si>
  <si>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</si>
  <si>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</si>
  <si>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</si>
  <si>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</si>
  <si>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</si>
  <si>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</si>
  <si>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</si>
  <si>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</si>
  <si>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</si>
  <si>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</si>
  <si>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</si>
  <si>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</si>
  <si>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</si>
  <si>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</si>
  <si>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</si>
  <si>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</si>
  <si>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</si>
  <si>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</si>
  <si>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</si>
  <si>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</si>
  <si>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</si>
  <si>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</si>
  <si>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</si>
  <si>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</si>
  <si>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</si>
  <si>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</si>
  <si>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</si>
  <si>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</si>
  <si>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</si>
  <si>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</si>
  <si>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</si>
  <si>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</si>
  <si>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</si>
  <si>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</si>
  <si>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</si>
  <si>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</si>
  <si>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</si>
  <si>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</si>
  <si>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</si>
  <si>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</si>
  <si>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</si>
  <si>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</si>
  <si>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</si>
  <si>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</si>
  <si>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</si>
  <si>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</si>
  <si>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</si>
  <si>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</si>
  <si>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</si>
  <si>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</si>
  <si>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</si>
  <si>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</si>
  <si>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</si>
  <si>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</si>
  <si>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</si>
  <si>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</si>
  <si>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</si>
  <si>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</si>
  <si>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</si>
  <si>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</si>
  <si>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</si>
  <si>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</si>
  <si>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</si>
  <si>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</si>
  <si>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</si>
  <si>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</si>
  <si>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</si>
  <si>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</si>
  <si>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</si>
  <si>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</si>
  <si>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</si>
  <si>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</si>
  <si>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</si>
  <si>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</si>
  <si>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</si>
  <si>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</si>
  <si>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</si>
  <si>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</si>
  <si>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</si>
  <si>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</si>
  <si>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</si>
  <si>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</si>
  <si>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</si>
  <si>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</si>
  <si>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</si>
  <si>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</si>
  <si>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</si>
  <si>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</si>
  <si>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</si>
  <si>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</si>
  <si>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</si>
  <si>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</si>
  <si>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</si>
  <si>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</si>
  <si>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</si>
  <si>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</si>
  <si>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</si>
  <si>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</si>
  <si>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</si>
  <si>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</si>
  <si>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</si>
  <si>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</si>
  <si>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</si>
  <si>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</si>
  <si>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</si>
  <si>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</si>
  <si>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</si>
  <si>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</si>
  <si>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</si>
  <si>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</si>
  <si>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</si>
  <si>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</si>
  <si>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</si>
  <si>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</si>
  <si>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</si>
  <si>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</si>
  <si>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</si>
  <si>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</si>
  <si>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</si>
  <si>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</si>
  <si>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</si>
  <si>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</si>
  <si>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</si>
  <si>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</si>
  <si>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</si>
  <si>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</si>
  <si>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</si>
  <si>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</si>
  <si>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</si>
  <si>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</si>
  <si>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</si>
  <si>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</si>
  <si>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</si>
  <si>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</si>
  <si>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</si>
  <si>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</si>
  <si>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</si>
  <si>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</si>
  <si>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</si>
  <si>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</si>
  <si>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</si>
  <si>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</si>
  <si>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</si>
  <si>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</si>
  <si>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</si>
  <si>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</si>
  <si>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</si>
  <si>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</si>
  <si>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</si>
  <si>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</si>
  <si>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</si>
  <si>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</si>
  <si>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</si>
  <si>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</si>
  <si>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</si>
  <si>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</si>
  <si>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</si>
  <si>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</si>
  <si>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</si>
  <si>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</si>
  <si>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</si>
  <si>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</si>
  <si>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</si>
  <si>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</si>
  <si>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</si>
  <si>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</si>
  <si>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</si>
  <si>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</si>
  <si>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</si>
  <si>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</si>
  <si>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</si>
  <si>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</si>
  <si>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</si>
  <si>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</si>
  <si>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</si>
  <si>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</si>
  <si>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</si>
  <si>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</si>
  <si>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</si>
  <si>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</si>
  <si>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</si>
  <si>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</si>
  <si>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</si>
  <si>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</si>
  <si>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</si>
  <si>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</si>
  <si>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</si>
  <si>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</si>
  <si>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</si>
  <si>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</si>
  <si>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</si>
  <si>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</si>
  <si>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</si>
  <si>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</si>
  <si>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</si>
  <si>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</si>
  <si>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</si>
  <si>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</si>
  <si>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</si>
  <si>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</si>
  <si>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</si>
  <si>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</si>
  <si>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</si>
  <si>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</si>
  <si>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</si>
  <si>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</si>
  <si>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</si>
  <si>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</si>
  <si>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</si>
  <si>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</si>
  <si>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</si>
  <si>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</si>
  <si>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</si>
  <si>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</si>
  <si>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</si>
  <si>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</si>
  <si>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</si>
  <si>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</si>
  <si>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</si>
  <si>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</si>
  <si>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</si>
  <si>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</si>
  <si>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</si>
  <si>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</si>
  <si>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</si>
  <si>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</si>
  <si>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</si>
  <si>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</si>
  <si>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</si>
  <si>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</si>
  <si>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</si>
  <si>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</si>
  <si>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</si>
  <si>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</si>
  <si>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</si>
  <si>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</si>
  <si>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</si>
  <si>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</si>
  <si>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</si>
  <si>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</si>
  <si>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</si>
  <si>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</si>
  <si>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</si>
  <si>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</si>
  <si>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</si>
  <si>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</si>
  <si>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</si>
  <si>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</si>
  <si>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</si>
  <si>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</si>
  <si>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</si>
  <si>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</si>
  <si>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</si>
  <si>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</si>
  <si>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</si>
  <si>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</si>
  <si>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</si>
  <si>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</si>
  <si>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</si>
  <si>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</si>
  <si>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</si>
  <si>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</si>
  <si>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</si>
  <si>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</si>
  <si>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</si>
  <si>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</si>
  <si>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</si>
  <si>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</si>
  <si>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</si>
  <si>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</si>
  <si>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</si>
  <si>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</si>
  <si>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</si>
  <si>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</si>
  <si>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</si>
  <si>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</si>
  <si>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</si>
  <si>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</si>
  <si>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</si>
  <si>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</si>
  <si>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</si>
  <si>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</si>
  <si>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</si>
  <si>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</si>
  <si>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</si>
  <si>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</si>
  <si>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</si>
  <si>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</si>
  <si>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</si>
  <si>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</si>
  <si>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</si>
  <si>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</si>
  <si>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</si>
  <si>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</si>
  <si>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</si>
  <si>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</si>
  <si>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</si>
  <si>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</si>
  <si>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</si>
  <si>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</si>
  <si>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</si>
  <si>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</si>
  <si>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</si>
  <si>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</si>
  <si>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</si>
  <si>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</si>
  <si>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</si>
  <si>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</si>
  <si>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</si>
  <si>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</si>
  <si>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</si>
  <si>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</si>
  <si>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</si>
  <si>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</si>
  <si>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</si>
  <si>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</si>
  <si>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</si>
  <si>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</si>
  <si>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</si>
  <si>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</si>
  <si>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</si>
  <si>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</si>
  <si>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</si>
  <si>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</si>
  <si>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</si>
  <si>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</si>
  <si>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</si>
  <si>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</si>
  <si>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</si>
  <si>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</si>
  <si>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</si>
  <si>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</si>
  <si>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</si>
  <si>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</si>
  <si>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</si>
  <si>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</si>
  <si>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</si>
  <si>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</si>
  <si>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</si>
  <si>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</si>
  <si>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</si>
  <si>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</si>
  <si>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</si>
  <si>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</si>
  <si>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</si>
  <si>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</si>
  <si>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</si>
  <si>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</si>
  <si>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</si>
  <si>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</si>
  <si>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</si>
  <si>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</si>
  <si>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</si>
  <si>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</si>
  <si>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</si>
  <si>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</si>
  <si>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</si>
  <si>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</si>
  <si>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</si>
  <si>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</si>
  <si>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</si>
  <si>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</si>
  <si>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</si>
  <si>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</si>
  <si>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</si>
  <si>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</si>
  <si>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</si>
  <si>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</si>
  <si>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</si>
  <si>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</si>
  <si>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</si>
  <si>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</si>
  <si>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</si>
  <si>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</si>
  <si>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</si>
  <si>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</si>
  <si>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</si>
  <si>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</si>
  <si>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</si>
  <si>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</si>
  <si>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</si>
  <si>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</si>
  <si>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</si>
  <si>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</si>
  <si>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</si>
  <si>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</si>
  <si>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</si>
  <si>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</si>
  <si>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</si>
  <si>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</si>
  <si>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</si>
  <si>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</si>
  <si>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</si>
  <si>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</si>
  <si>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</si>
  <si>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</si>
  <si>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</si>
  <si>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</si>
  <si>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</si>
  <si>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</si>
  <si>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</si>
  <si>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</si>
  <si>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</si>
  <si>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</si>
  <si>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</si>
  <si>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</si>
  <si>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</si>
  <si>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</si>
  <si>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</si>
  <si>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</si>
  <si>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</si>
  <si>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</si>
  <si>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</si>
  <si>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</si>
  <si>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</si>
  <si>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</si>
  <si>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</si>
  <si>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</si>
  <si>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</si>
  <si>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</si>
  <si>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</si>
  <si>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</si>
  <si>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</si>
  <si>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</si>
  <si>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</si>
  <si>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</si>
  <si>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</si>
  <si>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</si>
  <si>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</si>
  <si>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</si>
  <si>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</si>
  <si>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</si>
  <si>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</si>
  <si>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</si>
  <si>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</si>
  <si>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</si>
  <si>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</si>
  <si>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</si>
  <si>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</si>
  <si>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</si>
  <si>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</si>
  <si>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</si>
  <si>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</si>
  <si>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</si>
  <si>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</si>
  <si>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</si>
  <si>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</si>
  <si>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</si>
  <si>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</si>
  <si>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</si>
  <si>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</si>
  <si>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</si>
  <si>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</si>
  <si>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</si>
  <si>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</si>
  <si>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</si>
  <si>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</si>
  <si>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</si>
  <si>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</si>
  <si>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</si>
  <si>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</si>
  <si>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</si>
  <si>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</si>
  <si>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</si>
  <si>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</si>
  <si>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</si>
  <si>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</si>
  <si>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</si>
  <si>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</si>
  <si>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</si>
  <si>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</si>
  <si>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</si>
  <si>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</si>
  <si>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</si>
  <si>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</si>
  <si>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</si>
  <si>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</si>
  <si>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</si>
  <si>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</si>
  <si>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</si>
  <si>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</si>
  <si>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</si>
  <si>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</si>
  <si>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</si>
  <si>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</si>
  <si>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</si>
  <si>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</si>
  <si>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</si>
  <si>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</si>
  <si>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</si>
  <si>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</si>
  <si>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</si>
  <si>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</si>
  <si>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</si>
  <si>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</si>
  <si>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</si>
  <si>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</si>
  <si>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</si>
  <si>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</si>
  <si>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</si>
  <si>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</si>
  <si>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</si>
  <si>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</si>
  <si>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</si>
  <si>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</si>
  <si>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</si>
  <si>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</si>
  <si>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</si>
  <si>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</si>
  <si>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</si>
  <si>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</si>
  <si>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</si>
  <si>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</si>
  <si>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</si>
  <si>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</si>
  <si>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</si>
  <si>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</si>
  <si>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</si>
  <si>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</si>
  <si>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</si>
  <si>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</si>
  <si>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</si>
  <si>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</si>
  <si>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</si>
  <si>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</si>
  <si>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</si>
  <si>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</si>
  <si>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</si>
  <si>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</si>
  <si>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</si>
  <si>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</si>
  <si>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</si>
  <si>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</si>
  <si>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</si>
  <si>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</si>
  <si>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</si>
  <si>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</si>
  <si>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</si>
  <si>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</si>
  <si>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</si>
  <si>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</si>
  <si>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</si>
  <si>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</si>
  <si>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</si>
  <si>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</si>
  <si>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</si>
  <si>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</si>
  <si>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</si>
  <si>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</si>
  <si>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</si>
  <si>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</si>
  <si>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</si>
  <si>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</si>
  <si>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</si>
  <si>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</si>
  <si>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</si>
  <si>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</si>
  <si>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</si>
  <si>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</si>
  <si>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</si>
  <si>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</si>
  <si>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</si>
  <si>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</si>
  <si>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</si>
  <si>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</si>
  <si>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</si>
  <si>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</si>
  <si>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</si>
  <si>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</si>
  <si>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</si>
  <si>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</si>
  <si>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</si>
  <si>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</si>
  <si>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</si>
  <si>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</si>
  <si>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</si>
  <si>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</si>
  <si>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</si>
  <si>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</si>
  <si>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</si>
  <si>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</si>
  <si>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</si>
  <si>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</si>
  <si>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</si>
  <si>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</si>
  <si>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</si>
  <si>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</si>
  <si>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</si>
  <si>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</si>
  <si>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</si>
  <si>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</si>
  <si>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</si>
  <si>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</si>
  <si>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</si>
  <si>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</si>
  <si>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</si>
  <si>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</si>
  <si>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</si>
  <si>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</si>
  <si>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</si>
  <si>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</si>
  <si>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</si>
  <si>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</si>
  <si>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</si>
  <si>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</si>
  <si>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</si>
  <si>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</si>
  <si>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</si>
  <si>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</si>
  <si>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</si>
  <si>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</si>
  <si>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</si>
  <si>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</si>
  <si>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</si>
  <si>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</si>
  <si>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</si>
  <si>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</si>
  <si>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</si>
  <si>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</si>
  <si>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</si>
  <si>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</si>
  <si>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</si>
  <si>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</si>
  <si>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</si>
  <si>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</si>
  <si>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</si>
  <si>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</si>
  <si>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</si>
  <si>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</si>
  <si>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</si>
  <si>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</si>
  <si>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</si>
  <si>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</si>
  <si>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</si>
  <si>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</si>
  <si>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</si>
  <si>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</si>
  <si>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</si>
  <si>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</si>
  <si>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</si>
  <si>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</si>
  <si>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</si>
  <si>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</si>
  <si>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</si>
  <si>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</si>
  <si>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</si>
  <si>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</si>
  <si>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</si>
  <si>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</si>
  <si>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</si>
  <si>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</si>
  <si>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</si>
  <si>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</si>
  <si>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</si>
  <si>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</si>
  <si>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</si>
  <si>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</si>
  <si>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</si>
  <si>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</si>
  <si>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</si>
  <si>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</si>
  <si>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</si>
  <si>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</si>
  <si>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</si>
  <si>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</si>
  <si>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</si>
  <si>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</si>
  <si>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</si>
  <si>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</si>
  <si>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</si>
  <si>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</si>
  <si>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</si>
  <si>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</si>
  <si>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</si>
  <si>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</si>
  <si>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</si>
  <si>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</si>
  <si>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</si>
  <si>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</si>
  <si>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</si>
  <si>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</si>
  <si>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</si>
  <si>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</si>
  <si>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</si>
  <si>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</si>
  <si>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</si>
  <si>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</si>
  <si>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</si>
  <si>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</si>
  <si>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</si>
  <si>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</si>
  <si>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</si>
  <si>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</si>
  <si>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</si>
  <si>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</si>
  <si>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</si>
  <si>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</si>
  <si>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</si>
  <si>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</si>
  <si>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</si>
  <si>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</si>
  <si>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</si>
  <si>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</si>
  <si>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</si>
  <si>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</si>
  <si>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</si>
  <si>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</si>
  <si>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</si>
  <si>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</si>
  <si>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</si>
  <si>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</si>
  <si>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</si>
  <si>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</si>
  <si>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</si>
  <si>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</si>
  <si>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</si>
  <si>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</si>
  <si>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</si>
  <si>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</si>
  <si>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</si>
  <si>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</si>
  <si>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</si>
  <si>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</si>
  <si>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</si>
  <si>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</si>
  <si>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</si>
  <si>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</si>
  <si>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</si>
  <si>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</si>
  <si>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</si>
  <si>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</si>
  <si>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</si>
  <si>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</si>
  <si>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</si>
  <si>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</si>
  <si>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</si>
  <si>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</si>
  <si>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</si>
  <si>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</si>
  <si>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</si>
  <si>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</si>
  <si>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</si>
  <si>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</si>
  <si>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</si>
  <si>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</si>
  <si>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</si>
  <si>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</si>
  <si>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</si>
  <si>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</si>
  <si>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</si>
  <si>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</si>
  <si>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</si>
  <si>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</si>
  <si>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</si>
  <si>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</si>
  <si>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</si>
  <si>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</si>
  <si>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</si>
  <si>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</si>
  <si>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</si>
  <si>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</si>
  <si>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</si>
  <si>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</si>
  <si>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</si>
  <si>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</si>
  <si>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</si>
  <si>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</si>
  <si>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</si>
  <si>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</si>
  <si>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</si>
  <si>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</si>
  <si>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</si>
  <si>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</si>
  <si>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</si>
  <si>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</si>
  <si>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</si>
  <si>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</si>
  <si>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</si>
  <si>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</si>
  <si>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</si>
  <si>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</si>
  <si>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</si>
  <si>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</si>
  <si>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</si>
  <si>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</si>
  <si>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</si>
  <si>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</si>
  <si>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</si>
  <si>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</si>
  <si>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</si>
  <si>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</si>
  <si>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</si>
  <si>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</si>
  <si>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</si>
  <si>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</si>
  <si>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</si>
  <si>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</si>
  <si>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</si>
  <si>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</si>
  <si>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</si>
  <si>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</si>
  <si>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</si>
  <si>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</si>
  <si>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</si>
  <si>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</si>
  <si>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</si>
  <si>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</si>
  <si>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</si>
  <si>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</si>
  <si>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</si>
  <si>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</si>
  <si>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</si>
  <si>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</si>
  <si>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</si>
  <si>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</si>
  <si>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</si>
  <si>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</si>
  <si>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</si>
  <si>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</si>
  <si>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</si>
  <si>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</si>
  <si>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</si>
  <si>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</si>
  <si>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</si>
  <si>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</si>
  <si>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</si>
  <si>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</si>
  <si>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</si>
  <si>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</si>
  <si>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</si>
  <si>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</si>
  <si>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</si>
  <si>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</si>
  <si>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</si>
  <si>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</si>
  <si>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</si>
  <si>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</si>
  <si>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</si>
  <si>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</si>
  <si>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</si>
  <si>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</si>
  <si>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</si>
  <si>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</si>
  <si>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</si>
  <si>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</si>
  <si>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</si>
  <si>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</si>
  <si>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</si>
  <si>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</si>
  <si>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</si>
  <si>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</si>
  <si>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</si>
  <si>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</si>
  <si>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</si>
  <si>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</si>
  <si>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</si>
  <si>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</si>
  <si>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</si>
  <si>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</si>
  <si>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</si>
  <si>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</si>
  <si>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</si>
  <si>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</si>
  <si>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</si>
  <si>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</si>
  <si>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</si>
  <si>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</si>
  <si>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</si>
  <si>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</si>
  <si>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</si>
  <si>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</si>
  <si>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</si>
  <si>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</si>
  <si>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</si>
  <si>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</si>
  <si>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</si>
  <si>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</si>
  <si>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</si>
  <si>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</si>
  <si>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</si>
  <si>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</si>
  <si>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</si>
  <si>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</si>
  <si>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</si>
  <si>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</si>
  <si>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</si>
  <si>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</si>
  <si>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</si>
  <si>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</si>
  <si>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</si>
  <si>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</si>
  <si>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</si>
  <si>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</si>
  <si>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</si>
  <si>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</si>
  <si>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</si>
  <si>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</si>
  <si>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</si>
  <si>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</si>
  <si>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</si>
  <si>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</si>
  <si>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</si>
  <si>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</si>
  <si>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</si>
  <si>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</si>
  <si>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</si>
  <si>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</si>
  <si>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</si>
  <si>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</si>
  <si>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</si>
  <si>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</si>
  <si>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</si>
  <si>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</si>
  <si>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</si>
  <si>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</si>
  <si>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</si>
  <si>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</si>
  <si>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</si>
  <si>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</si>
  <si>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</si>
  <si>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</si>
  <si>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</si>
  <si>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</si>
  <si>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</si>
  <si>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</si>
  <si>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</si>
  <si>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</si>
  <si>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</si>
  <si>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</si>
  <si>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</si>
  <si>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</si>
  <si>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</si>
  <si>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</si>
  <si>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</si>
  <si>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</si>
  <si>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</si>
  <si>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</si>
  <si>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</si>
  <si>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</si>
  <si>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</si>
  <si>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</si>
  <si>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</si>
  <si>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</si>
  <si>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</si>
  <si>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</si>
  <si>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</si>
  <si>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</si>
  <si>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</si>
  <si>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</si>
  <si>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</si>
  <si>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</si>
  <si>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</si>
  <si>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</si>
  <si>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</si>
  <si>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</si>
  <si>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</si>
  <si>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</si>
  <si>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</si>
  <si>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</si>
  <si>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</si>
  <si>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</si>
  <si>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</si>
  <si>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</si>
  <si>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</si>
  <si>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</si>
  <si>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</si>
  <si>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</si>
  <si>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</si>
  <si>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</si>
  <si>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</si>
  <si>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</si>
  <si>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</si>
  <si>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</si>
  <si>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</si>
  <si>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</si>
  <si>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</si>
  <si>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</si>
  <si>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</si>
  <si>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</si>
  <si>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</si>
  <si>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</si>
  <si>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</si>
  <si>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</si>
  <si>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</si>
  <si>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</si>
  <si>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</si>
  <si>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</si>
  <si>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</si>
  <si>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</si>
  <si>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</si>
  <si>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</si>
  <si>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</si>
  <si>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</si>
  <si>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</si>
  <si>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</si>
  <si>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</si>
  <si>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</si>
  <si>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</si>
  <si>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</si>
  <si>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</si>
  <si>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</si>
  <si>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</si>
  <si>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</si>
  <si>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</si>
  <si>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</si>
  <si>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</si>
  <si>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</si>
  <si>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</si>
  <si>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</si>
  <si>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</si>
  <si>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</si>
  <si>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</si>
  <si>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</si>
  <si>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</si>
  <si>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</si>
  <si>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</si>
  <si>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</si>
  <si>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</si>
  <si>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</si>
  <si>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</si>
  <si>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</si>
  <si>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</si>
  <si>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</si>
  <si>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</si>
  <si>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</si>
  <si>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</si>
  <si>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</si>
  <si>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</si>
  <si>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</si>
  <si>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</si>
  <si>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</si>
  <si>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</si>
  <si>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</si>
  <si>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</si>
  <si>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</si>
  <si>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</si>
  <si>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</si>
  <si>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</si>
  <si>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</si>
  <si>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</si>
  <si>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</si>
  <si>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</si>
  <si>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</si>
  <si>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</si>
  <si>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</si>
  <si>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</si>
  <si>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</si>
  <si>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</si>
  <si>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</si>
  <si>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</si>
  <si>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</si>
  <si>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</si>
  <si>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</si>
  <si>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</si>
  <si>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</si>
  <si>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</si>
  <si>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</si>
  <si>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</si>
  <si>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</si>
  <si>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</si>
  <si>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</si>
  <si>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</si>
  <si>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</si>
  <si>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</si>
  <si>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</si>
  <si>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</si>
  <si>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</si>
  <si>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</si>
  <si>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</si>
  <si>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</si>
  <si>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</si>
  <si>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</si>
  <si>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</si>
  <si>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</si>
  <si>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</si>
  <si>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</si>
  <si>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</si>
  <si>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</si>
  <si>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</si>
  <si>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</si>
  <si>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</si>
  <si>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</si>
  <si>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</si>
  <si>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</si>
  <si>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</si>
  <si>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</si>
  <si>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</si>
  <si>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</si>
  <si>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</si>
  <si>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</si>
  <si>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</si>
  <si>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</si>
  <si>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</si>
  <si>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</si>
  <si>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</si>
  <si>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</si>
  <si>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</si>
  <si>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</si>
  <si>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</si>
  <si>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</si>
  <si>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</si>
  <si>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</si>
  <si>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</si>
  <si>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</si>
  <si>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</si>
  <si>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</si>
  <si>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</si>
  <si>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</si>
  <si>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</si>
  <si>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</si>
  <si>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</si>
  <si>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</si>
  <si>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</si>
  <si>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</si>
  <si>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</si>
  <si>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</si>
  <si>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</si>
  <si>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</si>
  <si>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</si>
  <si>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</si>
  <si>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</si>
  <si>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</si>
  <si>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</si>
  <si>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</si>
  <si>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</si>
  <si>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</si>
  <si>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</si>
  <si>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</si>
  <si>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</si>
  <si>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</si>
  <si>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</si>
  <si>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</si>
  <si>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</si>
  <si>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</si>
  <si>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</si>
  <si>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</si>
  <si>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</si>
  <si>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</si>
  <si>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</si>
  <si>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</si>
  <si>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</si>
  <si>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</si>
  <si>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</si>
  <si>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</si>
  <si>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</si>
  <si>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</si>
  <si>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</si>
  <si>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</si>
  <si>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</si>
  <si>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</si>
  <si>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</si>
  <si>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</si>
  <si>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</si>
  <si>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</si>
  <si>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</si>
  <si>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</si>
  <si>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</si>
  <si>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</si>
  <si>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</si>
  <si>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</si>
  <si>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</si>
  <si>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</si>
  <si>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</si>
  <si>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</si>
  <si>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</si>
  <si>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</si>
  <si>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</si>
  <si>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</si>
  <si>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</si>
  <si>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</si>
  <si>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</si>
  <si>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</si>
  <si>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</si>
  <si>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</si>
  <si>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</si>
  <si>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</si>
  <si>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</si>
  <si>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</si>
  <si>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</si>
  <si>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</si>
  <si>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</si>
  <si>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</si>
  <si>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</si>
  <si>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</si>
  <si>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</si>
  <si>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</si>
  <si>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</si>
  <si>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</si>
  <si>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</si>
  <si>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</si>
  <si>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</si>
  <si>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</si>
  <si>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</si>
  <si>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</si>
  <si>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</si>
  <si>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</si>
  <si>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</si>
  <si>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</si>
  <si>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</si>
  <si>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</si>
  <si>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</si>
  <si>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</si>
  <si>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</si>
  <si>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</si>
  <si>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</si>
  <si>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</si>
  <si>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</si>
  <si>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</si>
  <si>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</si>
  <si>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</si>
  <si>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</si>
  <si>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</si>
  <si>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</si>
  <si>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</si>
  <si>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</si>
  <si>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</si>
  <si>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</si>
  <si>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</si>
  <si>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</si>
  <si>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</si>
  <si>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</si>
  <si>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</si>
  <si>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</si>
  <si>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</si>
  <si>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</si>
  <si>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</si>
  <si>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</si>
  <si>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</si>
  <si>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</si>
  <si>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</si>
  <si>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</si>
  <si>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</si>
  <si>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</si>
  <si>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</si>
  <si>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</si>
  <si>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</si>
  <si>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</si>
  <si>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</si>
  <si>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</si>
  <si>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</si>
  <si>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</si>
  <si>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</si>
  <si>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</si>
  <si>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</si>
  <si>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</si>
  <si>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</si>
  <si>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</si>
  <si>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</si>
  <si>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</si>
  <si>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</si>
  <si>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</si>
  <si>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</si>
  <si>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</si>
  <si>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</si>
  <si>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</si>
  <si>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</si>
  <si>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</si>
  <si>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</si>
  <si>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</si>
  <si>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</si>
  <si>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</si>
  <si>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</si>
  <si>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</si>
  <si>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</si>
  <si>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</si>
  <si>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</si>
  <si>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</si>
  <si>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</si>
  <si>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</si>
  <si>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</si>
  <si>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</si>
  <si>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</si>
  <si>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</si>
  <si>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</si>
  <si>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</si>
  <si>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</si>
  <si>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</si>
  <si>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</si>
  <si>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</si>
  <si>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</si>
  <si>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</si>
  <si>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</si>
  <si>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</si>
  <si>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</si>
  <si>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</si>
  <si>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</si>
  <si>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</si>
  <si>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</si>
  <si>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</si>
  <si>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</si>
  <si>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</si>
  <si>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</si>
  <si>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</si>
  <si>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</si>
  <si>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</si>
  <si>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</si>
  <si>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</si>
  <si>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</si>
  <si>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</si>
  <si>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</si>
  <si>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</si>
  <si>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</si>
  <si>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</si>
  <si>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</si>
  <si>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</si>
  <si>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</si>
  <si>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</si>
  <si>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</si>
  <si>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</si>
  <si>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</si>
  <si>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</si>
  <si>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</si>
  <si>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</si>
  <si>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</si>
  <si>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</si>
  <si>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</si>
  <si>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</si>
  <si>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</si>
  <si>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</si>
  <si>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</si>
  <si>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</si>
  <si>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</si>
  <si>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</si>
  <si>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</si>
  <si>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</si>
  <si>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</si>
  <si>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</si>
  <si>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</si>
  <si>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</si>
  <si>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</si>
  <si>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</si>
  <si>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</si>
  <si>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</si>
  <si>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</si>
  <si>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</si>
  <si>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</si>
  <si>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</si>
  <si>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</si>
  <si>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</si>
  <si>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</si>
  <si>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</si>
  <si>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</si>
  <si>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</si>
  <si>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</si>
  <si>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</si>
  <si>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</si>
  <si>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</si>
  <si>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</si>
  <si>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</si>
  <si>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</si>
  <si>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</si>
  <si>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</si>
  <si>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</si>
  <si>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</si>
  <si>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</si>
  <si>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</si>
  <si>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</si>
  <si>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</si>
  <si>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</si>
  <si>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</si>
  <si>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</si>
  <si>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</si>
  <si>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</si>
  <si>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</si>
  <si>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</si>
  <si>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</si>
  <si>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</si>
  <si>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</si>
  <si>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</si>
  <si>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</si>
  <si>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</si>
  <si>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</si>
  <si>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</si>
  <si>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</si>
  <si>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</si>
  <si>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</si>
  <si>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</si>
  <si>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</si>
  <si>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</si>
  <si>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</si>
  <si>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</si>
  <si>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</si>
  <si>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</si>
  <si>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</si>
  <si>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</si>
  <si>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</si>
  <si>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</si>
  <si>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</si>
  <si>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</si>
  <si>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</si>
  <si>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</si>
  <si>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</si>
  <si>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</si>
  <si>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</si>
  <si>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</si>
  <si>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</si>
  <si>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</si>
  <si>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</si>
  <si>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</si>
  <si>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</si>
  <si>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</si>
  <si>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</si>
  <si>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</si>
  <si>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</si>
  <si>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</si>
  <si>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</si>
  <si>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</si>
  <si>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</si>
  <si>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</si>
  <si>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</si>
  <si>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</si>
  <si>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</si>
  <si>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</si>
  <si>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</si>
  <si>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</si>
  <si>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</si>
  <si>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</si>
  <si>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</si>
  <si>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</si>
  <si>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</si>
  <si>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</si>
  <si>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</si>
  <si>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</si>
  <si>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</si>
  <si>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</si>
  <si>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</si>
  <si>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</si>
  <si>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</si>
  <si>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</si>
  <si>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</si>
  <si>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</si>
  <si>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</si>
  <si>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</si>
  <si>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</si>
  <si>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</si>
  <si>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</si>
  <si>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</si>
  <si>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</si>
  <si>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</si>
  <si>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</si>
  <si>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</si>
  <si>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</si>
  <si>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</si>
  <si>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</si>
  <si>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</si>
  <si>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</si>
  <si>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</si>
  <si>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</si>
  <si>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</si>
  <si>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</si>
  <si>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</si>
  <si>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</si>
  <si>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</si>
  <si>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</si>
  <si>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</si>
  <si>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</si>
  <si>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</si>
  <si>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</si>
  <si>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</si>
  <si>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</si>
  <si>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</si>
  <si>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</si>
  <si>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</si>
  <si>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</si>
  <si>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</si>
  <si>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</si>
  <si>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</si>
  <si>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</si>
  <si>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</si>
  <si>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</si>
  <si>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</si>
  <si>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</si>
  <si>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</si>
  <si>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</si>
  <si>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</si>
  <si>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</si>
  <si>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</si>
  <si>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</si>
  <si>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</si>
  <si>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</si>
  <si>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</si>
  <si>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</si>
  <si>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</si>
  <si>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</si>
  <si>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</si>
  <si>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</si>
  <si>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</si>
  <si>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</si>
  <si>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</si>
  <si>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</si>
  <si>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</si>
  <si>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</si>
  <si>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</si>
  <si>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</si>
  <si>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</si>
  <si>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</si>
  <si>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</si>
  <si>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</si>
  <si>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</si>
  <si>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</si>
  <si>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</si>
  <si>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</si>
  <si>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</si>
  <si>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</si>
  <si>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</si>
  <si>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</si>
  <si>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</si>
  <si>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</si>
  <si>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</si>
  <si>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</si>
  <si>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</si>
  <si>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</si>
  <si>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</si>
  <si>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</si>
  <si>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</si>
  <si>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</si>
  <si>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</si>
  <si>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</si>
  <si>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</si>
  <si>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</si>
  <si>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</si>
  <si>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</si>
  <si>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</si>
  <si>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</si>
  <si>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</si>
  <si>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</si>
  <si>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</si>
  <si>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</si>
  <si>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</si>
  <si>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</si>
  <si>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</si>
  <si>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</si>
  <si>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</si>
  <si>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</si>
  <si>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</si>
  <si>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</si>
  <si>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</si>
  <si>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</si>
  <si>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</si>
  <si>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</si>
  <si>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</si>
  <si>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</si>
  <si>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</si>
  <si>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</si>
  <si>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</si>
  <si>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</si>
  <si>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</si>
  <si>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</si>
  <si>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</si>
  <si>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</si>
  <si>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</si>
  <si>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</si>
  <si>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</si>
  <si>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</si>
  <si>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</si>
  <si>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</si>
  <si>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</si>
  <si>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</si>
  <si>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</si>
  <si>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</si>
  <si>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</si>
  <si>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</si>
  <si>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</si>
  <si>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</si>
  <si>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</si>
  <si>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</si>
  <si>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</si>
  <si>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</si>
  <si>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</si>
  <si>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</si>
  <si>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</si>
  <si>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</si>
  <si>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</si>
  <si>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</si>
  <si>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</si>
  <si>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</si>
  <si>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</si>
  <si>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</si>
  <si>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</si>
  <si>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</si>
  <si>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</si>
  <si>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</si>
  <si>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</si>
  <si>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</si>
  <si>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</si>
  <si>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</si>
  <si>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</si>
  <si>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</si>
  <si>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</si>
  <si>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</si>
  <si>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</si>
  <si>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</si>
  <si>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</si>
  <si>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</si>
  <si>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</si>
  <si>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</si>
  <si>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</si>
  <si>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</si>
  <si>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</si>
  <si>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</si>
  <si>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</si>
  <si>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</si>
  <si>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</si>
  <si>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</si>
  <si>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</si>
  <si>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</si>
  <si>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</si>
  <si>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</si>
  <si>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</si>
  <si>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</si>
  <si>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</si>
  <si>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</si>
  <si>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</si>
  <si>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</si>
  <si>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</si>
  <si>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</si>
  <si>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</si>
  <si>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</si>
  <si>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</si>
  <si>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</si>
  <si>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</si>
  <si>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</si>
  <si>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</si>
  <si>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</si>
  <si>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</si>
  <si>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</si>
  <si>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</si>
  <si>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</si>
  <si>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</si>
  <si>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</si>
  <si>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</si>
  <si>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</si>
  <si>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</si>
  <si>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</si>
  <si>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</si>
  <si>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</si>
  <si>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</si>
  <si>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</si>
  <si>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</si>
  <si>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</si>
  <si>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</si>
  <si>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</si>
  <si>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</si>
  <si>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</si>
  <si>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</si>
  <si>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</si>
  <si>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</si>
  <si>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</si>
  <si>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</si>
  <si>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</si>
  <si>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</si>
  <si>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</si>
  <si>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</si>
  <si>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</si>
  <si>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</si>
  <si>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</si>
  <si>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</si>
  <si>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</si>
  <si>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</si>
  <si>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</si>
  <si>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</si>
  <si>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</si>
  <si>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</si>
  <si>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</si>
  <si>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</si>
  <si>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</si>
  <si>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</si>
  <si>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</si>
  <si>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</si>
  <si>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</si>
  <si>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</si>
  <si>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</si>
  <si>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</si>
  <si>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</si>
  <si>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</si>
  <si>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</si>
  <si>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</si>
  <si>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</si>
  <si>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</si>
  <si>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</si>
  <si>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</si>
  <si>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</si>
  <si>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</si>
  <si>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</si>
  <si>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</si>
  <si>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</si>
  <si>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</si>
  <si>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</si>
  <si>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</si>
  <si>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</si>
  <si>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</si>
  <si>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</si>
  <si>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</si>
  <si>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</si>
  <si>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</si>
  <si>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</si>
  <si>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</si>
  <si>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</si>
  <si>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</si>
  <si>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</si>
  <si>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</si>
  <si>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</si>
  <si>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</si>
  <si>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</si>
  <si>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</si>
  <si>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</si>
  <si>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</si>
  <si>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</si>
  <si>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</si>
  <si>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</si>
  <si>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</si>
  <si>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</si>
  <si>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</si>
  <si>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</si>
  <si>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</si>
  <si>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</si>
  <si>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</si>
  <si>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</si>
  <si>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</si>
  <si>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</si>
  <si>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</si>
  <si>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</si>
  <si>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</si>
  <si>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</si>
  <si>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</si>
  <si>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</si>
  <si>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</si>
  <si>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</si>
  <si>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</si>
  <si>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</si>
  <si>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</si>
  <si>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</si>
  <si>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</si>
  <si>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</si>
  <si>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</si>
  <si>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</si>
  <si>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</si>
  <si>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</si>
  <si>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</si>
  <si>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</si>
  <si>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</si>
  <si>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</si>
  <si>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</si>
  <si>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</si>
  <si>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</si>
  <si>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</si>
  <si>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</si>
  <si>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</si>
  <si>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</si>
  <si>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</si>
  <si>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</si>
  <si>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</si>
  <si>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</si>
  <si>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</si>
  <si>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</si>
  <si>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</si>
  <si>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</si>
  <si>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</si>
  <si>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</si>
  <si>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</si>
  <si>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</si>
  <si>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</si>
  <si>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</si>
  <si>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</si>
  <si>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</si>
  <si>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</si>
  <si>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</si>
  <si>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</si>
  <si>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</si>
  <si>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</si>
  <si>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</si>
  <si>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</si>
  <si>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</si>
  <si>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</si>
  <si>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</si>
  <si>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</si>
  <si>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</si>
  <si>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</si>
  <si>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</si>
  <si>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</si>
  <si>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</si>
  <si>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</si>
  <si>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</si>
  <si>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</si>
  <si>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</si>
  <si>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</si>
  <si>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</si>
  <si>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</si>
  <si>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</si>
  <si>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</si>
  <si>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</si>
  <si>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</si>
  <si>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</si>
  <si>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</si>
  <si>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</si>
  <si>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</si>
  <si>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</si>
  <si>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</si>
  <si>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</si>
  <si>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</si>
  <si>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</si>
  <si>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</si>
  <si>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</si>
  <si>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</si>
  <si>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</si>
  <si>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</si>
  <si>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</si>
  <si>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</si>
  <si>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</si>
  <si>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</si>
  <si>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</si>
  <si>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</si>
  <si>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</si>
  <si>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</si>
  <si>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</si>
  <si>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</si>
  <si>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</si>
  <si>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</si>
  <si>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</si>
  <si>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</si>
  <si>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</si>
  <si>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</si>
  <si>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</si>
  <si>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</si>
  <si>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</si>
  <si>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</si>
  <si>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</si>
  <si>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</si>
  <si>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</si>
  <si>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</si>
  <si>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</si>
  <si>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</si>
  <si>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</si>
  <si>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</si>
  <si>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</si>
  <si>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</si>
  <si>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</si>
  <si>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</si>
  <si>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</si>
  <si>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</si>
  <si>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</si>
  <si>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</si>
  <si>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</si>
  <si>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</si>
  <si>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</si>
  <si>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</si>
  <si>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</si>
  <si>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</si>
  <si>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</si>
  <si>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</si>
  <si>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</si>
  <si>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</si>
  <si>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</si>
  <si>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</si>
  <si>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</si>
  <si>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</si>
  <si>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</si>
  <si>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</si>
  <si>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</si>
  <si>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</si>
  <si>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</si>
  <si>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</si>
  <si>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</si>
  <si>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</si>
  <si>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</si>
  <si>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</si>
  <si>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</si>
  <si>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</si>
  <si>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</si>
  <si>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</si>
  <si>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</si>
  <si>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</si>
  <si>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</si>
  <si>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</si>
  <si>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</si>
  <si>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</si>
  <si>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</si>
  <si>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</si>
  <si>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</si>
  <si>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</si>
  <si>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</si>
  <si>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</si>
  <si>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</si>
  <si>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</si>
  <si>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</si>
  <si>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</si>
  <si>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</si>
  <si>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</si>
  <si>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</si>
  <si>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</si>
  <si>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</si>
  <si>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</si>
  <si>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</si>
  <si>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</si>
  <si>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</si>
  <si>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</si>
  <si>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</si>
  <si>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</si>
  <si>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</si>
  <si>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</si>
  <si>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</si>
  <si>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</si>
  <si>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</si>
  <si>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</si>
  <si>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</si>
  <si>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</si>
  <si>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</si>
  <si>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</si>
  <si>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</si>
  <si>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</si>
  <si>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</si>
  <si>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</si>
  <si>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</si>
  <si>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</si>
  <si>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</si>
  <si>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</si>
  <si>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</si>
  <si>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</si>
  <si>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</si>
  <si>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</si>
  <si>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</si>
  <si>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</si>
  <si>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</si>
  <si>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</si>
  <si>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</si>
  <si>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</si>
  <si>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</si>
  <si>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</si>
  <si>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</si>
  <si>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</si>
  <si>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</si>
  <si>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</si>
  <si>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</si>
  <si>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</si>
  <si>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</si>
  <si>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</si>
  <si>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</si>
  <si>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</si>
  <si>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</si>
  <si>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</si>
  <si>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</si>
  <si>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</si>
  <si>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</si>
  <si>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</si>
  <si>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</si>
  <si>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</si>
  <si>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</si>
  <si>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</si>
  <si>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</si>
  <si>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</si>
  <si>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</si>
  <si>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</si>
  <si>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</si>
  <si>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</si>
  <si>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</si>
  <si>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</si>
  <si>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</si>
  <si>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</si>
  <si>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</si>
  <si>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</si>
  <si>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</si>
  <si>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</si>
  <si>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</si>
  <si>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</si>
  <si>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</si>
  <si>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</si>
  <si>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</si>
  <si>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</si>
  <si>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</si>
  <si>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</si>
  <si>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</si>
  <si>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</si>
  <si>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</si>
  <si>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</si>
  <si>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</si>
  <si>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</si>
  <si>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</si>
  <si>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</si>
  <si>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</si>
  <si>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</si>
  <si>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</si>
  <si>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</si>
  <si>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</si>
  <si>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</si>
  <si>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</si>
  <si>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</si>
  <si>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</si>
  <si>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</si>
  <si>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</si>
  <si>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</si>
  <si>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</si>
  <si>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</si>
  <si>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</si>
  <si>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</si>
  <si>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</si>
  <si>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</si>
  <si>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</si>
  <si>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</si>
  <si>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</si>
  <si>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</si>
  <si>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</si>
  <si>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</si>
  <si>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</si>
  <si>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</si>
  <si>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</si>
  <si>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</si>
  <si>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</si>
  <si>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</si>
  <si>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</si>
  <si>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</si>
  <si>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</si>
  <si>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</si>
  <si>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</si>
  <si>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</si>
  <si>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</si>
  <si>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</si>
  <si>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</si>
  <si>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</si>
  <si>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</si>
  <si>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</si>
  <si>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</si>
  <si>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</si>
  <si>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</si>
  <si>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</si>
  <si>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</si>
  <si>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</si>
  <si>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</si>
  <si>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</si>
  <si>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</si>
  <si>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</si>
  <si>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</si>
  <si>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</si>
  <si>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</si>
  <si>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</si>
  <si>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</si>
  <si>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</si>
  <si>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</si>
  <si>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</si>
  <si>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</si>
  <si>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</si>
  <si>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</si>
  <si>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</si>
  <si>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</si>
  <si>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</si>
  <si>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</si>
  <si>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</si>
  <si>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</si>
  <si>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</si>
  <si>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</si>
  <si>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</si>
  <si>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</si>
  <si>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</si>
  <si>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</si>
  <si>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</si>
  <si>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</si>
  <si>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</si>
  <si>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</si>
  <si>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</si>
  <si>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</si>
  <si>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</si>
  <si>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</si>
  <si>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</si>
  <si>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</si>
  <si>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</si>
  <si>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</si>
  <si>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</si>
  <si>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</si>
  <si>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</si>
  <si>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</si>
  <si>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</si>
  <si>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</si>
  <si>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</si>
  <si>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</si>
  <si>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</si>
  <si>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</si>
  <si>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</si>
  <si>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</si>
  <si>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</si>
  <si>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</si>
  <si>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</si>
  <si>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</si>
  <si>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</si>
  <si>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</si>
  <si>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</si>
  <si>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</si>
  <si>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</si>
  <si>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</si>
  <si>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</si>
  <si>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</si>
  <si>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</si>
  <si>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</si>
  <si>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</si>
  <si>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</si>
  <si>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</si>
  <si>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</si>
  <si>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</si>
  <si>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</si>
  <si>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</si>
  <si>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</si>
  <si>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</si>
  <si>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</si>
  <si>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</si>
  <si>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</si>
  <si>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</si>
  <si>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</si>
  <si>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</si>
  <si>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</si>
  <si>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</si>
  <si>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</si>
  <si>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</si>
  <si>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</si>
  <si>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</si>
  <si>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</si>
  <si>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</si>
  <si>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</si>
  <si>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</si>
  <si>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</si>
  <si>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</si>
  <si>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</si>
  <si>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</si>
  <si>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</si>
  <si>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</si>
  <si>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</si>
  <si>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</si>
  <si>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</si>
  <si>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</si>
  <si>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</si>
  <si>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</si>
  <si>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</si>
  <si>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</si>
  <si>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</si>
  <si>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</si>
  <si>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</si>
  <si>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</si>
  <si>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</si>
  <si>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</si>
  <si>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</si>
  <si>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</si>
  <si>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</si>
  <si>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</si>
  <si>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</si>
  <si>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</si>
  <si>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</si>
  <si>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</si>
  <si>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</si>
  <si>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</si>
  <si>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</si>
  <si>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</si>
  <si>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</si>
  <si>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</si>
  <si>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</si>
  <si>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</si>
  <si>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</si>
  <si>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</si>
  <si>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</si>
  <si>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</si>
  <si>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</si>
  <si>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</si>
  <si>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</si>
  <si>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</si>
  <si>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</si>
  <si>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</si>
  <si>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</si>
  <si>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</si>
  <si>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</si>
  <si>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</si>
  <si>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</si>
  <si>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</si>
  <si>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</si>
  <si>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</si>
  <si>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</si>
  <si>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</si>
  <si>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</si>
  <si>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</si>
  <si>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</si>
  <si>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</si>
  <si>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</si>
  <si>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</si>
  <si>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</si>
  <si>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</si>
  <si>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</si>
  <si>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</si>
  <si>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</si>
  <si>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</si>
  <si>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</si>
  <si>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</si>
  <si>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</si>
  <si>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</si>
  <si>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</si>
  <si>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</si>
  <si>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</si>
  <si>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</si>
  <si>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</si>
  <si>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</si>
  <si>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</si>
  <si>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</si>
  <si>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</si>
  <si>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</si>
  <si>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</si>
  <si>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</si>
  <si>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</si>
  <si>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</si>
  <si>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</si>
  <si>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</si>
  <si>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</si>
  <si>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</si>
  <si>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</si>
  <si>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</si>
  <si>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</si>
  <si>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</si>
  <si>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</si>
  <si>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</si>
  <si>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</si>
  <si>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</si>
  <si>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</si>
  <si>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</si>
  <si>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</si>
  <si>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</si>
  <si>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</si>
  <si>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</si>
  <si>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</si>
  <si>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</si>
  <si>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</si>
  <si>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</si>
  <si>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</si>
  <si>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</si>
  <si>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</si>
  <si>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</si>
  <si>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</si>
  <si>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</si>
  <si>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</si>
  <si>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</si>
  <si>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</si>
  <si>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</si>
  <si>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</si>
  <si>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</si>
  <si>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</si>
  <si>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</si>
  <si>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</si>
  <si>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</si>
  <si>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</si>
  <si>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</si>
  <si>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</si>
  <si>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</si>
  <si>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</si>
  <si>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</si>
  <si>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</si>
  <si>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</si>
  <si>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</si>
  <si>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</si>
  <si>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</si>
  <si>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</si>
  <si>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</si>
  <si>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</si>
  <si>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</si>
  <si>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</si>
  <si>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</si>
  <si>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</si>
  <si>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</si>
  <si>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</si>
  <si>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</si>
  <si>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</si>
  <si>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</si>
  <si>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</si>
  <si>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</si>
  <si>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</si>
  <si>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</si>
  <si>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</si>
  <si>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</si>
  <si>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</si>
  <si>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</si>
  <si>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</si>
  <si>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</si>
  <si>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</si>
  <si>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</si>
  <si>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</si>
  <si>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</si>
  <si>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</si>
  <si>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</si>
  <si>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</si>
  <si>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</si>
  <si>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</si>
  <si>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</si>
  <si>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</si>
  <si>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</si>
  <si>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</si>
  <si>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</si>
  <si>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</si>
  <si>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</si>
  <si>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</si>
  <si>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</si>
  <si>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</si>
  <si>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</si>
  <si>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</si>
  <si>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</si>
  <si>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</si>
  <si>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</si>
  <si>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</si>
  <si>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</si>
  <si>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</si>
  <si>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</si>
  <si>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</si>
  <si>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</si>
  <si>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</si>
  <si>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</si>
  <si>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</si>
  <si>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</si>
  <si>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</si>
  <si>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</si>
  <si>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</si>
  <si>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</si>
  <si>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</si>
  <si>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</si>
  <si>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</si>
  <si>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</si>
  <si>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</si>
  <si>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</si>
  <si>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</si>
  <si>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</si>
  <si>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</si>
  <si>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</si>
  <si>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</si>
  <si>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</si>
  <si>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</si>
  <si>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</si>
  <si>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</si>
  <si>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</si>
  <si>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</si>
  <si>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</si>
  <si>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</si>
  <si>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</si>
  <si>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</si>
  <si>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</si>
  <si>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</si>
  <si>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</si>
  <si>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</si>
  <si>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</si>
  <si>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</si>
  <si>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</si>
  <si>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</si>
  <si>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</si>
  <si>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</si>
  <si>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</si>
  <si>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</si>
  <si>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</si>
  <si>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</si>
  <si>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</si>
  <si>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</si>
  <si>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</si>
  <si>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</si>
  <si>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</si>
  <si>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</si>
  <si>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</si>
  <si>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</si>
  <si>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</si>
  <si>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</si>
  <si>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</si>
  <si>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</si>
  <si>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</si>
  <si>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</si>
  <si>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</si>
  <si>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</si>
  <si>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</si>
  <si>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</si>
  <si>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</si>
  <si>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</si>
  <si>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</si>
  <si>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</si>
  <si>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</si>
  <si>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</si>
  <si>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</si>
  <si>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</si>
  <si>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</si>
  <si>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</si>
  <si>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</si>
  <si>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</si>
  <si>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</si>
  <si>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</si>
  <si>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</si>
  <si>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</si>
  <si>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</si>
  <si>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</si>
  <si>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</si>
  <si>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</si>
  <si>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</si>
  <si>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</si>
  <si>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</si>
  <si>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</si>
  <si>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</si>
  <si>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</si>
  <si>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</si>
  <si>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</si>
  <si>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</si>
  <si>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</si>
  <si>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</si>
  <si>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</si>
  <si>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</si>
  <si>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</si>
  <si>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</si>
  <si>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</si>
  <si>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</si>
  <si>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</si>
  <si>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</si>
  <si>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</si>
  <si>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</si>
  <si>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</si>
  <si>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</si>
  <si>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</si>
  <si>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</si>
  <si>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</si>
  <si>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</si>
  <si>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</si>
  <si>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</si>
  <si>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</si>
  <si>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</si>
  <si>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</si>
  <si>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</si>
  <si>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</si>
  <si>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</si>
  <si>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</si>
  <si>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</si>
  <si>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</si>
  <si>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</si>
  <si>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</si>
  <si>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</si>
  <si>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</si>
  <si>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</si>
  <si>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</si>
  <si>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</si>
  <si>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</si>
  <si>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</si>
  <si>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</si>
  <si>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</si>
  <si>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</si>
  <si>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</si>
  <si>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</si>
  <si>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</si>
  <si>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</si>
  <si>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</si>
  <si>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</si>
  <si>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</si>
  <si>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</si>
  <si>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</si>
  <si>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</si>
  <si>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</si>
  <si>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</si>
  <si>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</si>
  <si>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</si>
  <si>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</si>
  <si>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</si>
  <si>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</si>
  <si>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</si>
  <si>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</si>
  <si>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</si>
  <si>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</si>
  <si>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</si>
  <si>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</si>
  <si>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</si>
  <si>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</si>
  <si>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</si>
  <si>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</si>
  <si>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</si>
  <si>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</si>
  <si>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</si>
  <si>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</si>
  <si>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</si>
  <si>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</si>
  <si>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</si>
  <si>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</si>
  <si>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</si>
  <si>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</si>
  <si>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</si>
  <si>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</si>
  <si>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</si>
  <si>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</si>
  <si>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</si>
  <si>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</si>
  <si>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</si>
  <si>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</si>
  <si>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</si>
  <si>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</si>
  <si>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</si>
  <si>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</si>
  <si>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</si>
  <si>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</si>
  <si>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</si>
  <si>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</si>
  <si>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</si>
  <si>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</si>
  <si>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</si>
  <si>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</si>
  <si>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</si>
  <si>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</si>
  <si>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</si>
  <si>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</si>
  <si>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</si>
  <si>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</si>
  <si>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</si>
  <si>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</si>
  <si>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</si>
  <si>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</si>
  <si>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</si>
  <si>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</si>
  <si>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</si>
  <si>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</si>
  <si>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</si>
  <si>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</si>
  <si>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</si>
  <si>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</si>
  <si>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</si>
  <si>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</si>
  <si>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</si>
  <si>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</si>
  <si>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</si>
  <si>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</si>
  <si>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</si>
  <si>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</si>
  <si>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</si>
  <si>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</si>
  <si>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</si>
  <si>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</si>
  <si>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</si>
  <si>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</si>
  <si>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</si>
  <si>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</si>
  <si>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</si>
  <si>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</si>
  <si>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</si>
  <si>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</si>
  <si>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</si>
  <si>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</si>
  <si>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</si>
  <si>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</si>
  <si>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</si>
  <si>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</si>
  <si>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</si>
  <si>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</si>
  <si>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</si>
  <si>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</si>
  <si>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</si>
  <si>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</si>
  <si>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</si>
  <si>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</si>
  <si>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</si>
  <si>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</si>
  <si>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</si>
  <si>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</si>
  <si>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</si>
  <si>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</si>
  <si>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</si>
  <si>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</si>
  <si>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</si>
  <si>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</si>
  <si>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</si>
  <si>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</si>
  <si>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</si>
  <si>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</si>
  <si>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</si>
  <si>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</si>
  <si>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</si>
  <si>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</si>
  <si>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</si>
  <si>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</si>
  <si>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</si>
  <si>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</si>
  <si>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</si>
  <si>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</si>
  <si>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</si>
  <si>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</si>
  <si>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</si>
  <si>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</si>
  <si>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</si>
  <si>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</si>
  <si>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</si>
  <si>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</si>
  <si>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</si>
  <si>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</si>
  <si>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</si>
  <si>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</si>
  <si>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</si>
  <si>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</si>
  <si>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</si>
  <si>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</si>
  <si>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</si>
  <si>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</si>
  <si>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</si>
  <si>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</si>
  <si>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</si>
  <si>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</si>
  <si>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</si>
  <si>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</si>
  <si>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</si>
  <si>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</si>
  <si>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</si>
  <si>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</si>
  <si>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</si>
  <si>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</si>
  <si>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</si>
  <si>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</si>
  <si>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</si>
  <si>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</si>
  <si>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</si>
  <si>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</si>
  <si>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</si>
  <si>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</si>
  <si>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</si>
  <si>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</si>
  <si>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</si>
  <si>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</si>
  <si>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</si>
  <si>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</si>
  <si>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</si>
  <si>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</si>
  <si>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</si>
  <si>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</si>
  <si>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</si>
  <si>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</si>
  <si>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</si>
  <si>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</si>
  <si>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</si>
  <si>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</si>
  <si>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</si>
  <si>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</si>
  <si>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</si>
  <si>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</si>
  <si>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</si>
  <si>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</si>
  <si>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</si>
  <si>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</si>
  <si>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</si>
  <si>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</si>
  <si>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</si>
  <si>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</si>
  <si>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</si>
  <si>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</si>
  <si>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</si>
  <si>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</si>
  <si>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</si>
  <si>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</si>
  <si>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</si>
  <si>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</si>
  <si>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</si>
  <si>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</si>
  <si>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</si>
  <si>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</si>
  <si>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</si>
  <si>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</si>
  <si>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</si>
  <si>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</si>
  <si>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</si>
  <si>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</si>
  <si>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</si>
  <si>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</si>
  <si>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</si>
  <si>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</si>
  <si>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</si>
  <si>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</si>
  <si>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</si>
  <si>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</si>
  <si>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</si>
  <si>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</si>
  <si>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</si>
  <si>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</si>
  <si>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</si>
  <si>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</si>
  <si>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</si>
  <si>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</si>
  <si>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</si>
  <si>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</si>
  <si>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</si>
  <si>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</si>
  <si>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</si>
  <si>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</si>
  <si>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</si>
  <si>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</si>
  <si>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</si>
  <si>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</si>
  <si>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</si>
  <si>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</si>
  <si>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</si>
  <si>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</si>
  <si>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</si>
  <si>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</si>
  <si>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</si>
  <si>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</si>
  <si>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</si>
  <si>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</si>
  <si>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</si>
  <si>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</si>
  <si>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</si>
  <si>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</si>
  <si>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</si>
  <si>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</si>
  <si>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</si>
  <si>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</si>
  <si>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</si>
  <si>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</si>
  <si>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</si>
  <si>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</si>
  <si>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</si>
  <si>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</si>
  <si>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</si>
  <si>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</si>
  <si>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</si>
  <si>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</si>
  <si>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</si>
  <si>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</si>
  <si>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</si>
  <si>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</si>
  <si>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</si>
  <si>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</si>
  <si>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</si>
  <si>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</si>
  <si>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</si>
  <si>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</si>
  <si>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</si>
  <si>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</si>
  <si>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</si>
  <si>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</si>
  <si>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</si>
  <si>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</si>
  <si>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</si>
  <si>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</si>
  <si>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</si>
  <si>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</si>
  <si>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</si>
  <si>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</si>
  <si>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</si>
  <si>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</si>
  <si>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</si>
  <si>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</si>
  <si>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</si>
  <si>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</si>
  <si>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</si>
  <si>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</si>
  <si>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</si>
  <si>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</si>
  <si>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</si>
  <si>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</si>
  <si>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</si>
  <si>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</si>
  <si>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</si>
  <si>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</si>
  <si>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</si>
  <si>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</si>
  <si>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</si>
  <si>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</si>
  <si>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</si>
  <si>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</si>
  <si>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</si>
  <si>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</si>
  <si>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</si>
  <si>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</si>
  <si>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</si>
  <si>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</si>
  <si>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</si>
  <si>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</si>
  <si>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</si>
  <si>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</si>
  <si>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</si>
  <si>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</si>
  <si>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</si>
  <si>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</si>
  <si>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</si>
  <si>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</si>
  <si>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</si>
  <si>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</si>
  <si>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</si>
  <si>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</si>
  <si>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</si>
  <si>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</si>
  <si>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</si>
  <si>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</si>
  <si>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</si>
  <si>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</si>
  <si>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</si>
  <si>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</si>
  <si>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</si>
  <si>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</si>
  <si>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</si>
  <si>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</si>
  <si>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</si>
  <si>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</si>
  <si>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</si>
  <si>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</si>
  <si>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</si>
  <si>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</si>
  <si>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</si>
  <si>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</si>
  <si>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</si>
  <si>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</si>
  <si>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</si>
  <si>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</si>
  <si>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</si>
  <si>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</si>
  <si>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</si>
  <si>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</si>
  <si>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</si>
  <si>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</si>
  <si>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</si>
  <si>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</si>
  <si>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</si>
  <si>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</si>
  <si>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</si>
  <si>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</si>
  <si>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</si>
  <si>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</si>
  <si>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</si>
  <si>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</si>
  <si>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</si>
  <si>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</si>
  <si>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</si>
  <si>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</si>
  <si>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</si>
  <si>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</si>
  <si>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</si>
  <si>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</si>
  <si>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</si>
  <si>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</si>
  <si>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</si>
  <si>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</si>
  <si>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</si>
  <si>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</si>
  <si>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</si>
  <si>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</si>
  <si>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</si>
  <si>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</si>
  <si>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</si>
  <si>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</si>
  <si>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</si>
  <si>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</si>
  <si>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</si>
  <si>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</si>
  <si>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</si>
  <si>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</si>
  <si>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</si>
  <si>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</si>
  <si>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</si>
  <si>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</si>
  <si>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</si>
  <si>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</si>
  <si>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</si>
  <si>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</si>
  <si>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</si>
  <si>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</si>
  <si>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</si>
  <si>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</si>
  <si>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</si>
  <si>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</si>
  <si>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</si>
  <si>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</si>
  <si>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</si>
  <si>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</si>
  <si>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</si>
  <si>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</si>
  <si>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</si>
  <si>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</si>
  <si>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</si>
  <si>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</si>
  <si>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</si>
  <si>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</si>
  <si>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</si>
  <si>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</si>
  <si>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</si>
  <si>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</si>
  <si>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</si>
  <si>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</si>
  <si>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</si>
  <si>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</si>
  <si>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</si>
  <si>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</si>
  <si>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</si>
  <si>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</si>
  <si>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</si>
  <si>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</si>
  <si>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</si>
  <si>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</si>
  <si>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</si>
  <si>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</si>
  <si>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</si>
  <si>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</si>
  <si>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</si>
  <si>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</si>
  <si>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</si>
  <si>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</si>
  <si>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</si>
  <si>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</si>
  <si>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</si>
  <si>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</si>
  <si>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</si>
  <si>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</si>
  <si>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</si>
  <si>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</si>
  <si>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</si>
  <si>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</si>
  <si>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</si>
  <si>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</si>
  <si>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</si>
  <si>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</si>
  <si>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</si>
  <si>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</si>
  <si>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</si>
  <si>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</si>
  <si>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</si>
  <si>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</si>
  <si>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</si>
  <si>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</si>
  <si>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</si>
  <si>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</si>
  <si>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</si>
  <si>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</si>
  <si>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</si>
  <si>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</si>
  <si>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</si>
  <si>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</si>
  <si>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</si>
  <si>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</si>
  <si>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</si>
  <si>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</si>
  <si>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</si>
  <si>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</si>
  <si>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</si>
  <si>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</si>
  <si>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</si>
  <si>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</si>
  <si>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</si>
  <si>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</si>
  <si>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</si>
  <si>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</si>
  <si>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</si>
  <si>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</si>
  <si>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</si>
  <si>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</si>
  <si>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</si>
  <si>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</si>
  <si>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</si>
  <si>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</si>
  <si>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</si>
  <si>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</si>
  <si>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</si>
  <si>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</si>
  <si>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</si>
  <si>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</si>
  <si>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</si>
  <si>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</si>
  <si>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</si>
  <si>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</si>
  <si>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</si>
  <si>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</si>
  <si>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</si>
  <si>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</si>
  <si>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</si>
  <si>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</si>
  <si>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</si>
  <si>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</si>
  <si>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</si>
  <si>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</si>
  <si>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</si>
  <si>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</si>
  <si>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</si>
  <si>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</si>
  <si>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</si>
  <si>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</si>
  <si>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</si>
  <si>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</si>
  <si>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</si>
  <si>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</si>
  <si>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</si>
  <si>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</si>
  <si>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</si>
  <si>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</si>
  <si>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</si>
  <si>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</si>
  <si>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</si>
  <si>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</si>
  <si>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</si>
  <si>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</si>
  <si>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</si>
  <si>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</si>
  <si>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</si>
  <si>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</si>
  <si>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</si>
  <si>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</si>
  <si>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</si>
  <si>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</si>
  <si>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</si>
  <si>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</si>
  <si>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</si>
  <si>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</si>
  <si>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</si>
  <si>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</si>
  <si>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</si>
  <si>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</si>
  <si>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</si>
  <si>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</si>
  <si>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</si>
  <si>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</si>
  <si>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</si>
  <si>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</si>
  <si>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</si>
  <si>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</si>
  <si>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</si>
  <si>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</si>
  <si>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</si>
  <si>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</si>
  <si>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</si>
  <si>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</si>
  <si>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</si>
  <si>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</si>
  <si>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</si>
  <si>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</si>
  <si>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</si>
  <si>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</si>
  <si>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</si>
  <si>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</si>
  <si>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</si>
  <si>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</si>
  <si>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</si>
  <si>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</si>
  <si>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</si>
  <si>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</si>
  <si>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</si>
  <si>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</si>
  <si>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</si>
  <si>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</si>
  <si>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</si>
  <si>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</si>
  <si>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</si>
  <si>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</si>
  <si>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</si>
  <si>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</si>
  <si>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</si>
  <si>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</si>
  <si>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</si>
  <si>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</si>
  <si>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</si>
  <si>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</si>
  <si>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</si>
  <si>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</si>
  <si>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</si>
  <si>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</si>
  <si>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</si>
  <si>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</si>
  <si>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</si>
  <si>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</si>
  <si>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</si>
  <si>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</si>
  <si>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</si>
  <si>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</si>
  <si>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</si>
  <si>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</si>
  <si>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</si>
  <si>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</si>
  <si>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</si>
  <si>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</si>
  <si>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</si>
  <si>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</si>
  <si>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</si>
  <si>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</si>
  <si>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</si>
  <si>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</si>
  <si>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</si>
  <si>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</si>
  <si>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</si>
  <si>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</si>
  <si>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</si>
  <si>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</si>
  <si>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</si>
  <si>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</si>
  <si>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</si>
  <si>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</si>
  <si>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</si>
  <si>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</si>
  <si>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</si>
  <si>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</si>
  <si>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</si>
  <si>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</si>
  <si>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</si>
  <si>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</si>
  <si>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</si>
  <si>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</si>
  <si>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</si>
  <si>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</si>
  <si>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</si>
  <si>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</si>
  <si>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</si>
  <si>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</si>
  <si>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</si>
  <si>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</si>
  <si>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</si>
  <si>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</si>
  <si>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</si>
  <si>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</si>
  <si>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</si>
  <si>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</si>
  <si>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</si>
  <si>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</si>
  <si>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</si>
  <si>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</si>
  <si>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</si>
  <si>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</si>
  <si>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</si>
  <si>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</si>
  <si>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</si>
  <si>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</si>
  <si>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</si>
  <si>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</si>
  <si>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</si>
  <si>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</si>
  <si>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</si>
  <si>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</si>
  <si>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</si>
  <si>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</si>
  <si>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</si>
  <si>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</si>
  <si>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</si>
  <si>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</si>
  <si>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</si>
  <si>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</si>
  <si>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</si>
  <si>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</si>
  <si>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</si>
  <si>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</si>
  <si>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</si>
  <si>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</si>
  <si>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</si>
  <si>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</si>
  <si>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</si>
  <si>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</si>
  <si>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</si>
  <si>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</si>
  <si>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</si>
  <si>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</si>
  <si>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</si>
  <si>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</si>
  <si>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</si>
  <si>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</si>
  <si>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</si>
  <si>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</si>
  <si>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</si>
  <si>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</si>
  <si>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</si>
  <si>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</si>
  <si>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</si>
  <si>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</si>
  <si>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</si>
  <si>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</si>
  <si>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</si>
  <si>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</si>
  <si>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</si>
  <si>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</si>
  <si>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</si>
  <si>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</si>
  <si>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</si>
  <si>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</si>
  <si>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</si>
  <si>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</si>
  <si>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</si>
  <si>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</si>
  <si>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</si>
  <si>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</si>
  <si>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</si>
  <si>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</si>
  <si>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</si>
  <si>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</si>
  <si>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</si>
  <si>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</si>
  <si>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</si>
  <si>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</si>
  <si>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</si>
  <si>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</si>
  <si>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</si>
  <si>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</si>
  <si>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</si>
  <si>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</si>
  <si>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</si>
  <si>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</si>
  <si>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</si>
  <si>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</si>
  <si>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</si>
  <si>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</si>
  <si>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</si>
  <si>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</si>
  <si>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</si>
  <si>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</si>
  <si>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</si>
  <si>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</si>
  <si>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</si>
  <si>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</si>
  <si>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</si>
  <si>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</si>
  <si>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</si>
  <si>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</si>
  <si>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</si>
  <si>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</si>
  <si>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</si>
  <si>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</si>
  <si>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</si>
  <si>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</si>
  <si>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</si>
  <si>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</si>
  <si>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</si>
  <si>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</si>
  <si>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</si>
  <si>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</si>
  <si>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</si>
  <si>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</si>
  <si>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</si>
  <si>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</si>
  <si>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</si>
  <si>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</si>
  <si>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</si>
  <si>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</si>
  <si>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</si>
  <si>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</si>
  <si>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</si>
  <si>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</si>
  <si>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</si>
  <si>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</si>
  <si>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</si>
  <si>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</si>
  <si>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</si>
  <si>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</si>
  <si>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</si>
  <si>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</si>
  <si>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</si>
  <si>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</si>
  <si>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</si>
  <si>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</si>
  <si>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</si>
  <si>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</si>
  <si>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</si>
  <si>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</si>
  <si>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</si>
  <si>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</si>
  <si>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</si>
  <si>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</si>
  <si>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</si>
  <si>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</si>
  <si>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</si>
  <si>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</si>
  <si>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</si>
  <si>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</si>
  <si>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</si>
  <si>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</si>
  <si>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</si>
  <si>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</si>
  <si>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</si>
  <si>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</si>
  <si>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</si>
  <si>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</si>
  <si>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</si>
  <si>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</si>
  <si>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</si>
  <si>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</si>
  <si>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</si>
  <si>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</si>
  <si>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</si>
  <si>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</si>
  <si>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</si>
  <si>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</si>
  <si>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</si>
  <si>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</si>
  <si>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</si>
  <si>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</si>
  <si>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</si>
  <si>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</si>
  <si>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</si>
  <si>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</si>
  <si>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</si>
  <si>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</si>
  <si>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</si>
  <si>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</si>
  <si>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</si>
  <si>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</si>
  <si>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</si>
  <si>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</si>
  <si>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</si>
  <si>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</si>
  <si>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</si>
  <si>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</si>
  <si>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</si>
  <si>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</si>
  <si>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</si>
  <si>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</si>
  <si>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</si>
  <si>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</si>
  <si>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</si>
  <si>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</si>
  <si>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</si>
  <si>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</si>
  <si>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</si>
  <si>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</si>
  <si>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</si>
  <si>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</si>
  <si>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</si>
  <si>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</si>
  <si>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</si>
  <si>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</si>
  <si>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</si>
  <si>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</si>
  <si>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</si>
  <si>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</si>
  <si>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</si>
  <si>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</si>
  <si>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</si>
  <si>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</si>
  <si>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</si>
  <si>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</si>
  <si>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</si>
  <si>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</si>
  <si>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</si>
  <si>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</si>
  <si>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</si>
  <si>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</si>
  <si>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</si>
  <si>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</si>
  <si>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</si>
  <si>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</si>
  <si>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</si>
  <si>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</si>
  <si>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</si>
  <si>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</si>
  <si>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</si>
  <si>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</si>
  <si>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</si>
  <si>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</si>
  <si>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</si>
  <si>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</si>
  <si>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</si>
  <si>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</si>
  <si>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</si>
  <si>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</si>
  <si>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</si>
  <si>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</si>
  <si>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</si>
  <si>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</si>
  <si>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</si>
  <si>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</si>
  <si>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</si>
  <si>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</si>
  <si>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</si>
  <si>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</si>
  <si>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</si>
  <si>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</si>
  <si>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</si>
  <si>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</si>
  <si>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</si>
  <si>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</si>
  <si>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</si>
  <si>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</si>
  <si>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</si>
  <si>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</si>
  <si>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</si>
  <si>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</si>
  <si>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</si>
  <si>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</si>
  <si>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</si>
  <si>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</si>
  <si>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</si>
  <si>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</si>
  <si>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</si>
  <si>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</si>
  <si>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</si>
  <si>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</si>
  <si>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</si>
  <si>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</si>
  <si>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</si>
  <si>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</si>
  <si>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</si>
  <si>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</si>
  <si>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</si>
  <si>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</si>
  <si>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</si>
  <si>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</si>
  <si>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</si>
  <si>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</si>
  <si>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</si>
  <si>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</si>
  <si>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</si>
  <si>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</si>
  <si>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</si>
  <si>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</si>
  <si>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</si>
  <si>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</si>
  <si>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</si>
  <si>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</si>
  <si>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</si>
  <si>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</si>
  <si>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</si>
  <si>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</si>
  <si>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</si>
  <si>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</si>
  <si>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</si>
  <si>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</si>
  <si>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</si>
  <si>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</si>
  <si>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</si>
  <si>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</si>
  <si>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</si>
  <si>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</si>
  <si>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</si>
  <si>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</si>
  <si>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</si>
  <si>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</si>
  <si>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</si>
  <si>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</si>
  <si>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</si>
  <si>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</si>
  <si>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</si>
  <si>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</si>
  <si>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</si>
  <si>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</si>
  <si>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</si>
  <si>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</si>
  <si>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</si>
  <si>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</si>
  <si>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</si>
  <si>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</si>
  <si>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</si>
  <si>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</si>
  <si>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</si>
  <si>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</si>
  <si>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</si>
  <si>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</si>
  <si>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</si>
  <si>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</si>
  <si>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</si>
  <si>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</si>
  <si>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</si>
  <si>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</si>
  <si>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</si>
  <si>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</si>
  <si>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</si>
  <si>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</si>
  <si>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</si>
  <si>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</si>
  <si>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</si>
  <si>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</si>
  <si>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</si>
  <si>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</si>
  <si>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</si>
  <si>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</si>
  <si>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</si>
  <si>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</si>
  <si>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</si>
  <si>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</si>
  <si>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</si>
  <si>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</si>
  <si>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</si>
  <si>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</si>
  <si>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</si>
  <si>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</si>
  <si>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</si>
  <si>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</si>
  <si>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</si>
  <si>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</si>
  <si>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</si>
  <si>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</si>
  <si>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</si>
  <si>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</si>
  <si>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</si>
  <si>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</si>
  <si>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</si>
  <si>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</si>
  <si>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</si>
  <si>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</si>
  <si>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</si>
  <si>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</si>
  <si>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</si>
  <si>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</si>
  <si>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</si>
  <si>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</si>
  <si>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</si>
  <si>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</si>
  <si>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</si>
  <si>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</si>
  <si>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</si>
  <si>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</si>
  <si>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</si>
  <si>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</si>
  <si>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</si>
  <si>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</si>
  <si>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</si>
  <si>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</si>
  <si>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</si>
  <si>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</si>
  <si>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</si>
  <si>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</si>
  <si>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</si>
  <si>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</si>
  <si>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</si>
  <si>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</si>
  <si>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</si>
  <si>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</si>
  <si>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</si>
  <si>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</si>
  <si>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</si>
  <si>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</si>
  <si>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</si>
  <si>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</si>
  <si>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</si>
  <si>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</si>
  <si>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</si>
  <si>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</si>
  <si>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</si>
  <si>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</si>
  <si>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</si>
  <si>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</si>
  <si>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</si>
  <si>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</si>
  <si>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</si>
  <si>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</si>
  <si>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</si>
  <si>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</si>
  <si>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</si>
  <si>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</si>
  <si>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</si>
  <si>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</si>
  <si>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</si>
  <si>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</si>
  <si>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</si>
  <si>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</si>
  <si>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</si>
  <si>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</si>
  <si>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</si>
  <si>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</si>
  <si>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</si>
  <si>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</si>
  <si>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</si>
  <si>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</si>
  <si>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</si>
  <si>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</si>
  <si>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</si>
  <si>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</si>
  <si>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</si>
  <si>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</si>
  <si>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</si>
  <si>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</si>
  <si>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</si>
  <si>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</si>
  <si>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</si>
  <si>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</si>
  <si>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</si>
  <si>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</si>
  <si>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</si>
  <si>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</si>
  <si>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</si>
  <si>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</si>
  <si>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</si>
  <si>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</si>
  <si>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</si>
  <si>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</si>
  <si>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</si>
  <si>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</si>
  <si>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</si>
  <si>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</si>
  <si>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</si>
  <si>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</si>
  <si>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</si>
  <si>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</si>
  <si>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</si>
  <si>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</si>
  <si>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</si>
  <si>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</si>
  <si>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</si>
  <si>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</si>
  <si>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</si>
  <si>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</si>
  <si>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</si>
  <si>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</si>
  <si>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</si>
  <si>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</si>
  <si>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</si>
  <si>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</si>
  <si>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</si>
  <si>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</si>
  <si>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</si>
  <si>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</si>
  <si>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</si>
  <si>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</si>
  <si>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</si>
  <si>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</si>
  <si>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</si>
  <si>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</si>
  <si>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</si>
  <si>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</si>
  <si>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</si>
  <si>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</si>
  <si>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</si>
  <si>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</si>
  <si>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</si>
  <si>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</si>
  <si>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</si>
  <si>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</si>
  <si>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</si>
  <si>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</si>
  <si>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</si>
  <si>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</si>
  <si>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</si>
  <si>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</si>
  <si>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</si>
  <si>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</si>
  <si>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</si>
  <si>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</si>
  <si>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</si>
  <si>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</si>
  <si>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</si>
  <si>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</si>
  <si>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</si>
  <si>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</si>
  <si>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</si>
  <si>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</si>
  <si>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</si>
  <si>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</si>
  <si>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</si>
  <si>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</si>
  <si>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</si>
  <si>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</si>
  <si>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</si>
  <si>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</si>
  <si>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</si>
  <si>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</si>
  <si>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</si>
  <si>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</si>
  <si>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</si>
  <si>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</si>
  <si>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</si>
  <si>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</si>
  <si>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</si>
  <si>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</si>
  <si>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</si>
  <si>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</si>
  <si>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</si>
  <si>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</si>
  <si>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</si>
  <si>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</si>
  <si>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</si>
  <si>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</si>
  <si>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</si>
  <si>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</si>
  <si>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</si>
  <si>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</si>
  <si>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</si>
  <si>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</si>
  <si>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</si>
  <si>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</si>
  <si>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</si>
  <si>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</si>
  <si>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</si>
  <si>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</si>
  <si>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</si>
  <si>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</si>
  <si>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</si>
  <si>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</si>
  <si>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</si>
  <si>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</si>
  <si>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</si>
  <si>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</si>
  <si>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</si>
  <si>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</si>
  <si>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</si>
  <si>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</si>
  <si>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</si>
  <si>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</si>
  <si>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</si>
  <si>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</si>
  <si>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</si>
  <si>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</si>
  <si>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</si>
  <si>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</si>
  <si>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</si>
  <si>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</si>
  <si>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</si>
  <si>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</si>
  <si>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</si>
  <si>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</si>
  <si>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</si>
  <si>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</si>
  <si>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</si>
  <si>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</si>
  <si>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</si>
  <si>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</si>
  <si>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</si>
  <si>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</si>
  <si>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</si>
  <si>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</si>
  <si>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</si>
  <si>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</si>
  <si>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</si>
  <si>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</si>
  <si>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</si>
  <si>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</si>
  <si>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</si>
  <si>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</si>
  <si>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</si>
  <si>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</si>
  <si>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</si>
  <si>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</si>
  <si>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</si>
  <si>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</si>
  <si>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</si>
  <si>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</si>
  <si>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</si>
  <si>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</si>
  <si>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</si>
  <si>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</si>
  <si>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</si>
  <si>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</si>
  <si>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</si>
  <si>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</si>
  <si>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</si>
  <si>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</si>
  <si>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</si>
  <si>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</si>
  <si>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</si>
  <si>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</si>
  <si>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</si>
  <si>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</si>
  <si>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</si>
  <si>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</si>
  <si>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</si>
  <si>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</si>
  <si>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</si>
  <si>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</si>
  <si>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</si>
  <si>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</si>
  <si>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</si>
  <si>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</si>
  <si>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</si>
  <si>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</si>
  <si>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</si>
  <si>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</si>
  <si>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</si>
  <si>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</si>
  <si>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</si>
  <si>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</si>
  <si>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</si>
  <si>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</si>
  <si>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</si>
  <si>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</si>
  <si>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</si>
  <si>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</si>
  <si>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</si>
  <si>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</si>
  <si>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</si>
  <si>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</si>
  <si>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</si>
  <si>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</si>
  <si>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</si>
  <si>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</si>
  <si>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</si>
  <si>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</si>
  <si>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</si>
  <si>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</si>
  <si>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</si>
  <si>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</si>
  <si>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</si>
  <si>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</si>
  <si>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</si>
  <si>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</si>
  <si>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</si>
  <si>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</si>
  <si>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</si>
  <si>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</si>
  <si>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</si>
  <si>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</si>
  <si>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</si>
  <si>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</si>
  <si>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</si>
  <si>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</si>
  <si>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</si>
  <si>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</si>
  <si>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</si>
  <si>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</si>
  <si>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</si>
  <si>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</si>
  <si>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</si>
  <si>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</si>
  <si>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</si>
  <si>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</si>
  <si>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</si>
  <si>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</si>
  <si>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</si>
  <si>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</si>
  <si>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</si>
  <si>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</si>
  <si>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</si>
  <si>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</si>
  <si>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</si>
  <si>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</si>
  <si>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</si>
  <si>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</si>
  <si>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</si>
  <si>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</si>
  <si>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</si>
  <si>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</si>
  <si>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</si>
  <si>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</si>
  <si>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</si>
  <si>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</si>
  <si>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</si>
  <si>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</si>
  <si>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</si>
  <si>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</si>
  <si>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</si>
  <si>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</si>
  <si>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</si>
  <si>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</si>
  <si>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</si>
  <si>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</si>
  <si>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</si>
  <si>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</si>
  <si>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</si>
  <si>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</si>
  <si>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</si>
  <si>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</si>
  <si>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</si>
  <si>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</si>
  <si>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</si>
  <si>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</si>
  <si>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</si>
  <si>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</si>
  <si>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</si>
  <si>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</si>
  <si>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</si>
  <si>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</si>
  <si>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</si>
  <si>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</si>
  <si>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</si>
  <si>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</si>
  <si>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</si>
  <si>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</si>
  <si>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</si>
  <si>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</si>
  <si>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</si>
  <si>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</si>
  <si>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</si>
  <si>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</si>
  <si>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</si>
  <si>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</si>
  <si>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</si>
  <si>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</si>
  <si>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</si>
  <si>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</si>
  <si>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</si>
  <si>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</si>
  <si>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</si>
  <si>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</si>
  <si>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</si>
  <si>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</si>
  <si>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</si>
  <si>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</si>
  <si>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</si>
  <si>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</si>
  <si>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</si>
  <si>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</si>
  <si>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</si>
  <si>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</si>
  <si>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</si>
  <si>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</si>
  <si>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</si>
  <si>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</si>
  <si>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</si>
  <si>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</si>
  <si>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</si>
  <si>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</si>
  <si>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</si>
  <si>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</si>
  <si>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</si>
  <si>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</si>
  <si>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</si>
  <si>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</si>
  <si>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</si>
  <si>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</si>
  <si>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</si>
  <si>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</si>
  <si>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</si>
  <si>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</si>
  <si>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</si>
  <si>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</si>
  <si>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</si>
  <si>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</si>
  <si>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</si>
  <si>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</si>
  <si>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</si>
  <si>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</si>
  <si>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</si>
  <si>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</si>
  <si>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</si>
  <si>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</si>
  <si>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</si>
  <si>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</si>
  <si>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</si>
  <si>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</si>
  <si>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</si>
  <si>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</si>
  <si>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</si>
  <si>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</si>
  <si>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</si>
  <si>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</si>
  <si>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</si>
  <si>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</si>
  <si>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</si>
  <si>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</si>
  <si>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</si>
  <si>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</si>
  <si>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</si>
  <si>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</si>
  <si>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</si>
  <si>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</si>
  <si>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</si>
  <si>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</si>
  <si>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</si>
  <si>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</si>
  <si>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</si>
  <si>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</si>
  <si>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</si>
  <si>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</si>
  <si>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</si>
  <si>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</si>
  <si>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</si>
  <si>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</si>
  <si>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</si>
  <si>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</si>
  <si>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</si>
  <si>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</si>
  <si>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</si>
  <si>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</si>
  <si>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</si>
  <si>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</si>
  <si>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</si>
  <si>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</si>
  <si>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</si>
  <si>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</si>
  <si>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</si>
  <si>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</si>
  <si>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</si>
  <si>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</si>
  <si>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</si>
  <si>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</si>
  <si>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</si>
  <si>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</si>
  <si>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</si>
  <si>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</si>
  <si>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</si>
  <si>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</si>
  <si>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</si>
  <si>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</si>
  <si>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</si>
  <si>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</si>
  <si>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</si>
  <si>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</si>
  <si>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</si>
  <si>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</si>
  <si>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</si>
  <si>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</si>
  <si>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</si>
  <si>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</si>
  <si>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</si>
  <si>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</si>
  <si>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</si>
  <si>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</si>
  <si>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</si>
  <si>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</si>
  <si>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</si>
  <si>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</si>
  <si>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</si>
  <si>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</si>
  <si>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</si>
  <si>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</si>
  <si>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</si>
  <si>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</si>
  <si>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</si>
  <si>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</si>
  <si>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</si>
  <si>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</si>
  <si>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</si>
  <si>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</si>
  <si>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</si>
  <si>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</si>
  <si>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</si>
  <si>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</si>
  <si>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</si>
  <si>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</si>
  <si>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</si>
  <si>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</si>
  <si>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</si>
  <si>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</si>
  <si>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</si>
  <si>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</si>
  <si>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</si>
  <si>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</si>
  <si>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</si>
  <si>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</si>
  <si>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</si>
  <si>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</si>
  <si>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</si>
  <si>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</si>
  <si>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</si>
  <si>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</si>
  <si>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</si>
  <si>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</si>
  <si>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</si>
  <si>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</si>
  <si>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</si>
  <si>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</si>
  <si>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</si>
  <si>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</si>
  <si>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</si>
  <si>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</si>
  <si>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</si>
  <si>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</si>
  <si>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</si>
  <si>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</si>
  <si>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</si>
  <si>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</si>
  <si>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</si>
  <si>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</si>
  <si>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</si>
  <si>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</si>
  <si>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</si>
  <si>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</si>
  <si>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</si>
  <si>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</si>
  <si>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</si>
  <si>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</si>
  <si>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</si>
  <si>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</si>
  <si>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</si>
  <si>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</si>
  <si>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</si>
  <si>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</si>
  <si>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</si>
  <si>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</si>
  <si>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</si>
  <si>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</si>
  <si>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</si>
  <si>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</si>
  <si>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</si>
  <si>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</si>
  <si>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</si>
  <si>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</si>
  <si>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</si>
  <si>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</si>
  <si>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</si>
  <si>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</si>
  <si>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</si>
  <si>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</si>
  <si>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</si>
  <si>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</si>
  <si>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</si>
  <si>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</si>
  <si>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</si>
  <si>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</si>
  <si>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</si>
  <si>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</si>
  <si>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</si>
  <si>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</si>
  <si>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</si>
  <si>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</si>
  <si>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</si>
  <si>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</si>
  <si>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</si>
  <si>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</si>
  <si>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</si>
  <si>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</si>
  <si>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</si>
  <si>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</si>
  <si>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</si>
  <si>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</si>
  <si>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</si>
  <si>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</si>
  <si>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</si>
  <si>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</si>
  <si>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</si>
  <si>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</si>
  <si>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</si>
  <si>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</si>
  <si>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</si>
  <si>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</si>
  <si>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</si>
  <si>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</si>
  <si>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</si>
  <si>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</si>
  <si>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</si>
  <si>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</si>
  <si>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</si>
  <si>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</si>
  <si>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</si>
  <si>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</si>
  <si>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</si>
  <si>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</si>
  <si>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</si>
  <si>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</si>
  <si>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</si>
  <si>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</si>
  <si>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</si>
  <si>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</si>
  <si>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</si>
  <si>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</si>
  <si>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</si>
  <si>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</si>
  <si>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</si>
  <si>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</si>
  <si>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</si>
  <si>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</si>
  <si>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</si>
  <si>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</si>
  <si>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</si>
  <si>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</si>
  <si>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</si>
  <si>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</si>
  <si>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</si>
  <si>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</si>
  <si>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</si>
  <si>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</si>
  <si>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</si>
  <si>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</si>
  <si>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</si>
  <si>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</si>
  <si>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</si>
  <si>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</si>
  <si>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</si>
  <si>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</si>
  <si>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</si>
  <si>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</si>
  <si>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</si>
  <si>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</si>
  <si>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</si>
  <si>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</si>
  <si>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</si>
  <si>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</si>
  <si>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</si>
  <si>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</si>
  <si>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</si>
  <si>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</si>
  <si>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</si>
  <si>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</si>
  <si>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</si>
  <si>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</si>
  <si>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</si>
  <si>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</si>
  <si>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</si>
  <si>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</si>
  <si>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</si>
  <si>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</si>
  <si>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</si>
  <si>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</si>
  <si>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</si>
  <si>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</si>
  <si>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</si>
  <si>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</si>
  <si>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</si>
  <si>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</si>
  <si>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</si>
  <si>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</si>
  <si>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</si>
  <si>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</si>
  <si>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</si>
  <si>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</si>
  <si>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</si>
  <si>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</si>
  <si>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</si>
  <si>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</si>
  <si>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</si>
  <si>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</si>
  <si>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</si>
  <si>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</si>
  <si>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</si>
  <si>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</si>
  <si>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</si>
  <si>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</si>
  <si>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</si>
  <si>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</si>
  <si>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</si>
  <si>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</si>
  <si>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</si>
  <si>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</si>
  <si>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</si>
  <si>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</si>
  <si>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</si>
  <si>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</si>
  <si>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</si>
  <si>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</si>
  <si>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</si>
  <si>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</si>
  <si>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</si>
  <si>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</si>
  <si>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</si>
  <si>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</si>
  <si>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</si>
  <si>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</si>
  <si>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</si>
  <si>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</si>
  <si>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</si>
  <si>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</si>
  <si>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</si>
  <si>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</si>
  <si>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</si>
  <si>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</si>
  <si>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</si>
  <si>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</si>
  <si>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</si>
  <si>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</si>
  <si>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</si>
  <si>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</si>
  <si>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</si>
  <si>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</si>
  <si>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</si>
  <si>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</si>
  <si>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</si>
  <si>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</si>
  <si>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</si>
  <si>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</si>
  <si>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</si>
  <si>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</si>
  <si>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</si>
  <si>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</si>
  <si>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</si>
  <si>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</si>
  <si>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</si>
  <si>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</si>
  <si>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</si>
  <si>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</si>
  <si>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</si>
  <si>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</si>
  <si>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</si>
  <si>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</si>
  <si>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</si>
  <si>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</si>
  <si>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</si>
  <si>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</si>
  <si>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</si>
  <si>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</si>
  <si>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</si>
  <si>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</si>
  <si>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</si>
  <si>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</si>
  <si>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</si>
  <si>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</si>
  <si>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</si>
  <si>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</si>
  <si>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</si>
  <si>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</si>
  <si>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</si>
  <si>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</si>
  <si>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</si>
  <si>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</si>
  <si>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</si>
  <si>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</si>
  <si>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</si>
  <si>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</si>
  <si>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</si>
  <si>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</si>
  <si>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</si>
  <si>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</si>
  <si>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</si>
  <si>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</si>
  <si>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</si>
  <si>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</si>
  <si>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</si>
  <si>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</si>
  <si>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</si>
  <si>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</si>
  <si>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</si>
  <si>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</si>
  <si>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</si>
  <si>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</si>
  <si>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</si>
  <si>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</si>
  <si>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</si>
  <si>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</si>
  <si>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</si>
  <si>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</si>
  <si>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</si>
  <si>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</si>
  <si>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</si>
  <si>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</si>
  <si>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</si>
  <si>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</si>
  <si>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</si>
  <si>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</si>
  <si>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</si>
  <si>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</si>
  <si>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</si>
  <si>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</si>
  <si>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</si>
  <si>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</si>
  <si>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</si>
  <si>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</si>
  <si>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</si>
  <si>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</si>
  <si>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</si>
  <si>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</si>
  <si>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</si>
  <si>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</si>
  <si>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</si>
  <si>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</si>
  <si>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</si>
  <si>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</si>
  <si>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</si>
  <si>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</si>
  <si>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</si>
  <si>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</si>
  <si>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</si>
  <si>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</si>
  <si>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</si>
  <si>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</si>
  <si>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</si>
  <si>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</si>
  <si>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</si>
  <si>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</si>
  <si>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</si>
  <si>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</si>
  <si>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</si>
  <si>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</si>
  <si>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</si>
  <si>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</si>
  <si>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</si>
  <si>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</si>
  <si>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</si>
  <si>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</si>
  <si>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</si>
  <si>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</si>
  <si>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</si>
  <si>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</si>
  <si>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</si>
  <si>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</si>
  <si>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</si>
  <si>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</si>
  <si>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</si>
  <si>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</si>
  <si>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</si>
  <si>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</si>
  <si>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</si>
  <si>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</si>
  <si>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</si>
  <si>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</si>
  <si>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</si>
  <si>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</si>
  <si>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</si>
  <si>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</si>
  <si>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</si>
  <si>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</si>
  <si>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</si>
  <si>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</si>
  <si>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</si>
  <si>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</si>
  <si>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</si>
  <si>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</si>
  <si>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</si>
  <si>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</si>
  <si>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</si>
  <si>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</si>
  <si>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</si>
  <si>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</si>
  <si>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</si>
  <si>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</si>
  <si>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</si>
  <si>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</si>
  <si>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</si>
  <si>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</si>
  <si>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</si>
  <si>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</si>
  <si>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</si>
  <si>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</si>
  <si>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</si>
  <si>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</si>
  <si>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</si>
  <si>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</si>
  <si>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</si>
  <si>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</si>
  <si>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</si>
  <si>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</si>
  <si>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</si>
  <si>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</si>
  <si>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</si>
  <si>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</si>
  <si>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</si>
  <si>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</si>
  <si>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</si>
  <si>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</si>
  <si>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</si>
  <si>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</si>
  <si>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</si>
  <si>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</si>
  <si>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</si>
  <si>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</si>
  <si>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</si>
  <si>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</si>
  <si>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</si>
  <si>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</si>
  <si>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</si>
  <si>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</si>
  <si>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</si>
  <si>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</si>
  <si>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</si>
  <si>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</si>
  <si>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</si>
  <si>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</si>
  <si>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</si>
  <si>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</si>
  <si>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</si>
  <si>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</si>
  <si>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</si>
  <si>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</si>
  <si>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</si>
  <si>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</si>
  <si>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</si>
  <si>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</si>
  <si>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</si>
  <si>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</si>
  <si>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</si>
  <si>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</si>
  <si>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</si>
  <si>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</si>
  <si>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</si>
  <si>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</si>
  <si>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</si>
  <si>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</si>
  <si>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</si>
  <si>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</si>
  <si>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</si>
  <si>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</si>
  <si>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</si>
  <si>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</si>
  <si>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</si>
  <si>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</si>
  <si>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</si>
  <si>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</si>
  <si>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</si>
  <si>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</si>
  <si>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</si>
  <si>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</si>
  <si>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</si>
  <si>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</si>
  <si>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</si>
  <si>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</si>
  <si>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</si>
  <si>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</si>
  <si>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</si>
  <si>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</si>
  <si>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</si>
  <si>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</si>
  <si>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</si>
  <si>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</si>
  <si>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</si>
  <si>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</si>
  <si>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</si>
  <si>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</si>
  <si>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</si>
  <si>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</si>
  <si>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</si>
  <si>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</si>
  <si>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</si>
  <si>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</si>
  <si>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</si>
  <si>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</si>
  <si>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</si>
  <si>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</si>
  <si>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</si>
  <si>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</si>
  <si>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</si>
  <si>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</si>
  <si>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</si>
  <si>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</si>
  <si>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</si>
  <si>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</si>
  <si>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</si>
  <si>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</si>
  <si>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</si>
  <si>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</si>
  <si>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</si>
  <si>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</si>
  <si>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</si>
  <si>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</si>
  <si>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</si>
  <si>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</si>
  <si>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</si>
  <si>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</si>
  <si>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</si>
  <si>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</si>
  <si>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</si>
  <si>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</si>
  <si>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</si>
  <si>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</si>
  <si>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</si>
  <si>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</si>
  <si>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</si>
  <si>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</si>
  <si>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</si>
  <si>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</si>
  <si>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</si>
  <si>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</si>
  <si>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</si>
  <si>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</si>
  <si>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</si>
  <si>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</si>
  <si>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</si>
  <si>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</si>
  <si>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</si>
  <si>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</si>
  <si>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</si>
  <si>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</si>
  <si>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</si>
  <si>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</si>
  <si>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</si>
  <si>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</si>
  <si>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</si>
  <si>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</si>
  <si>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</si>
  <si>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</si>
  <si>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</si>
  <si>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</si>
  <si>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</si>
  <si>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</si>
  <si>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</si>
  <si>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</si>
  <si>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</si>
  <si>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</si>
  <si>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</si>
  <si>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</si>
  <si>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</si>
  <si>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</si>
  <si>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</si>
  <si>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</si>
  <si>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</si>
  <si>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</si>
  <si>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</si>
  <si>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</si>
  <si>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</si>
  <si>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</si>
  <si>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</si>
  <si>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</si>
  <si>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</si>
  <si>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</si>
  <si>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</si>
  <si>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</si>
  <si>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</si>
  <si>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</si>
  <si>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</si>
  <si>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</si>
  <si>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</si>
  <si>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</si>
  <si>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</si>
  <si>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</si>
  <si>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</si>
  <si>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</si>
  <si>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</si>
  <si>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</si>
  <si>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</si>
  <si>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</si>
  <si>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</si>
  <si>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</si>
  <si>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</si>
  <si>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</si>
  <si>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</si>
  <si>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</si>
  <si>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</si>
  <si>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</si>
  <si>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</si>
  <si>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</si>
  <si>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</si>
  <si>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</si>
  <si>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</si>
  <si>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</si>
  <si>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</si>
  <si>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</si>
  <si>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</si>
  <si>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</si>
  <si>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</si>
  <si>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</si>
  <si>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</si>
  <si>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</si>
  <si>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</si>
  <si>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</si>
  <si>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</si>
  <si>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</si>
  <si>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</si>
  <si>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</si>
  <si>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</si>
  <si>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</si>
  <si>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</si>
  <si>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</si>
  <si>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</si>
  <si>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</si>
  <si>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</si>
  <si>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</si>
  <si>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</si>
  <si>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</si>
  <si>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</si>
  <si>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</si>
  <si>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</si>
  <si>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</si>
  <si>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</si>
  <si>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</si>
  <si>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</si>
  <si>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</si>
  <si>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</si>
  <si>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</si>
  <si>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</si>
  <si>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</si>
  <si>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</si>
  <si>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</si>
  <si>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</si>
  <si>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</si>
  <si>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</si>
  <si>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</si>
  <si>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</si>
  <si>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</si>
  <si>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</si>
  <si>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</si>
  <si>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</si>
  <si>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</si>
  <si>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</si>
  <si>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</si>
  <si>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</si>
  <si>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</si>
  <si>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</si>
  <si>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</si>
  <si>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</si>
  <si>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</si>
  <si>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</si>
  <si>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</si>
  <si>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</si>
  <si>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</si>
  <si>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</si>
  <si>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</si>
  <si>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</si>
  <si>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</si>
  <si>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</si>
  <si>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</si>
  <si>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</si>
  <si>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</si>
  <si>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</si>
  <si>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</si>
  <si>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</si>
  <si>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</si>
  <si>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</si>
  <si>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</si>
  <si>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</si>
  <si>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</si>
  <si>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</si>
  <si>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</si>
  <si>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</si>
  <si>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</si>
  <si>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</si>
  <si>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</si>
  <si>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</si>
  <si>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</si>
  <si>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</si>
  <si>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</si>
  <si>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</si>
  <si>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</si>
  <si>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</si>
  <si>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</si>
  <si>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</si>
  <si>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</si>
  <si>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</si>
  <si>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</si>
  <si>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</si>
  <si>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</si>
  <si>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</si>
  <si>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</si>
  <si>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</si>
  <si>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</si>
  <si>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</si>
  <si>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</si>
  <si>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</si>
  <si>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</si>
  <si>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</si>
  <si>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</si>
  <si>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</si>
  <si>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</si>
  <si>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</si>
  <si>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</si>
  <si>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</si>
  <si>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</si>
  <si>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</si>
  <si>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</si>
  <si>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</si>
  <si>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</si>
  <si>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</si>
  <si>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</si>
  <si>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</si>
  <si>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</si>
  <si>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</si>
  <si>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</si>
  <si>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</si>
  <si>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</si>
  <si>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</si>
  <si>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</si>
  <si>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</si>
  <si>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</si>
  <si>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</si>
  <si>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</si>
  <si>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</si>
  <si>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</si>
  <si>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</si>
  <si>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</si>
  <si>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</si>
  <si>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</si>
  <si>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</si>
  <si>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</si>
  <si>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</si>
  <si>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</si>
  <si>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</si>
  <si>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</si>
  <si>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</si>
  <si>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</si>
  <si>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</si>
  <si>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</si>
  <si>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</si>
  <si>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</si>
  <si>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</si>
  <si>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</si>
  <si>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</si>
  <si>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</si>
  <si>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</si>
  <si>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</si>
  <si>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</si>
  <si>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</si>
  <si>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</si>
  <si>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</si>
  <si>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</si>
  <si>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</si>
  <si>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</si>
  <si>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</si>
  <si>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</si>
  <si>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</si>
  <si>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</si>
  <si>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</si>
  <si>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</si>
  <si>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</si>
  <si>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</si>
  <si>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</si>
  <si>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</si>
  <si>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</si>
  <si>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</si>
  <si>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</si>
  <si>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</si>
  <si>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</si>
  <si>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</si>
  <si>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</si>
  <si>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</si>
  <si>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</si>
  <si>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</si>
  <si>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</si>
  <si>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</si>
  <si>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</si>
  <si>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</si>
  <si>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</si>
  <si>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</si>
  <si>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</si>
  <si>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</si>
  <si>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</si>
  <si>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</si>
  <si>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</si>
  <si>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</si>
  <si>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</si>
  <si>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</si>
  <si>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</si>
  <si>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</si>
  <si>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</si>
  <si>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</si>
  <si>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</si>
  <si>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</si>
  <si>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</si>
  <si>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</si>
  <si>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</si>
  <si>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</si>
  <si>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</si>
  <si>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</si>
  <si>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</si>
  <si>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</si>
  <si>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</si>
  <si>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</si>
  <si>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</si>
  <si>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</si>
  <si>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</si>
  <si>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</si>
  <si>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</si>
  <si>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</si>
  <si>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</si>
  <si>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</si>
  <si>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</si>
  <si>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</si>
  <si>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</si>
  <si>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</si>
  <si>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</si>
  <si>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</si>
  <si>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</si>
  <si>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</si>
  <si>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</si>
  <si>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</si>
  <si>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</si>
  <si>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</si>
  <si>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</si>
  <si>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</si>
  <si>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</si>
  <si>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</si>
  <si>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</si>
  <si>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</si>
  <si>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</si>
  <si>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</si>
  <si>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</si>
  <si>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</si>
  <si>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</si>
  <si>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</si>
  <si>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</si>
  <si>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</si>
  <si>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</si>
  <si>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</si>
  <si>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</si>
  <si>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</si>
  <si>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</si>
  <si>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</si>
  <si>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</si>
  <si>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</si>
  <si>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</si>
  <si>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</si>
  <si>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</si>
  <si>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</si>
  <si>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</si>
  <si>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</si>
  <si>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</si>
  <si>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</si>
  <si>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</si>
  <si>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</si>
  <si>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</si>
  <si>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</si>
  <si>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</si>
  <si>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</si>
  <si>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</si>
  <si>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</si>
  <si>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</si>
  <si>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</si>
  <si>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</si>
  <si>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</si>
  <si>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</si>
  <si>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</si>
  <si>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</si>
  <si>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</si>
  <si>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</si>
  <si>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</si>
  <si>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</si>
  <si>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</si>
  <si>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</si>
  <si>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</si>
  <si>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</si>
  <si>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</si>
  <si>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</si>
  <si>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</si>
  <si>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</si>
  <si>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</si>
  <si>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</si>
  <si>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</si>
  <si>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</si>
  <si>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</si>
  <si>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</si>
  <si>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</si>
  <si>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</si>
  <si>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</si>
  <si>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</si>
  <si>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</si>
  <si>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</si>
  <si>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</si>
  <si>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</si>
  <si>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</si>
  <si>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</si>
  <si>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</si>
  <si>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</si>
  <si>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</si>
  <si>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</si>
  <si>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</si>
  <si>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</si>
  <si>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</si>
  <si>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</si>
  <si>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</si>
  <si>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</si>
  <si>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</si>
  <si>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</si>
  <si>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</si>
  <si>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</si>
  <si>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</si>
  <si>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</si>
  <si>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</si>
  <si>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</si>
  <si>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</si>
  <si>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</si>
  <si>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</si>
  <si>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</si>
  <si>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</si>
  <si>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</si>
  <si>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</si>
  <si>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</si>
  <si>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</si>
  <si>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</si>
  <si>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</si>
  <si>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</si>
  <si>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</si>
  <si>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</si>
  <si>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</si>
  <si>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</si>
  <si>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</si>
  <si>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</si>
  <si>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</si>
  <si>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</si>
  <si>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</si>
  <si>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</si>
  <si>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</si>
  <si>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</si>
  <si>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</si>
  <si>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</si>
  <si>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</si>
  <si>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</si>
  <si>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</si>
  <si>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</si>
  <si>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</si>
  <si>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</si>
  <si>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</si>
  <si>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</si>
  <si>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</si>
  <si>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</si>
  <si>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</si>
  <si>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</si>
  <si>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</si>
  <si>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</si>
  <si>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</si>
  <si>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</si>
  <si>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</si>
  <si>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</si>
  <si>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</si>
  <si>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</si>
  <si>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</si>
  <si>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</si>
  <si>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</si>
  <si>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</si>
  <si>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</si>
  <si>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</si>
  <si>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</si>
  <si>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</si>
  <si>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</si>
  <si>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</si>
  <si>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</si>
  <si>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</si>
  <si>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</si>
  <si>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</si>
  <si>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</si>
  <si>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</si>
  <si>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</si>
  <si>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</si>
  <si>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</si>
  <si>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</si>
  <si>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</si>
  <si>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</si>
  <si>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</si>
  <si>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</si>
  <si>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</si>
  <si>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</si>
  <si>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</si>
  <si>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</si>
  <si>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</si>
  <si>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</si>
  <si>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</si>
  <si>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</si>
  <si>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</si>
  <si>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</si>
  <si>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</si>
  <si>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</si>
  <si>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</si>
  <si>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</si>
  <si>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</si>
  <si>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</si>
  <si>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</si>
  <si>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</si>
  <si>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</si>
  <si>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</si>
  <si>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</si>
  <si>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</si>
  <si>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</si>
  <si>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</si>
  <si>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</si>
  <si>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</si>
  <si>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</si>
  <si>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</si>
  <si>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</si>
  <si>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</si>
  <si>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</si>
  <si>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</si>
  <si>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</si>
  <si>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</si>
  <si>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</si>
  <si>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</si>
  <si>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</si>
  <si>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</si>
  <si>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</si>
  <si>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</si>
  <si>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</si>
  <si>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</si>
  <si>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</si>
  <si>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</si>
  <si>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</si>
  <si>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</si>
  <si>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</si>
  <si>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</si>
  <si>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</si>
  <si>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</si>
  <si>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</si>
  <si>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</si>
  <si>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</si>
  <si>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</si>
  <si>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</si>
  <si>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</si>
  <si>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</si>
  <si>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</si>
  <si>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</si>
  <si>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</si>
  <si>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</si>
  <si>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</si>
  <si>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</si>
  <si>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</si>
  <si>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</si>
  <si>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</si>
  <si>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</si>
  <si>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</si>
  <si>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</si>
  <si>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</si>
  <si>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</si>
  <si>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</si>
  <si>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</si>
  <si>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</si>
  <si>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</si>
  <si>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</si>
  <si>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</si>
  <si>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</si>
  <si>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</si>
  <si>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</si>
  <si>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</si>
  <si>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</si>
  <si>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</si>
  <si>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</si>
  <si>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</si>
  <si>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</si>
  <si>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</si>
  <si>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</si>
  <si>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</si>
  <si>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</si>
  <si>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</si>
  <si>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</si>
  <si>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</si>
  <si>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</si>
  <si>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</si>
  <si>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</si>
  <si>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</si>
  <si>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</si>
  <si>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</si>
  <si>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</si>
  <si>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</si>
  <si>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</si>
  <si>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</si>
  <si>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</si>
  <si>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</si>
  <si>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</si>
  <si>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</si>
  <si>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</si>
  <si>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</si>
  <si>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</si>
  <si>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</si>
  <si>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</si>
  <si>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</si>
  <si>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</si>
  <si>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</si>
  <si>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</si>
  <si>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</si>
  <si>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</si>
  <si>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</si>
  <si>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</si>
  <si>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</si>
  <si>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</si>
  <si>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</si>
  <si>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</si>
  <si>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</si>
  <si>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</si>
  <si>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</si>
  <si>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</si>
  <si>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</si>
  <si>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</si>
  <si>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</si>
  <si>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</si>
  <si>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</si>
  <si>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</si>
  <si>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</si>
  <si>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</si>
  <si>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</si>
  <si>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</si>
  <si>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</si>
  <si>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</si>
  <si>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</si>
  <si>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</si>
  <si>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</si>
  <si>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</si>
  <si>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</si>
  <si>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</si>
  <si>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</si>
  <si>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</si>
  <si>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</si>
  <si>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</si>
  <si>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</si>
  <si>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</si>
  <si>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</si>
  <si>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</si>
  <si>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</si>
  <si>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</si>
  <si>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</si>
  <si>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</si>
  <si>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</si>
  <si>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</si>
  <si>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</si>
  <si>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</si>
  <si>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</si>
  <si>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</si>
  <si>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</si>
  <si>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</si>
  <si>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</si>
  <si>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</si>
  <si>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</si>
  <si>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</si>
  <si>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</si>
  <si>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</si>
  <si>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</si>
  <si>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</si>
  <si>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</si>
  <si>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</si>
  <si>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</si>
  <si>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</si>
  <si>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</si>
  <si>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</si>
  <si>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</si>
  <si>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</si>
  <si>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</si>
  <si>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</si>
  <si>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</si>
  <si>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</si>
  <si>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</si>
  <si>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</si>
  <si>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</si>
  <si>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</si>
  <si>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</si>
  <si>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</si>
  <si>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</si>
  <si>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</si>
  <si>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</si>
  <si>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</si>
  <si>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</si>
  <si>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</si>
  <si>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</si>
  <si>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</si>
  <si>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</si>
  <si>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</si>
  <si>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</si>
  <si>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</si>
  <si>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</si>
  <si>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</si>
  <si>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</si>
  <si>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</si>
  <si>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</si>
  <si>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</si>
  <si>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</si>
  <si>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</si>
  <si>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</si>
  <si>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</si>
  <si>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</si>
  <si>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</si>
  <si>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</si>
  <si>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</si>
  <si>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</si>
  <si>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</si>
  <si>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</si>
  <si>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</si>
  <si>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</si>
  <si>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</si>
  <si>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</si>
  <si>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</si>
  <si>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</si>
  <si>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</si>
  <si>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</si>
  <si>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</si>
  <si>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</si>
  <si>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</si>
  <si>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</si>
  <si>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</si>
  <si>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</si>
  <si>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</si>
  <si>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</si>
  <si>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</si>
  <si>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</si>
  <si>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</si>
  <si>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</si>
  <si>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</si>
  <si>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</si>
  <si>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</si>
  <si>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</si>
  <si>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</si>
  <si>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</si>
  <si>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</si>
  <si>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</si>
  <si>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</si>
  <si>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</si>
  <si>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</si>
  <si>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</si>
  <si>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</si>
  <si>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</si>
  <si>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</si>
  <si>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</si>
  <si>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</si>
  <si>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</si>
  <si>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</si>
  <si>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</si>
  <si>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</si>
  <si>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</si>
  <si>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</si>
  <si>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</si>
  <si>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</si>
  <si>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</si>
  <si>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</si>
  <si>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</si>
  <si>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</si>
  <si>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</si>
  <si>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</si>
  <si>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</si>
  <si>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</si>
  <si>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</si>
  <si>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</si>
  <si>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</si>
  <si>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</si>
  <si>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</si>
  <si>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</si>
  <si>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</si>
  <si>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</si>
  <si>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</si>
  <si>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</si>
  <si>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</si>
  <si>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</si>
  <si>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</si>
  <si>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</si>
  <si>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</si>
  <si>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</si>
  <si>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</si>
  <si>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</si>
  <si>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</si>
  <si>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</si>
  <si>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</si>
  <si>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</si>
  <si>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</si>
  <si>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</si>
  <si>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</si>
  <si>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</si>
  <si>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</si>
  <si>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</si>
  <si>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</si>
  <si>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</si>
  <si>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</si>
  <si>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</si>
  <si>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</si>
  <si>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</si>
  <si>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</si>
  <si>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</si>
  <si>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</si>
  <si>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</si>
  <si>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</si>
  <si>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</si>
  <si>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</si>
  <si>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</si>
  <si>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</si>
  <si>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</si>
  <si>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</si>
  <si>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</si>
  <si>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</si>
  <si>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</si>
  <si>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</si>
  <si>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</si>
  <si>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</si>
  <si>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</si>
  <si>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</si>
  <si>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</si>
  <si>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</si>
  <si>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</si>
  <si>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</si>
  <si>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</si>
  <si>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</si>
  <si>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</si>
  <si>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</si>
  <si>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</si>
  <si>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</si>
  <si>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</si>
  <si>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</si>
  <si>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</si>
  <si>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</si>
  <si>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</si>
  <si>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</si>
  <si>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</si>
  <si>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</si>
  <si>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</si>
  <si>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</si>
  <si>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</si>
  <si>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</si>
  <si>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</si>
  <si>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</si>
  <si>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</si>
  <si>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</si>
  <si>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</si>
  <si>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</si>
  <si>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</si>
  <si>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</si>
  <si>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</si>
  <si>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</si>
  <si>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</si>
  <si>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</si>
  <si>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</si>
  <si>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</si>
  <si>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</si>
  <si>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</si>
  <si>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</si>
  <si>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</si>
  <si>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</si>
  <si>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</si>
  <si>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</si>
  <si>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</si>
  <si>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</si>
  <si>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</si>
  <si>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</si>
  <si>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</si>
  <si>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</si>
  <si>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</si>
  <si>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</si>
  <si>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</si>
  <si>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</si>
  <si>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</si>
  <si>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</si>
  <si>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</si>
  <si>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</si>
  <si>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</si>
  <si>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</si>
  <si>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</si>
  <si>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</si>
  <si>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</si>
  <si>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</si>
  <si>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</si>
  <si>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</si>
  <si>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</si>
  <si>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</si>
  <si>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</si>
  <si>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</si>
  <si>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</si>
  <si>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</si>
  <si>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</si>
  <si>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</si>
  <si>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</si>
  <si>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</si>
  <si>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</si>
  <si>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</si>
  <si>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</si>
  <si>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</si>
  <si>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</si>
  <si>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</si>
  <si>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</si>
  <si>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</si>
  <si>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</si>
  <si>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</si>
  <si>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</si>
  <si>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</si>
  <si>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</si>
  <si>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</si>
  <si>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</si>
  <si>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</si>
  <si>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</si>
  <si>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</si>
  <si>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</si>
  <si>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</si>
  <si>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</si>
  <si>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</si>
  <si>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</si>
  <si>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</si>
  <si>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</si>
  <si>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</si>
  <si>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</si>
  <si>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</si>
  <si>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</si>
  <si>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</si>
  <si>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</si>
  <si>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</si>
  <si>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</si>
  <si>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</si>
  <si>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</si>
  <si>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</si>
  <si>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</si>
  <si>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</si>
  <si>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</si>
  <si>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</si>
  <si>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</si>
  <si>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</si>
  <si>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</si>
  <si>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</si>
  <si>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</si>
  <si>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</si>
  <si>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</si>
  <si>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</si>
  <si>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</si>
  <si>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</si>
  <si>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</si>
  <si>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</si>
  <si>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</si>
  <si>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</si>
  <si>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</si>
  <si>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</si>
  <si>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</si>
  <si>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</si>
  <si>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</si>
  <si>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</si>
  <si>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</si>
  <si>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</si>
  <si>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</si>
  <si>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</si>
  <si>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</si>
  <si>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</si>
  <si>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</si>
  <si>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</si>
  <si>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</si>
  <si>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</si>
  <si>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</si>
  <si>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</si>
  <si>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</si>
  <si>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</si>
  <si>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</si>
  <si>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</si>
  <si>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</si>
  <si>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</si>
  <si>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</si>
  <si>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</si>
  <si>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</si>
  <si>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</si>
  <si>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</si>
  <si>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</si>
  <si>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</si>
  <si>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</si>
  <si>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</si>
  <si>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</si>
  <si>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</si>
  <si>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</si>
  <si>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</si>
  <si>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</si>
  <si>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</si>
  <si>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</si>
  <si>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</si>
  <si>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</si>
  <si>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</si>
  <si>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</si>
  <si>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</si>
  <si>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</si>
  <si>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</si>
  <si>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</si>
  <si>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</si>
  <si>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</si>
  <si>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</si>
  <si>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</si>
  <si>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</si>
  <si>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</si>
  <si>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</si>
  <si>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</si>
  <si>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</si>
  <si>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</si>
  <si>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</si>
  <si>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</si>
  <si>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</si>
  <si>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</si>
  <si>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</si>
  <si>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</si>
  <si>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</si>
  <si>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</si>
  <si>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</si>
  <si>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</si>
  <si>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</si>
  <si>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</si>
  <si>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</si>
  <si>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</si>
  <si>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</si>
  <si>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</si>
  <si>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</si>
  <si>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</si>
  <si>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</si>
  <si>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</si>
  <si>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</si>
  <si>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</si>
  <si>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</si>
  <si>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</si>
  <si>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</si>
  <si>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</si>
  <si>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</si>
  <si>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</si>
  <si>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</si>
  <si>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</si>
  <si>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</si>
  <si>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</si>
  <si>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</si>
  <si>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</si>
  <si>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</si>
  <si>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</si>
  <si>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</si>
  <si>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</si>
  <si>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</si>
  <si>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</si>
  <si>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</si>
  <si>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</si>
  <si>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</si>
  <si>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</si>
  <si>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</si>
  <si>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</si>
  <si>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</si>
  <si>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</si>
  <si>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</si>
  <si>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</si>
  <si>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</si>
  <si>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</si>
  <si>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</si>
  <si>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</si>
  <si>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</si>
  <si>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</si>
  <si>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</si>
  <si>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</si>
  <si>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</si>
  <si>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</si>
  <si>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</si>
  <si>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</si>
  <si>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</si>
  <si>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</si>
  <si>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</si>
  <si>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</si>
  <si>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</si>
  <si>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</si>
  <si>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</si>
  <si>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</si>
  <si>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</si>
  <si>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</si>
  <si>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</si>
  <si>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</si>
  <si>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</si>
  <si>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</si>
  <si>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</si>
  <si>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</si>
  <si>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</si>
  <si>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</si>
  <si>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</si>
  <si>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</si>
  <si>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</si>
  <si>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</si>
  <si>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</si>
  <si>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</si>
  <si>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</si>
  <si>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</si>
  <si>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</si>
  <si>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</si>
  <si>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</si>
  <si>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</si>
  <si>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</si>
  <si>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</si>
  <si>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</si>
  <si>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</si>
  <si>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</si>
  <si>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</si>
  <si>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</si>
  <si>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</si>
  <si>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</si>
  <si>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</si>
  <si>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</si>
  <si>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</si>
  <si>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</si>
  <si>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</si>
  <si>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</si>
  <si>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</si>
  <si>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</si>
  <si>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</si>
  <si>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</si>
  <si>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</si>
  <si>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</si>
  <si>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</si>
  <si>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</si>
  <si>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</si>
  <si>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</si>
  <si>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</si>
  <si>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</si>
  <si>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</si>
  <si>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</si>
  <si>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</si>
  <si>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</si>
  <si>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</si>
  <si>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</si>
  <si>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</si>
  <si>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</si>
  <si>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</si>
  <si>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</si>
  <si>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</si>
  <si>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</si>
  <si>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</si>
  <si>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</si>
  <si>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</si>
  <si>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</si>
  <si>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</si>
  <si>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</si>
  <si>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</si>
  <si>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</si>
  <si>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</si>
  <si>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</si>
  <si>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</si>
  <si>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</si>
  <si>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</si>
  <si>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</si>
  <si>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</si>
  <si>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</si>
  <si>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</si>
  <si>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</si>
  <si>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</si>
  <si>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</si>
  <si>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</si>
  <si>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</si>
  <si>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</si>
  <si>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</si>
  <si>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</si>
  <si>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</si>
  <si>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</si>
  <si>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</si>
  <si>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</si>
  <si>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</si>
  <si>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</si>
  <si>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</si>
  <si>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</si>
  <si>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</si>
  <si>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</si>
  <si>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</si>
  <si>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</si>
  <si>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</si>
  <si>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</si>
  <si>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</si>
  <si>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</si>
  <si>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</si>
  <si>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</si>
  <si>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</si>
  <si>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</si>
  <si>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</si>
  <si>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</si>
  <si>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</si>
  <si>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</si>
  <si>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</si>
  <si>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</si>
  <si>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</si>
  <si>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</si>
  <si>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</si>
  <si>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</si>
  <si>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</si>
  <si>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</si>
  <si>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</si>
  <si>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</si>
  <si>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</si>
  <si>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</si>
  <si>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</si>
  <si>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</si>
  <si>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</si>
  <si>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</si>
  <si>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</si>
  <si>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</si>
  <si>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</si>
  <si>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</si>
  <si>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</si>
  <si>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</si>
  <si>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</si>
  <si>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</si>
  <si>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</si>
  <si>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</si>
  <si>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</si>
  <si>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</si>
  <si>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</si>
  <si>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</si>
  <si>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</si>
  <si>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</si>
  <si>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</si>
  <si>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</si>
  <si>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</si>
  <si>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</si>
  <si>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</si>
  <si>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</si>
  <si>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</si>
  <si>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</si>
  <si>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</si>
  <si>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</si>
  <si>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</si>
  <si>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</si>
  <si>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</si>
  <si>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</si>
  <si>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</si>
  <si>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</si>
  <si>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</si>
  <si>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</si>
  <si>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</si>
  <si>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</si>
  <si>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</si>
  <si>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</si>
  <si>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</si>
  <si>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</si>
  <si>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</si>
  <si>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</si>
  <si>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</si>
  <si>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</si>
  <si>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</si>
  <si>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</si>
  <si>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</si>
  <si>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</si>
  <si>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</si>
  <si>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</si>
  <si>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</si>
  <si>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</si>
  <si>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</si>
  <si>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</si>
  <si>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</si>
  <si>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</si>
  <si>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</si>
  <si>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</si>
  <si>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</si>
  <si>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</si>
  <si>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</si>
  <si>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</si>
  <si>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</si>
  <si>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</si>
  <si>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</si>
  <si>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</si>
  <si>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</si>
  <si>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</si>
  <si>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</si>
  <si>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</si>
  <si>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</si>
  <si>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</si>
  <si>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</si>
  <si>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</si>
  <si>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</si>
  <si>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</si>
  <si>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</si>
  <si>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</si>
  <si>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</si>
  <si>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</si>
  <si>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</si>
  <si>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</si>
  <si>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</si>
  <si>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</si>
  <si>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</si>
  <si>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</si>
  <si>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</si>
  <si>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</si>
  <si>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</si>
  <si>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</si>
  <si>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</si>
  <si>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</si>
  <si>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</si>
  <si>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</si>
  <si>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</si>
  <si>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</si>
  <si>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</si>
  <si>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</si>
  <si>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</si>
  <si>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</si>
  <si>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</si>
  <si>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</si>
  <si>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</si>
  <si>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</si>
  <si>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</si>
  <si>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</si>
  <si>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</si>
  <si>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</si>
  <si>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</si>
  <si>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</si>
  <si>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</si>
  <si>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</si>
  <si>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</si>
  <si>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</si>
  <si>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</si>
  <si>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</si>
  <si>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</si>
  <si>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</si>
  <si>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</si>
  <si>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</si>
  <si>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</si>
  <si>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</si>
  <si>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</si>
  <si>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</si>
  <si>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</si>
  <si>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</si>
  <si>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</si>
  <si>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</si>
  <si>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</si>
  <si>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</si>
  <si>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</si>
  <si>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</si>
  <si>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</si>
  <si>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</si>
  <si>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</si>
  <si>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</si>
  <si>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</si>
  <si>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</si>
  <si>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</si>
  <si>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</si>
  <si>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</si>
  <si>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</si>
  <si>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</si>
  <si>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</si>
  <si>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</si>
  <si>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</si>
  <si>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</si>
  <si>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</si>
  <si>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</si>
  <si>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</si>
  <si>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</si>
  <si>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</si>
  <si>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</si>
  <si>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</si>
  <si>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</si>
  <si>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</si>
  <si>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</si>
  <si>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</si>
  <si>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</si>
  <si>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</si>
  <si>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</si>
  <si>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</si>
  <si>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</si>
  <si>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</si>
  <si>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</si>
  <si>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</si>
  <si>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</si>
  <si>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</si>
  <si>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</si>
  <si>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</si>
  <si>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</si>
  <si>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</si>
  <si>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</si>
  <si>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</si>
  <si>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</si>
  <si>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</si>
  <si>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</si>
  <si>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</si>
  <si>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</si>
  <si>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</si>
  <si>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</si>
  <si>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</si>
  <si>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</si>
  <si>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</si>
  <si>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</si>
  <si>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</si>
  <si>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</si>
  <si>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</si>
  <si>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</si>
  <si>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</si>
  <si>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</si>
  <si>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</si>
  <si>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</si>
  <si>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</si>
  <si>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</si>
  <si>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</si>
  <si>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</si>
  <si>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</si>
  <si>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</si>
  <si>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</si>
  <si>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</si>
  <si>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</si>
  <si>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</si>
  <si>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</si>
  <si>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</si>
  <si>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</si>
  <si>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</si>
  <si>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</si>
  <si>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</si>
  <si>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</si>
  <si>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</si>
  <si>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</si>
  <si>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</si>
  <si>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</si>
  <si>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</si>
  <si>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</si>
  <si>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</si>
  <si>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</si>
  <si>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</si>
  <si>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</si>
  <si>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</si>
  <si>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</si>
  <si>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</si>
  <si>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</si>
  <si>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</si>
  <si>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</si>
  <si>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</si>
  <si>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</si>
  <si>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</si>
  <si>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</si>
  <si>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</si>
  <si>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</si>
  <si>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</si>
  <si>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</si>
  <si>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</si>
  <si>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</si>
  <si>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</si>
  <si>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</si>
  <si>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</si>
  <si>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</si>
  <si>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</si>
  <si>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</si>
  <si>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</si>
  <si>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</si>
  <si>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</si>
  <si>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</si>
  <si>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</si>
  <si>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</si>
  <si>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</si>
  <si>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</si>
  <si>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</si>
  <si>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</si>
  <si>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</si>
  <si>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</si>
  <si>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</si>
  <si>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</si>
  <si>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</si>
  <si>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</si>
  <si>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</si>
  <si>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</si>
  <si>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</si>
  <si>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</si>
  <si>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</si>
  <si>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</si>
  <si>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</si>
  <si>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</si>
  <si>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</si>
  <si>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</si>
  <si>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</si>
  <si>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</si>
  <si>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</si>
  <si>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</si>
  <si>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</si>
  <si>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</si>
  <si>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</si>
  <si>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</si>
  <si>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</si>
  <si>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</si>
  <si>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</si>
  <si>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</si>
  <si>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</si>
  <si>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</si>
  <si>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</si>
  <si>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</si>
  <si>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</si>
  <si>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</si>
  <si>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</si>
  <si>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</si>
  <si>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</si>
  <si>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</si>
  <si>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</si>
  <si>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</si>
  <si>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</si>
  <si>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</si>
  <si>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</si>
  <si>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</si>
  <si>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</si>
  <si>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</si>
  <si>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</si>
  <si>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</si>
  <si>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</si>
  <si>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</si>
  <si>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</si>
  <si>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</si>
  <si>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</si>
  <si>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</si>
  <si>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</si>
  <si>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</si>
  <si>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</si>
  <si>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</si>
  <si>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</si>
  <si>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</si>
  <si>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</si>
  <si>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</si>
  <si>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</si>
  <si>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</si>
  <si>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</si>
  <si>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</si>
  <si>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</si>
  <si>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</si>
  <si>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</si>
  <si>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</si>
  <si>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</si>
  <si>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</si>
  <si>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</si>
  <si>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</si>
  <si>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</si>
  <si>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</si>
  <si>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</si>
  <si>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</si>
  <si>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</si>
  <si>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</si>
  <si>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</si>
  <si>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</si>
  <si>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</si>
  <si>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</si>
  <si>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</si>
  <si>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</si>
  <si>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</si>
  <si>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</si>
  <si>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</si>
  <si>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</si>
  <si>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</si>
  <si>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</si>
  <si>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</si>
  <si>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</si>
  <si>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</si>
  <si>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</si>
  <si>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</si>
  <si>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</si>
  <si>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</si>
  <si>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</si>
  <si>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</si>
  <si>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</si>
  <si>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</si>
  <si>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</si>
  <si>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</si>
  <si>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</si>
  <si>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</si>
  <si>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</si>
  <si>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</si>
  <si>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</si>
  <si>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</si>
  <si>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</si>
  <si>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</si>
  <si>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</si>
  <si>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</si>
  <si>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</si>
  <si>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</si>
  <si>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</si>
  <si>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</si>
  <si>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</si>
  <si>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</si>
  <si>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</si>
  <si>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</si>
  <si>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</si>
  <si>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</si>
  <si>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</si>
  <si>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</si>
  <si>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</si>
  <si>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</si>
  <si>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</si>
  <si>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</si>
  <si>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</si>
  <si>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</si>
  <si>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</si>
  <si>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</si>
  <si>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</si>
  <si>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</si>
  <si>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</si>
  <si>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</si>
  <si>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</si>
  <si>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</si>
  <si>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</si>
  <si>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</si>
  <si>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</si>
  <si>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</si>
  <si>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</si>
  <si>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</si>
  <si>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</si>
  <si>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</si>
  <si>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</si>
  <si>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</si>
  <si>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</si>
  <si>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</si>
  <si>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</si>
  <si>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</si>
  <si>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</si>
  <si>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</si>
  <si>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</si>
  <si>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</si>
  <si>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</si>
  <si>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</si>
  <si>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</si>
  <si>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</si>
  <si>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</si>
  <si>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</si>
  <si>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</si>
  <si>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</si>
  <si>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</si>
  <si>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</si>
  <si>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</si>
  <si>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</si>
  <si>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</si>
  <si>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</si>
  <si>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</si>
  <si>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</si>
  <si>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</si>
  <si>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</si>
  <si>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</si>
  <si>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</si>
  <si>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</si>
  <si>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</si>
  <si>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</si>
  <si>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</si>
  <si>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</si>
  <si>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</si>
  <si>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</si>
  <si>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</si>
  <si>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</si>
  <si>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</si>
  <si>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</si>
  <si>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</si>
  <si>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</si>
  <si>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</si>
  <si>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</si>
  <si>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</si>
  <si>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</si>
  <si>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</si>
  <si>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</si>
  <si>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</si>
  <si>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</si>
  <si>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</si>
  <si>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</si>
  <si>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</si>
  <si>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</si>
  <si>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</si>
  <si>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</si>
  <si>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</si>
  <si>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</si>
  <si>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</si>
  <si>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</si>
  <si>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</si>
  <si>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</si>
  <si>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</si>
  <si>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</si>
  <si>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</si>
  <si>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</si>
  <si>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</si>
  <si>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</si>
  <si>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</si>
  <si>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</si>
  <si>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</si>
  <si>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</si>
  <si>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</si>
  <si>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</si>
  <si>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</si>
  <si>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</si>
  <si>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</si>
  <si>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</si>
  <si>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</si>
  <si>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</si>
  <si>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</si>
  <si>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</si>
  <si>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</si>
  <si>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</si>
  <si>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</si>
  <si>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</si>
  <si>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</si>
  <si>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</si>
  <si>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</si>
  <si>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</si>
  <si>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</si>
  <si>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</si>
  <si>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</si>
  <si>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</si>
  <si>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</si>
  <si>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</si>
  <si>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</si>
  <si>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</si>
  <si>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</si>
  <si>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</si>
  <si>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</si>
  <si>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</si>
  <si>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</si>
  <si>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</si>
  <si>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</si>
  <si>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</si>
  <si>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</si>
  <si>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</si>
  <si>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</si>
  <si>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</si>
  <si>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</si>
  <si>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</si>
  <si>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</si>
  <si>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</si>
  <si>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</si>
  <si>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</si>
  <si>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</si>
  <si>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</si>
  <si>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</si>
  <si>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</si>
  <si>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</si>
  <si>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</si>
  <si>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</si>
  <si>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</si>
  <si>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</si>
  <si>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</si>
  <si>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</si>
  <si>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</si>
  <si>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</si>
  <si>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</si>
  <si>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</si>
  <si>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</si>
  <si>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</si>
  <si>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</si>
  <si>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</si>
  <si>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</si>
  <si>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</si>
  <si>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</si>
  <si>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</si>
  <si>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</si>
  <si>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</si>
  <si>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</si>
  <si>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</si>
  <si>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</si>
  <si>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</si>
  <si>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</si>
  <si>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</si>
  <si>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</si>
  <si>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</si>
  <si>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</si>
  <si>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</si>
  <si>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</si>
  <si>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</si>
  <si>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</si>
  <si>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</si>
  <si>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</si>
  <si>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</si>
  <si>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</si>
  <si>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</si>
  <si>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</si>
  <si>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</si>
  <si>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</si>
  <si>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</si>
  <si>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</si>
  <si>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</si>
  <si>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</si>
  <si>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</si>
  <si>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</si>
  <si>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</si>
  <si>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</si>
  <si>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</si>
  <si>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</si>
  <si>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</si>
  <si>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</si>
  <si>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</si>
  <si>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</si>
  <si>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</si>
  <si>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</si>
  <si>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</si>
  <si>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</si>
  <si>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</si>
  <si>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</si>
  <si>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</si>
  <si>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</si>
  <si>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</si>
  <si>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</si>
  <si>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</si>
  <si>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</si>
  <si>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</si>
  <si>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</si>
  <si>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</si>
  <si>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</si>
  <si>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</si>
  <si>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</si>
  <si>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</si>
  <si>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</si>
  <si>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</si>
  <si>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</si>
  <si>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</si>
  <si>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</si>
  <si>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</si>
  <si>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</si>
  <si>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</si>
  <si>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</si>
  <si>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</si>
  <si>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</si>
  <si>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</si>
  <si>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</si>
  <si>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</si>
  <si>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</si>
  <si>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</si>
  <si>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</si>
  <si>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</si>
  <si>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</si>
  <si>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</si>
  <si>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</si>
  <si>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</si>
  <si>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</si>
  <si>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</si>
  <si>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</si>
  <si>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</si>
  <si>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</si>
  <si>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</si>
  <si>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</si>
  <si>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</si>
  <si>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</si>
  <si>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</si>
  <si>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</si>
  <si>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</si>
  <si>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</si>
  <si>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</si>
  <si>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</si>
  <si>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</si>
  <si>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</si>
  <si>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</si>
  <si>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</si>
  <si>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</si>
  <si>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</si>
  <si>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</si>
  <si>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</si>
  <si>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</si>
  <si>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</si>
  <si>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</si>
  <si>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</si>
  <si>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</si>
  <si>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</si>
  <si>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</si>
  <si>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</si>
  <si>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</si>
  <si>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</si>
  <si>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</si>
  <si>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</si>
  <si>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</si>
  <si>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</si>
  <si>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</si>
  <si>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</si>
  <si>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</si>
  <si>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</si>
  <si>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</si>
  <si>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</si>
  <si>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</si>
  <si>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</si>
  <si>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</si>
  <si>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</si>
  <si>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</si>
  <si>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</si>
  <si>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</si>
  <si>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</si>
  <si>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</si>
  <si>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</si>
  <si>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</si>
  <si>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</si>
  <si>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</si>
  <si>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</si>
  <si>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</si>
  <si>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</si>
  <si>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</si>
  <si>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</si>
  <si>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</si>
  <si>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</si>
  <si>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</si>
  <si>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</si>
  <si>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</si>
  <si>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</si>
  <si>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</si>
  <si>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</si>
  <si>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</si>
  <si>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</si>
  <si>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</si>
  <si>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</si>
  <si>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</si>
  <si>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</si>
  <si>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</si>
  <si>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</si>
  <si>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</si>
  <si>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</si>
  <si>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</si>
  <si>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</si>
  <si>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</si>
  <si>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</si>
  <si>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</si>
  <si>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</si>
  <si>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</si>
  <si>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</si>
  <si>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</si>
  <si>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</si>
  <si>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</si>
  <si>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</si>
  <si>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</si>
  <si>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</si>
  <si>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</si>
  <si>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</si>
  <si>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</si>
  <si>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</si>
  <si>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</si>
  <si>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</si>
  <si>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</si>
  <si>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</si>
  <si>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</si>
  <si>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</si>
  <si>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</si>
  <si>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</si>
  <si>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</si>
  <si>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</si>
  <si>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</si>
  <si>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</si>
  <si>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</si>
  <si>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</si>
  <si>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</si>
  <si>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</si>
  <si>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</si>
  <si>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</si>
  <si>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</si>
  <si>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</si>
  <si>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</si>
  <si>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</si>
  <si>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</si>
  <si>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</si>
  <si>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</si>
  <si>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</si>
  <si>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</si>
  <si>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</si>
  <si>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</si>
  <si>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</si>
  <si>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</si>
  <si>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</si>
  <si>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</si>
  <si>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</si>
  <si>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</si>
  <si>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</si>
  <si>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</si>
  <si>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</si>
  <si>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</si>
  <si>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</si>
  <si>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</si>
  <si>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</si>
  <si>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</si>
  <si>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</si>
  <si>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</si>
  <si>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</si>
  <si>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</si>
  <si>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</si>
  <si>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</si>
  <si>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</si>
  <si>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</si>
  <si>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</si>
  <si>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</si>
  <si>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</si>
  <si>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</si>
  <si>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</si>
  <si>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</si>
  <si>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</si>
  <si>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</si>
  <si>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</si>
  <si>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</si>
  <si>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</si>
  <si>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</si>
  <si>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</si>
  <si>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</si>
  <si>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</si>
  <si>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</si>
  <si>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</si>
  <si>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</si>
  <si>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</si>
  <si>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</si>
  <si>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</si>
  <si>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</si>
  <si>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</si>
  <si>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</si>
  <si>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</si>
  <si>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</si>
  <si>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</si>
  <si>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</si>
  <si>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</si>
  <si>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</si>
  <si>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</si>
  <si>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</si>
  <si>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</si>
  <si>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</si>
  <si>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</si>
  <si>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</si>
  <si>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</si>
  <si>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</si>
  <si>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</si>
  <si>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</si>
  <si>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</si>
  <si>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</si>
  <si>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</si>
  <si>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</si>
  <si>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</si>
  <si>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</si>
  <si>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</si>
  <si>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</si>
  <si>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</si>
  <si>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</si>
  <si>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</si>
  <si>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</si>
  <si>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</si>
  <si>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</si>
  <si>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</si>
  <si>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</si>
  <si>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</si>
  <si>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</si>
  <si>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</si>
  <si>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</si>
  <si>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</si>
  <si>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</si>
  <si>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</si>
  <si>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</si>
  <si>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</si>
  <si>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</si>
  <si>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</si>
  <si>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</si>
  <si>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</si>
  <si>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</si>
  <si>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</si>
  <si>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</si>
  <si>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</si>
  <si>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</si>
  <si>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</si>
  <si>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</si>
  <si>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</si>
  <si>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</si>
  <si>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</si>
  <si>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</si>
  <si>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</si>
  <si>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</si>
  <si>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</si>
  <si>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</si>
  <si>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</si>
  <si>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</si>
  <si>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</si>
  <si>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</si>
  <si>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</si>
  <si>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</si>
  <si>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</si>
  <si>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</si>
  <si>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</si>
  <si>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</si>
  <si>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</si>
  <si>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</si>
  <si>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</si>
  <si>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</si>
  <si>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</si>
  <si>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</si>
  <si>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</si>
  <si>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</si>
  <si>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</si>
  <si>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</si>
  <si>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</si>
  <si>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</si>
  <si>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</si>
  <si>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</si>
  <si>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</si>
  <si>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</si>
  <si>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</si>
  <si>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</si>
  <si>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</si>
  <si>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</si>
  <si>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</si>
  <si>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</si>
  <si>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</si>
  <si>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</si>
  <si>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</si>
  <si>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</si>
  <si>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</si>
  <si>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</si>
  <si>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</si>
  <si>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</si>
  <si>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</si>
  <si>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</si>
  <si>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</si>
  <si>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</si>
  <si>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</si>
  <si>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</si>
  <si>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</si>
  <si>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</si>
  <si>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</si>
  <si>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</si>
  <si>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</si>
  <si>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</si>
  <si>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</si>
  <si>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</si>
  <si>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</si>
  <si>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</si>
  <si>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</si>
  <si>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</si>
  <si>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</si>
  <si>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</si>
  <si>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</si>
  <si>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</si>
  <si>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</si>
  <si>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</si>
  <si>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(blank)</t>
  </si>
  <si>
    <t>1000 or less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</si>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</sst>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/>
    <xf numFmtId="0" fontId="3" fillId="0" borderId="0" xfId="0" applyFont="1"/>
    <xf numFmtId="0" fontId="1" fillId="0" borderId="0" xfId="0" applyFont="1" applyAlignment="1">
      <alignment wrapText="1"/>
    </xf>
    <xf numFmtId="165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2-3044-B0C0-9613581B0A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82-3044-B0C0-9613581B0A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82-3044-B0C0-9613581B0A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82-3044-B0C0-9613581B0A9E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78F5-C24C-8EAD-5F68E9175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540464"/>
        <c:axId val="217242896"/>
      </c:barChart>
      <c:catAx>
        <c:axId val="2354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42896"/>
        <c:crosses val="autoZero"/>
        <c:auto val="1"/>
        <c:lblAlgn val="ctr"/>
        <c:lblOffset val="100"/>
        <c:noMultiLvlLbl val="0"/>
      </c:catAx>
      <c:valAx>
        <c:axId val="2172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[Copy_Kickstarter_Challenge.xlsx]Subcategory Statistics!PivotTable7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E947-88E9-C7432307E5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2D-E947-88E9-C7432307E5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62D-E947-88E9-C7432307E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85376"/>
        <c:axId val="19760832"/>
      </c:barChart>
      <c:catAx>
        <c:axId val="5338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0832"/>
        <c:crosses val="autoZero"/>
        <c:auto val="1"/>
        <c:lblAlgn val="ctr"/>
        <c:lblOffset val="100"/>
        <c:noMultiLvlLbl val="0"/>
      </c:catAx>
      <c:valAx>
        <c:axId val="197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D-7040-858E-93AF316AC1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9D-7040-858E-93AF316AC1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9D-7040-858E-93AF316AC1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9D-7040-858E-93AF316A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26416"/>
        <c:axId val="67928960"/>
      </c:lineChart>
      <c:catAx>
        <c:axId val="326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8960"/>
        <c:crosses val="autoZero"/>
        <c:auto val="1"/>
        <c:lblAlgn val="ctr"/>
        <c:lblOffset val="100"/>
        <c:noMultiLvlLbl val="0"/>
      </c:catAx>
      <c:valAx>
        <c:axId val="679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1-0542-AAFF-0EB3EE256E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B-5F4B-8431-8CA2C740C9C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5B-5F4B-8431-8CA2C740C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36944"/>
        <c:axId val="135015904"/>
      </c:lineChart>
      <c:catAx>
        <c:axId val="1245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5904"/>
        <c:crosses val="autoZero"/>
        <c:auto val="1"/>
        <c:lblAlgn val="ctr"/>
        <c:lblOffset val="100"/>
        <c:noMultiLvlLbl val="0"/>
      </c:catAx>
      <c:valAx>
        <c:axId val="1350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498803671640493E-2"/>
          <c:y val="2.015603554142888E-2"/>
          <c:w val="0.75926164788793671"/>
          <c:h val="0.64485097161020011"/>
        </c:manualLayout>
      </c:layou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1000 or less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Sheet1!$B$4:$B$16</c:f>
              <c:numCache>
                <c:formatCode>0.00%</c:formatCode>
                <c:ptCount val="12"/>
                <c:pt idx="0">
                  <c:v>3.0267642385641259E-2</c:v>
                </c:pt>
                <c:pt idx="1">
                  <c:v>9.9235884010668324E-2</c:v>
                </c:pt>
                <c:pt idx="2">
                  <c:v>0.10474133424590093</c:v>
                </c:pt>
                <c:pt idx="3">
                  <c:v>0.10985066762374975</c:v>
                </c:pt>
                <c:pt idx="4">
                  <c:v>0.10985066762374975</c:v>
                </c:pt>
                <c:pt idx="5">
                  <c:v>0.10985066762374975</c:v>
                </c:pt>
                <c:pt idx="6">
                  <c:v>0.10985066762374975</c:v>
                </c:pt>
                <c:pt idx="7">
                  <c:v>0.10985066762374975</c:v>
                </c:pt>
                <c:pt idx="8">
                  <c:v>0.10985066762374975</c:v>
                </c:pt>
                <c:pt idx="9">
                  <c:v>0</c:v>
                </c:pt>
                <c:pt idx="10">
                  <c:v>0.10665113361529102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09E-4F4C-A169-36FFFF707515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1000 or less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Sheet1!$C$4:$C$16</c:f>
              <c:numCache>
                <c:formatCode>0.00%</c:formatCode>
                <c:ptCount val="12"/>
                <c:pt idx="0">
                  <c:v>0.80789473645659837</c:v>
                </c:pt>
                <c:pt idx="1">
                  <c:v>0.91565173342896022</c:v>
                </c:pt>
                <c:pt idx="2">
                  <c:v>0.96751962272339065</c:v>
                </c:pt>
                <c:pt idx="3">
                  <c:v>0.96751962272339065</c:v>
                </c:pt>
                <c:pt idx="4">
                  <c:v>0.96751962272339065</c:v>
                </c:pt>
                <c:pt idx="5">
                  <c:v>0.96751962272339065</c:v>
                </c:pt>
                <c:pt idx="6">
                  <c:v>0.96751962272339065</c:v>
                </c:pt>
                <c:pt idx="7">
                  <c:v>0.96751962272339065</c:v>
                </c:pt>
                <c:pt idx="8">
                  <c:v>0.96751962272339065</c:v>
                </c:pt>
                <c:pt idx="9">
                  <c:v>0.96751962272339065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E09E-4F4C-A169-36FFFF707515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1000 or less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Sheet1!$D$4:$D$16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E09E-4F4C-A169-36FFFF707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37711"/>
        <c:axId val="135739359"/>
      </c:lineChart>
      <c:catAx>
        <c:axId val="13573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39359"/>
        <c:crosses val="autoZero"/>
        <c:auto val="1"/>
        <c:lblAlgn val="ctr"/>
        <c:lblOffset val="100"/>
        <c:noMultiLvlLbl val="0"/>
      </c:catAx>
      <c:valAx>
        <c:axId val="13573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3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774700</xdr:colOff>
      <xdr:row>9</xdr:row>
      <xdr:rowOff>158750</xdr:rowOff>
    </xdr:from>
    <xdr:to>
      <xdr:col>21</xdr:col>
      <xdr:colOff>444500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77F72-BAF4-2444-9718-109D538B1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596900</xdr:colOff>
      <xdr:row>9</xdr:row>
      <xdr:rowOff>0</xdr:rowOff>
    </xdr:from>
    <xdr:to>
      <xdr:col>22</xdr:col>
      <xdr:colOff>800100</xdr:colOff>
      <xdr:row>50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C566B-3A48-2043-B48A-555314784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7</xdr:row>
      <xdr:rowOff>165100</xdr:rowOff>
    </xdr:from>
    <xdr:to>
      <xdr:col>23</xdr:col>
      <xdr:colOff>101600</xdr:colOff>
      <xdr:row>43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753C8-F1CC-E743-8EDD-9E46243F6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177800</xdr:colOff>
      <xdr:row>13</xdr:row>
      <xdr:rowOff>152400</xdr:rowOff>
    </xdr:from>
    <xdr:to>
      <xdr:col>18</xdr:col>
      <xdr:colOff>190500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2E65A-CD06-434E-8E35-96B5EF49F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29</xdr:row>
      <xdr:rowOff>63500</xdr:rowOff>
    </xdr:from>
    <xdr:to>
      <xdr:col>9</xdr:col>
      <xdr:colOff>0</xdr:colOff>
      <xdr:row>47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26704-A0A8-FD42-9F5F-D2E5EC5F1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57.749002662036" createdVersion="7" refreshedVersion="7" minRefreshableVersion="3" recordCount="4116" xr:uid="{483F6C3F-D99C-EA4E-9287-108DC57E9E7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57.767328819442" createdVersion="7" refreshedVersion="7" minRefreshableVersion="3" recordCount="4115" xr:uid="{3336CDA1-A638-7E4B-8BE8-809232BCC08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60.448526157408" createdVersion="7" refreshedVersion="7" minRefreshableVersion="3" recordCount="4115" xr:uid="{48D5A35A-D126-1B4D-BF66-062AB1D55DA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61.450404513889" createdVersion="7" refreshedVersion="7" minRefreshableVersion="3" recordCount="12" xr:uid="{1A63285F-51D0-C046-88F2-8F64772FA5E6}">
  <cacheSource type="worksheet">
    <worksheetSource ref="A1:H13" sheet="Outcomes Based on Goals"/>
  </cacheSource>
  <cacheFields count="8">
    <cacheField name="Goal" numFmtId="0">
      <sharedItems count="12">
        <s v="1000 or less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402"/>
    </cacheField>
    <cacheField name="Number Failed" numFmtId="0">
      <sharedItems containsSemiMixedTypes="0" containsString="0" containsNumber="1" containsInteger="1" minValue="0" maxValue="305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445" count="9">
        <n v="421"/>
        <n v="445"/>
        <n v="103"/>
        <n v="43"/>
        <n v="14"/>
        <n v="8"/>
        <n v="2"/>
        <n v="3"/>
        <n v="0"/>
      </sharedItems>
    </cacheField>
    <cacheField name="Percentage Successful" numFmtId="9">
      <sharedItems containsMixedTypes="1" containsNumber="1" minValue="0.27553444180522563" maxValue="1" count="6">
        <n v="0.27553444180522563"/>
        <n v="0.90337078651685399"/>
        <n v="0.970873786407767"/>
        <n v="0.95348837209302328"/>
        <n v="1"/>
        <s v="N/A"/>
      </sharedItems>
    </cacheField>
    <cacheField name="Percentage Failed" numFmtId="9">
      <sharedItems containsMixedTypes="1" containsNumber="1" minValue="0" maxValue="0.72446555819477432" count="6">
        <n v="0.72446555819477432"/>
        <n v="9.662921348314607E-2"/>
        <n v="2.9126213592233011E-2"/>
        <n v="4.6511627906976744E-2"/>
        <n v="0"/>
        <s v="N/A"/>
      </sharedItems>
    </cacheField>
    <cacheField name="Percentage Canceled" numFmtId="0">
      <sharedItems containsMixedTypes="1" containsNumber="1" containsInteger="1" minValue="0" maxValue="0" count="2">
        <n v="0"/>
        <s v="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16"/>
    <n v="305"/>
    <n v="0"/>
    <x v="0"/>
    <x v="0"/>
    <x v="0"/>
    <x v="0"/>
  </r>
  <r>
    <x v="1"/>
    <n v="402"/>
    <n v="43"/>
    <n v="0"/>
    <x v="1"/>
    <x v="1"/>
    <x v="1"/>
    <x v="0"/>
  </r>
  <r>
    <x v="2"/>
    <n v="100"/>
    <n v="3"/>
    <n v="0"/>
    <x v="2"/>
    <x v="2"/>
    <x v="2"/>
    <x v="0"/>
  </r>
  <r>
    <x v="3"/>
    <n v="41"/>
    <n v="2"/>
    <n v="0"/>
    <x v="3"/>
    <x v="3"/>
    <x v="3"/>
    <x v="0"/>
  </r>
  <r>
    <x v="4"/>
    <n v="14"/>
    <n v="0"/>
    <n v="0"/>
    <x v="4"/>
    <x v="4"/>
    <x v="4"/>
    <x v="0"/>
  </r>
  <r>
    <x v="5"/>
    <n v="8"/>
    <n v="0"/>
    <n v="0"/>
    <x v="5"/>
    <x v="4"/>
    <x v="4"/>
    <x v="0"/>
  </r>
  <r>
    <x v="6"/>
    <n v="2"/>
    <n v="0"/>
    <n v="0"/>
    <x v="6"/>
    <x v="4"/>
    <x v="4"/>
    <x v="0"/>
  </r>
  <r>
    <x v="7"/>
    <n v="3"/>
    <n v="0"/>
    <n v="0"/>
    <x v="7"/>
    <x v="4"/>
    <x v="4"/>
    <x v="0"/>
  </r>
  <r>
    <x v="8"/>
    <n v="2"/>
    <n v="0"/>
    <n v="0"/>
    <x v="6"/>
    <x v="4"/>
    <x v="4"/>
    <x v="0"/>
  </r>
  <r>
    <x v="9"/>
    <n v="2"/>
    <n v="0"/>
    <n v="0"/>
    <x v="6"/>
    <x v="4"/>
    <x v="4"/>
    <x v="0"/>
  </r>
  <r>
    <x v="10"/>
    <n v="0"/>
    <n v="0"/>
    <n v="0"/>
    <x v="8"/>
    <x v="5"/>
    <x v="5"/>
    <x v="1"/>
  </r>
  <r>
    <x v="11"/>
    <n v="0"/>
    <n v="0"/>
    <n v="0"/>
    <x v="8"/>
    <x v="5"/>
    <x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10679-5F01-8448-B056-9A7A92BDE7B8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616E3-613E-C940-9C21-6EBA8F56D6BE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8FFD8-2C5B-6A48-BB7B-37C7C13F9DF0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F5020-CD70-7B43-836F-67194DDC2F77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13629-665F-6548-81D8-A6FCFEBC1E1D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 sortType="ascending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>
      <items count="10">
        <item x="8"/>
        <item x="6"/>
        <item x="7"/>
        <item x="5"/>
        <item x="4"/>
        <item x="3"/>
        <item x="2"/>
        <item x="0"/>
        <item x="1"/>
        <item t="default"/>
      </items>
    </pivotField>
    <pivotField dataField="1" showAll="0">
      <items count="7">
        <item x="0"/>
        <item x="1"/>
        <item x="3"/>
        <item x="2"/>
        <item x="4"/>
        <item x="5"/>
        <item t="default"/>
      </items>
    </pivotField>
    <pivotField dataField="1" showAll="0">
      <items count="7">
        <item x="4"/>
        <item x="2"/>
        <item x="3"/>
        <item x="1"/>
        <item x="0"/>
        <item x="5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showDataAs="percentOfCol" baseField="0" baseItem="0" numFmtId="10"/>
    <dataField name="Sum of Percentage Failed" fld="6" baseField="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Sum of Percentage Canceled" fld="7" baseField="0" baseItem="0"/>
  </dataFields>
  <chartFormats count="3">
    <chartFormat chart="0" format="1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1546-3022-AA47-8F46-077C1C06F73B}">
  <sheetPr codeName="Sheet1"/>
  <dimension ref="A1:G15"/>
  <sheetViews>
    <sheetView workbookViewId="0">
      <selection activeCell="O4" sqref="O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8222</v>
      </c>
      <c r="B1" t="s">
        <v>8364</v>
      </c>
    </row>
    <row r="3" spans="1:7" x14ac:dyDescent="0.2">
      <c r="A3" s="11" t="s">
        <v>8363</v>
      </c>
      <c r="B3" s="11" t="s">
        <v>8360</v>
      </c>
    </row>
    <row r="4" spans="1:7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8417</v>
      </c>
      <c r="G4" t="s">
        <v>8361</v>
      </c>
    </row>
    <row r="5" spans="1:7" x14ac:dyDescent="0.2">
      <c r="A5" s="12" t="s">
        <v>8321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">
      <c r="A7" s="12" t="s">
        <v>8316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">
      <c r="A8" s="12" t="s">
        <v>8346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">
      <c r="A10" s="12" t="s">
        <v>8313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">
      <c r="A11" s="12" t="s">
        <v>8311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">
      <c r="A12" s="12" t="s">
        <v>8308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">
      <c r="A14" s="12" t="s">
        <v>8417</v>
      </c>
      <c r="B14" s="13"/>
      <c r="C14" s="13"/>
      <c r="D14" s="13"/>
      <c r="E14" s="13"/>
      <c r="F14" s="13"/>
      <c r="G14" s="13"/>
    </row>
    <row r="15" spans="1:7" x14ac:dyDescent="0.2">
      <c r="A15" s="12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D2EF-1701-704D-84D6-26575742A7DD}">
  <sheetPr codeName="Sheet2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38D7-C745-544D-B898-0B61ED658A28}">
  <sheetPr codeName="Sheet3"/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31.33203125" bestFit="1" customWidth="1"/>
    <col min="2" max="2" width="57.33203125" bestFit="1" customWidth="1"/>
    <col min="3" max="3" width="5.1640625" style="3" bestFit="1" customWidth="1"/>
    <col min="4" max="4" width="7.1640625" bestFit="1" customWidth="1"/>
    <col min="5" max="5" width="14.5" bestFit="1" customWidth="1"/>
  </cols>
  <sheetData>
    <row r="1" spans="1:6" ht="16" x14ac:dyDescent="0.2">
      <c r="A1" t="s">
        <v>8380</v>
      </c>
      <c r="B1" t="s">
        <v>8381</v>
      </c>
      <c r="C1" s="3" t="s">
        <v>8382</v>
      </c>
      <c r="D1" t="s">
        <v>8383</v>
      </c>
      <c r="E1" t="s">
        <v>8307</v>
      </c>
      <c r="F1" t="s">
        <v>8384</v>
      </c>
    </row>
    <row r="2" spans="1:6" ht="51" x14ac:dyDescent="0.2">
      <c r="A2" s="15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VLOOKUP(A:A,Kickstarter!B:L,11,FALSE)</f>
        <v>39</v>
      </c>
    </row>
    <row r="3" spans="1:6" ht="51" x14ac:dyDescent="0.2">
      <c r="A3" s="15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VLOOKUP(A:A,Kickstarter!B:L,11,FALSE)</f>
        <v>56</v>
      </c>
    </row>
    <row r="4" spans="1:6" ht="51" x14ac:dyDescent="0.2">
      <c r="A4" s="15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VLOOKUP(A:A,Kickstarter!B:L,11,FALSE)</f>
        <v>78</v>
      </c>
    </row>
    <row r="5" spans="1:6" ht="34" x14ac:dyDescent="0.2">
      <c r="A5" s="15" t="s">
        <v>3329</v>
      </c>
      <c r="B5" s="16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VLOOKUP(A:A,Kickstarter!B:L,11,FALSE)</f>
        <v>26</v>
      </c>
    </row>
    <row r="6" spans="1:6" ht="51" x14ac:dyDescent="0.2">
      <c r="A6" s="15" t="s">
        <v>3221</v>
      </c>
      <c r="B6" s="16" t="str">
        <f>B4</f>
        <v>Cutting Off Kate Bush is a one-woman show written &amp; performed by Lucy Benson-Brown, premiering at the Edinburgh Fringe Festival 2014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VLOOKUP(A:A,Kickstarter!B:L,11,FALSE)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2932-F918-8B42-8142-D6F0D9F4E0CD}">
  <sheetPr codeName="Sheet4"/>
  <dimension ref="A1:F18"/>
  <sheetViews>
    <sheetView workbookViewId="0">
      <selection activeCell="G22" sqref="G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70575-B0D0-764A-B44A-250F39721B36}">
  <sheetPr codeName="Sheet5"/>
  <dimension ref="A1:E18"/>
  <sheetViews>
    <sheetView workbookViewId="0">
      <selection activeCell="P10" sqref="P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AEB63-EF45-9C4D-8FFF-EBFA564388F7}">
  <sheetPr codeName="Sheet6"/>
  <dimension ref="A3:D16"/>
  <sheetViews>
    <sheetView workbookViewId="0">
      <selection activeCell="K37" sqref="K37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2.1640625" bestFit="1" customWidth="1"/>
    <col min="6" max="6" width="2.1640625" bestFit="1" customWidth="1"/>
    <col min="7" max="7" width="4.33203125" bestFit="1" customWidth="1"/>
    <col min="8" max="8" width="20.6640625" bestFit="1" customWidth="1"/>
    <col min="9" max="11" width="12.1640625" bestFit="1" customWidth="1"/>
    <col min="12" max="12" width="2.1640625" bestFit="1" customWidth="1"/>
    <col min="13" max="13" width="4.33203125" bestFit="1" customWidth="1"/>
    <col min="14" max="14" width="23.33203125" bestFit="1" customWidth="1"/>
    <col min="15" max="17" width="12.1640625" bestFit="1" customWidth="1"/>
    <col min="18" max="18" width="2.1640625" bestFit="1" customWidth="1"/>
    <col min="19" max="19" width="4.33203125" bestFit="1" customWidth="1"/>
    <col min="20" max="20" width="28.33203125" bestFit="1" customWidth="1"/>
    <col min="21" max="21" width="25" bestFit="1" customWidth="1"/>
    <col min="22" max="22" width="27.6640625" bestFit="1" customWidth="1"/>
    <col min="23" max="25" width="2.1640625" bestFit="1" customWidth="1"/>
    <col min="26" max="27" width="3.1640625" bestFit="1" customWidth="1"/>
    <col min="28" max="30" width="4.1640625" bestFit="1" customWidth="1"/>
    <col min="31" max="31" width="6.33203125" bestFit="1" customWidth="1"/>
    <col min="32" max="32" width="25.6640625" bestFit="1" customWidth="1"/>
    <col min="33" max="33" width="22.5" bestFit="1" customWidth="1"/>
    <col min="34" max="34" width="25" bestFit="1" customWidth="1"/>
    <col min="35" max="35" width="23.1640625" bestFit="1" customWidth="1"/>
    <col min="36" max="36" width="20.5" bestFit="1" customWidth="1"/>
    <col min="37" max="37" width="23.83203125" bestFit="1" customWidth="1"/>
    <col min="38" max="38" width="20.6640625" bestFit="1" customWidth="1"/>
    <col min="39" max="39" width="18.1640625" bestFit="1" customWidth="1"/>
    <col min="40" max="40" width="21.5" bestFit="1" customWidth="1"/>
    <col min="41" max="41" width="24.1640625" bestFit="1" customWidth="1"/>
    <col min="42" max="42" width="21.6640625" bestFit="1" customWidth="1"/>
    <col min="43" max="43" width="24.83203125" bestFit="1" customWidth="1"/>
    <col min="44" max="44" width="20.6640625" bestFit="1" customWidth="1"/>
    <col min="45" max="45" width="18.1640625" bestFit="1" customWidth="1"/>
    <col min="46" max="46" width="21.5" bestFit="1" customWidth="1"/>
    <col min="47" max="47" width="24.1640625" bestFit="1" customWidth="1"/>
    <col min="48" max="48" width="21.6640625" bestFit="1" customWidth="1"/>
    <col min="49" max="49" width="24.83203125" bestFit="1" customWidth="1"/>
    <col min="50" max="50" width="20.6640625" bestFit="1" customWidth="1"/>
    <col min="51" max="51" width="18.1640625" bestFit="1" customWidth="1"/>
    <col min="52" max="52" width="21.5" bestFit="1" customWidth="1"/>
    <col min="53" max="53" width="24.1640625" bestFit="1" customWidth="1"/>
    <col min="54" max="54" width="21.6640625" bestFit="1" customWidth="1"/>
    <col min="55" max="55" width="24.83203125" bestFit="1" customWidth="1"/>
    <col min="56" max="56" width="20.6640625" bestFit="1" customWidth="1"/>
    <col min="57" max="57" width="18.1640625" bestFit="1" customWidth="1"/>
    <col min="58" max="58" width="21.5" bestFit="1" customWidth="1"/>
    <col min="59" max="59" width="26.33203125" bestFit="1" customWidth="1"/>
    <col min="60" max="60" width="23.83203125" bestFit="1" customWidth="1"/>
    <col min="61" max="61" width="27.1640625" bestFit="1" customWidth="1"/>
    <col min="62" max="62" width="25" bestFit="1" customWidth="1"/>
    <col min="63" max="63" width="22.5" bestFit="1" customWidth="1"/>
    <col min="64" max="64" width="25.6640625" bestFit="1" customWidth="1"/>
    <col min="65" max="65" width="20.6640625" bestFit="1" customWidth="1"/>
    <col min="66" max="66" width="18.1640625" bestFit="1" customWidth="1"/>
    <col min="67" max="67" width="21.5" bestFit="1" customWidth="1"/>
    <col min="68" max="68" width="24.1640625" bestFit="1" customWidth="1"/>
    <col min="69" max="69" width="21.6640625" bestFit="1" customWidth="1"/>
    <col min="70" max="70" width="24.83203125" bestFit="1" customWidth="1"/>
    <col min="71" max="71" width="24.1640625" bestFit="1" customWidth="1"/>
    <col min="72" max="72" width="21.6640625" bestFit="1" customWidth="1"/>
    <col min="73" max="73" width="24.83203125" bestFit="1" customWidth="1"/>
    <col min="74" max="74" width="20.6640625" bestFit="1" customWidth="1"/>
    <col min="75" max="75" width="18.1640625" bestFit="1" customWidth="1"/>
    <col min="76" max="76" width="21.5" bestFit="1" customWidth="1"/>
    <col min="77" max="77" width="24.1640625" bestFit="1" customWidth="1"/>
    <col min="78" max="78" width="21.6640625" bestFit="1" customWidth="1"/>
    <col min="79" max="79" width="24.83203125" bestFit="1" customWidth="1"/>
    <col min="80" max="80" width="24.1640625" bestFit="1" customWidth="1"/>
    <col min="81" max="81" width="21.6640625" bestFit="1" customWidth="1"/>
    <col min="82" max="82" width="24.83203125" bestFit="1" customWidth="1"/>
    <col min="83" max="83" width="20.6640625" bestFit="1" customWidth="1"/>
    <col min="84" max="84" width="18.1640625" bestFit="1" customWidth="1"/>
    <col min="85" max="85" width="21.5" bestFit="1" customWidth="1"/>
    <col min="86" max="86" width="26.33203125" bestFit="1" customWidth="1"/>
    <col min="87" max="87" width="23.83203125" bestFit="1" customWidth="1"/>
    <col min="88" max="88" width="27.1640625" bestFit="1" customWidth="1"/>
    <col min="89" max="89" width="26.33203125" bestFit="1" customWidth="1"/>
    <col min="90" max="90" width="23.83203125" bestFit="1" customWidth="1"/>
    <col min="91" max="91" width="27.1640625" bestFit="1" customWidth="1"/>
    <col min="92" max="92" width="25" bestFit="1" customWidth="1"/>
    <col min="93" max="93" width="22.5" bestFit="1" customWidth="1"/>
    <col min="94" max="94" width="25.6640625" bestFit="1" customWidth="1"/>
    <col min="95" max="95" width="24.1640625" bestFit="1" customWidth="1"/>
    <col min="96" max="96" width="21.6640625" bestFit="1" customWidth="1"/>
    <col min="97" max="97" width="24.83203125" bestFit="1" customWidth="1"/>
    <col min="98" max="98" width="20.6640625" bestFit="1" customWidth="1"/>
    <col min="99" max="99" width="18.1640625" bestFit="1" customWidth="1"/>
    <col min="100" max="100" width="21.5" bestFit="1" customWidth="1"/>
    <col min="101" max="101" width="23.1640625" bestFit="1" customWidth="1"/>
    <col min="102" max="102" width="20.5" bestFit="1" customWidth="1"/>
    <col min="103" max="103" width="23.83203125" bestFit="1" customWidth="1"/>
    <col min="104" max="104" width="24.1640625" bestFit="1" customWidth="1"/>
    <col min="105" max="105" width="21.6640625" bestFit="1" customWidth="1"/>
    <col min="106" max="106" width="24.83203125" bestFit="1" customWidth="1"/>
    <col min="107" max="107" width="24.1640625" bestFit="1" customWidth="1"/>
    <col min="108" max="108" width="21.6640625" bestFit="1" customWidth="1"/>
    <col min="109" max="109" width="24.83203125" bestFit="1" customWidth="1"/>
    <col min="110" max="110" width="20.6640625" bestFit="1" customWidth="1"/>
    <col min="111" max="111" width="18.1640625" bestFit="1" customWidth="1"/>
    <col min="112" max="112" width="21.5" bestFit="1" customWidth="1"/>
    <col min="113" max="113" width="26.33203125" bestFit="1" customWidth="1"/>
    <col min="114" max="114" width="23.83203125" bestFit="1" customWidth="1"/>
    <col min="115" max="115" width="27.1640625" bestFit="1" customWidth="1"/>
    <col min="116" max="116" width="26.33203125" bestFit="1" customWidth="1"/>
    <col min="117" max="117" width="23.83203125" bestFit="1" customWidth="1"/>
    <col min="118" max="118" width="27.1640625" bestFit="1" customWidth="1"/>
    <col min="119" max="119" width="26.33203125" bestFit="1" customWidth="1"/>
    <col min="120" max="120" width="23.83203125" bestFit="1" customWidth="1"/>
    <col min="121" max="121" width="27.1640625" bestFit="1" customWidth="1"/>
    <col min="122" max="122" width="25" bestFit="1" customWidth="1"/>
    <col min="123" max="123" width="22.5" bestFit="1" customWidth="1"/>
    <col min="124" max="124" width="25.6640625" bestFit="1" customWidth="1"/>
  </cols>
  <sheetData>
    <row r="3" spans="1:4" x14ac:dyDescent="0.2">
      <c r="A3" s="11" t="s">
        <v>8362</v>
      </c>
      <c r="B3" t="s">
        <v>8419</v>
      </c>
      <c r="C3" t="s">
        <v>8420</v>
      </c>
      <c r="D3" t="s">
        <v>8421</v>
      </c>
    </row>
    <row r="4" spans="1:4" x14ac:dyDescent="0.2">
      <c r="A4" s="12" t="s">
        <v>8418</v>
      </c>
      <c r="B4" s="21">
        <v>3.0267642385641259E-2</v>
      </c>
      <c r="C4" s="21">
        <v>0.80789473645659837</v>
      </c>
      <c r="D4" s="13">
        <v>0</v>
      </c>
    </row>
    <row r="5" spans="1:4" x14ac:dyDescent="0.2">
      <c r="A5" s="12" t="s">
        <v>8406</v>
      </c>
      <c r="B5" s="21">
        <v>9.9235884010668324E-2</v>
      </c>
      <c r="C5" s="21">
        <v>0.91565173342896022</v>
      </c>
      <c r="D5" s="13">
        <v>0</v>
      </c>
    </row>
    <row r="6" spans="1:4" x14ac:dyDescent="0.2">
      <c r="A6" s="12" t="s">
        <v>8408</v>
      </c>
      <c r="B6" s="21">
        <v>0.10474133424590093</v>
      </c>
      <c r="C6" s="21">
        <v>0.96751962272339065</v>
      </c>
      <c r="D6" s="13">
        <v>0</v>
      </c>
    </row>
    <row r="7" spans="1:4" x14ac:dyDescent="0.2">
      <c r="A7" s="12" t="s">
        <v>8409</v>
      </c>
      <c r="B7" s="21">
        <v>0.10985066762374975</v>
      </c>
      <c r="C7" s="21">
        <v>0.96751962272339065</v>
      </c>
      <c r="D7" s="13">
        <v>0</v>
      </c>
    </row>
    <row r="8" spans="1:4" x14ac:dyDescent="0.2">
      <c r="A8" s="12" t="s">
        <v>8410</v>
      </c>
      <c r="B8" s="21">
        <v>0.10985066762374975</v>
      </c>
      <c r="C8" s="21">
        <v>0.96751962272339065</v>
      </c>
      <c r="D8" s="13">
        <v>0</v>
      </c>
    </row>
    <row r="9" spans="1:4" x14ac:dyDescent="0.2">
      <c r="A9" s="12" t="s">
        <v>8411</v>
      </c>
      <c r="B9" s="21">
        <v>0.10985066762374975</v>
      </c>
      <c r="C9" s="21">
        <v>0.96751962272339065</v>
      </c>
      <c r="D9" s="13">
        <v>0</v>
      </c>
    </row>
    <row r="10" spans="1:4" x14ac:dyDescent="0.2">
      <c r="A10" s="12" t="s">
        <v>8412</v>
      </c>
      <c r="B10" s="21">
        <v>0.10985066762374975</v>
      </c>
      <c r="C10" s="21">
        <v>0.96751962272339065</v>
      </c>
      <c r="D10" s="13">
        <v>0</v>
      </c>
    </row>
    <row r="11" spans="1:4" x14ac:dyDescent="0.2">
      <c r="A11" s="12" t="s">
        <v>8413</v>
      </c>
      <c r="B11" s="21">
        <v>0.10985066762374975</v>
      </c>
      <c r="C11" s="21">
        <v>0.96751962272339065</v>
      </c>
      <c r="D11" s="13">
        <v>0</v>
      </c>
    </row>
    <row r="12" spans="1:4" x14ac:dyDescent="0.2">
      <c r="A12" s="12" t="s">
        <v>8414</v>
      </c>
      <c r="B12" s="21">
        <v>0.10985066762374975</v>
      </c>
      <c r="C12" s="21">
        <v>0.96751962272339065</v>
      </c>
      <c r="D12" s="13">
        <v>0</v>
      </c>
    </row>
    <row r="13" spans="1:4" x14ac:dyDescent="0.2">
      <c r="A13" s="12" t="s">
        <v>8415</v>
      </c>
      <c r="B13" s="21">
        <v>0</v>
      </c>
      <c r="C13" s="21">
        <v>0.96751962272339065</v>
      </c>
      <c r="D13" s="13">
        <v>0</v>
      </c>
    </row>
    <row r="14" spans="1:4" x14ac:dyDescent="0.2">
      <c r="A14" s="12" t="s">
        <v>8407</v>
      </c>
      <c r="B14" s="21">
        <v>0.10665113361529102</v>
      </c>
      <c r="C14" s="21">
        <v>1</v>
      </c>
      <c r="D14" s="13">
        <v>0</v>
      </c>
    </row>
    <row r="15" spans="1:4" x14ac:dyDescent="0.2">
      <c r="A15" s="12" t="s">
        <v>8416</v>
      </c>
      <c r="B15" s="21">
        <v>0</v>
      </c>
      <c r="C15" s="21">
        <v>1</v>
      </c>
      <c r="D15" s="13">
        <v>0</v>
      </c>
    </row>
    <row r="16" spans="1:4" x14ac:dyDescent="0.2">
      <c r="A16" s="12" t="s">
        <v>8361</v>
      </c>
      <c r="B16" s="21">
        <v>1</v>
      </c>
      <c r="C16" s="21"/>
      <c r="D16" s="13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C6958-4307-6A40-BC79-8D1CE7BEFD3C}">
  <sheetPr codeName="Sheet7"/>
  <dimension ref="A1:H13"/>
  <sheetViews>
    <sheetView workbookViewId="0">
      <selection activeCell="D5" sqref="D5"/>
    </sheetView>
  </sheetViews>
  <sheetFormatPr baseColWidth="10" defaultRowHeight="15" x14ac:dyDescent="0.2"/>
  <cols>
    <col min="1" max="1" width="13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s="6" t="s">
        <v>8418</v>
      </c>
      <c r="B2">
        <f>COUNTIFS(Kickstarter!$E:$E,"&lt;1000",Kickstarter!F:F,"successful",Kickstarter!R:R,"plays")</f>
        <v>116</v>
      </c>
      <c r="C2">
        <f>COUNTIFS(Kickstarter!$E:$E,"&lt;1000",Kickstarter!F:F,"failed",Kickstarter!R:R,"plays")</f>
        <v>305</v>
      </c>
      <c r="D2">
        <f>COUNTIFS(Kickstarter!$E:$E,"&lt;1000",Kickstarter!F:F,"canceled",Kickstarter!R:R,"plays")</f>
        <v>0</v>
      </c>
      <c r="E2">
        <f>SUM(B2:D2)</f>
        <v>421</v>
      </c>
      <c r="F2" s="20">
        <f>B2/E2</f>
        <v>0.27553444180522563</v>
      </c>
      <c r="G2" s="20">
        <f>C2/E2</f>
        <v>0.72446555819477432</v>
      </c>
      <c r="H2">
        <f>D2/E2</f>
        <v>0</v>
      </c>
    </row>
    <row r="3" spans="1:8" x14ac:dyDescent="0.2">
      <c r="A3" t="s">
        <v>8406</v>
      </c>
      <c r="B3">
        <f>COUNTIFS(Kickstarter!E:E,"&gt;=1000",Kickstarter!E:E,"&lt;=4999",Kickstarter!F:F,"successful",Kickstarter!R:R,"plays")</f>
        <v>402</v>
      </c>
      <c r="C3">
        <f>COUNTIFS(Kickstarter!E:E,"&gt;=1000",Kickstarter!E:E,"&lt;4999",Kickstarter!F:F,"Failed",Kickstarter!R:R,"plays")</f>
        <v>43</v>
      </c>
      <c r="D3">
        <f>COUNTIFS(Kickstarter!E:E,"&gt;=1000",Kickstarter!E:E,"&lt;4999",Kickstarter!F:F,"Canceled",Kickstarter!R:R,"plays")</f>
        <v>0</v>
      </c>
      <c r="E3">
        <f t="shared" ref="E3:E13" si="0">SUM(B3:D3)</f>
        <v>445</v>
      </c>
      <c r="F3" s="20">
        <f t="shared" ref="F3:F11" si="1">B3/E3</f>
        <v>0.90337078651685399</v>
      </c>
      <c r="G3" s="20">
        <f t="shared" ref="G3:G11" si="2">C3/E3</f>
        <v>9.662921348314607E-2</v>
      </c>
      <c r="H3">
        <f t="shared" ref="H3:H11" si="3">D3/E3</f>
        <v>0</v>
      </c>
    </row>
    <row r="4" spans="1:8" x14ac:dyDescent="0.2">
      <c r="A4" t="s">
        <v>8407</v>
      </c>
      <c r="B4">
        <f>COUNTIFS(Kickstarter!$E:$E,"&gt;=5000",Kickstarter!E:E,"&lt;=9999",Kickstarter!F:F,"successful",Kickstarter!R:R,"plays")</f>
        <v>100</v>
      </c>
      <c r="C4">
        <f>COUNTIFS(Kickstarter!$E:$E,"&gt;=5000",Kickstarter!E:E,"&lt;9999",Kickstarter!F:F,"Failed",Kickstarter!R:R,"plays")</f>
        <v>3</v>
      </c>
      <c r="D4">
        <f>COUNTIFS(Kickstarter!$E:$E,"&gt;=5000",Kickstarter!E:E,"&lt;9999",Kickstarter!F:F,"Canceled",Kickstarter!R:R,"plays")</f>
        <v>0</v>
      </c>
      <c r="E4">
        <f t="shared" si="0"/>
        <v>103</v>
      </c>
      <c r="F4" s="20">
        <f t="shared" si="1"/>
        <v>0.970873786407767</v>
      </c>
      <c r="G4" s="20">
        <f t="shared" si="2"/>
        <v>2.9126213592233011E-2</v>
      </c>
      <c r="H4">
        <f t="shared" si="3"/>
        <v>0</v>
      </c>
    </row>
    <row r="5" spans="1:8" x14ac:dyDescent="0.2">
      <c r="A5" t="s">
        <v>8408</v>
      </c>
      <c r="B5">
        <f>COUNTIFS(Kickstarter!$E:$E,"&gt;=10000",Kickstarter!E:E,"&lt;=14999",Kickstarter!F:F,"successful",Kickstarter!R:R,"plays")</f>
        <v>41</v>
      </c>
      <c r="C5">
        <f>COUNTIFS(Kickstarter!$E:$E,"&gt;=10000",Kickstarter!E:E,"&lt;14999",Kickstarter!F:F,"failed",Kickstarter!R:R,"plays")</f>
        <v>2</v>
      </c>
      <c r="D5">
        <f>COUNTIFS(Kickstarter!$E:$E,"&gt;=10000",Kickstarter!E:E,"&lt;14999",Kickstarter!F:F,"canceled",Kickstarter!R:R,"plays")</f>
        <v>0</v>
      </c>
      <c r="E5">
        <f t="shared" si="0"/>
        <v>43</v>
      </c>
      <c r="F5" s="20">
        <f t="shared" si="1"/>
        <v>0.95348837209302328</v>
      </c>
      <c r="G5" s="20">
        <f t="shared" si="2"/>
        <v>4.6511627906976744E-2</v>
      </c>
      <c r="H5">
        <f t="shared" si="3"/>
        <v>0</v>
      </c>
    </row>
    <row r="6" spans="1:8" x14ac:dyDescent="0.2">
      <c r="A6" t="s">
        <v>8409</v>
      </c>
      <c r="B6">
        <f>COUNTIFS(Kickstarter!$E:$E,"&gt;=15000",Kickstarter!E:E,"&lt;=19999",Kickstarter!F:F,"successful",Kickstarter!R:R,"plays")</f>
        <v>14</v>
      </c>
      <c r="C6">
        <f>COUNTIFS(Kickstarter!$E:$E,"&gt;=15000",Kickstarter!$E:$E,"&lt;19999",Kickstarter!$F:$F,"failed",Kickstarter!$R:$R,"plays")</f>
        <v>0</v>
      </c>
      <c r="D6">
        <f>COUNTIFS(Kickstarter!$E:$E,"&gt;=15000",Kickstarter!E:E,"&lt;=19999",Kickstarter!F:F,"Canceled",Kickstarter!R:R,"plays")</f>
        <v>0</v>
      </c>
      <c r="E6">
        <f t="shared" si="0"/>
        <v>14</v>
      </c>
      <c r="F6" s="20">
        <f t="shared" si="1"/>
        <v>1</v>
      </c>
      <c r="G6" s="20">
        <f t="shared" si="2"/>
        <v>0</v>
      </c>
      <c r="H6">
        <f t="shared" si="3"/>
        <v>0</v>
      </c>
    </row>
    <row r="7" spans="1:8" x14ac:dyDescent="0.2">
      <c r="A7" t="s">
        <v>8410</v>
      </c>
      <c r="B7">
        <f>COUNTIFS(Kickstarter!$E:$E,"&gt;=20000",Kickstarter!E:E,"&lt;=24999",Kickstarter!F:F,"successful",Kickstarter!R:R,"plays")</f>
        <v>8</v>
      </c>
      <c r="C7">
        <f>COUNTIFS(Kickstarter!$E:$E,"&gt;=20000",Kickstarter!E:E,"&lt;=24999",Kickstarter!$F:$F,"Failed",Kickstarter!$R:$R,"plays")</f>
        <v>0</v>
      </c>
      <c r="D7">
        <f>COUNTIFS(Kickstarter!$E:$E,"&gt;=20000",Kickstarter!E:E,"&lt;=24999",Kickstarter!F:F,"Canceled",Kickstarter!R:R,"plays")</f>
        <v>0</v>
      </c>
      <c r="E7">
        <f t="shared" si="0"/>
        <v>8</v>
      </c>
      <c r="F7" s="20">
        <f t="shared" si="1"/>
        <v>1</v>
      </c>
      <c r="G7" s="20">
        <f t="shared" si="2"/>
        <v>0</v>
      </c>
      <c r="H7">
        <f t="shared" si="3"/>
        <v>0</v>
      </c>
    </row>
    <row r="8" spans="1:8" x14ac:dyDescent="0.2">
      <c r="A8" t="s">
        <v>8411</v>
      </c>
      <c r="B8">
        <f>COUNTIFS(Kickstarter!$E:$E,"&gt;=25000",Kickstarter!E:E,"&lt;=29999",Kickstarter!F:F,"successful",Kickstarter!R:R,"plays")</f>
        <v>2</v>
      </c>
      <c r="C8">
        <f>COUNTIFS(Kickstarter!$E:$E,"&gt;=25000",Kickstarter!E:E,"&lt;=29999",Kickstarter!F:F,"Failed",Kickstarter!R:R,"plays")</f>
        <v>0</v>
      </c>
      <c r="D8">
        <f>COUNTIFS(Kickstarter!$E:$E,"&gt;=25000",Kickstarter!E:E,"&lt;=29999",Kickstarter!F:F,"Canceled",Kickstarter!R:R,"plays")</f>
        <v>0</v>
      </c>
      <c r="E8">
        <f t="shared" si="0"/>
        <v>2</v>
      </c>
      <c r="F8" s="20">
        <f t="shared" si="1"/>
        <v>1</v>
      </c>
      <c r="G8" s="20">
        <f t="shared" si="2"/>
        <v>0</v>
      </c>
      <c r="H8">
        <f t="shared" si="3"/>
        <v>0</v>
      </c>
    </row>
    <row r="9" spans="1:8" x14ac:dyDescent="0.2">
      <c r="A9" t="s">
        <v>8412</v>
      </c>
      <c r="B9">
        <f>COUNTIFS(Kickstarter!$E:$E,"&gt;=30000",Kickstarter!E:E,"&lt;=34999",Kickstarter!F:F,"successful",Kickstarter!R:R,"plays")</f>
        <v>3</v>
      </c>
      <c r="C9">
        <f>COUNTIFS(Kickstarter!$E:$E,"&gt;=30000",Kickstarter!E:E,"&lt;=34999",Kickstarter!F:F,"Failed",Kickstarter!R:R,"plays")</f>
        <v>0</v>
      </c>
      <c r="D9">
        <f>COUNTIFS(Kickstarter!$E:$E,"&gt;=30000",Kickstarter!E:E,"&lt;=34999",Kickstarter!F:F,"canceled",Kickstarter!R:R,"plays")</f>
        <v>0</v>
      </c>
      <c r="E9">
        <f t="shared" si="0"/>
        <v>3</v>
      </c>
      <c r="F9" s="20">
        <f t="shared" si="1"/>
        <v>1</v>
      </c>
      <c r="G9" s="20">
        <f t="shared" si="2"/>
        <v>0</v>
      </c>
      <c r="H9">
        <f t="shared" si="3"/>
        <v>0</v>
      </c>
    </row>
    <row r="10" spans="1:8" x14ac:dyDescent="0.2">
      <c r="A10" t="s">
        <v>8413</v>
      </c>
      <c r="B10">
        <f>COUNTIFS(Kickstarter!$E:$E,"&gt;=35000",Kickstarter!E:E,"&lt;=39999",Kickstarter!F:F,"successful",Kickstarter!R:R,"plays")</f>
        <v>2</v>
      </c>
      <c r="C10">
        <f>COUNTIFS(Kickstarter!$E:$E,"&gt;=35000",Kickstarter!E:E,"&lt;=39999",Kickstarter!F:F,"Failed",Kickstarter!R:R,"plays")</f>
        <v>0</v>
      </c>
      <c r="D10">
        <f>COUNTIFS(Kickstarter!$E:$E,"&gt;=35000",Kickstarter!E:E,"&lt;=39999",Kickstarter!F:F,"Canceled",Kickstarter!R:R,"plays")</f>
        <v>0</v>
      </c>
      <c r="E10">
        <f t="shared" si="0"/>
        <v>2</v>
      </c>
      <c r="F10" s="20">
        <f t="shared" si="1"/>
        <v>1</v>
      </c>
      <c r="G10" s="20">
        <f t="shared" si="2"/>
        <v>0</v>
      </c>
      <c r="H10">
        <f t="shared" si="3"/>
        <v>0</v>
      </c>
    </row>
    <row r="11" spans="1:8" x14ac:dyDescent="0.2">
      <c r="A11" t="s">
        <v>8414</v>
      </c>
      <c r="B11">
        <f>COUNTIFS(Kickstarter!$E:$E,"&gt;=40000",Kickstarter!E:E,"&lt;=44999",Kickstarter!F:F,"successful",Kickstarter!R:R,"plays")</f>
        <v>2</v>
      </c>
      <c r="C11">
        <f>COUNTIFS(Kickstarter!$E:$E,"&gt;=40000",Kickstarter!E:E,"&lt;=44999",Kickstarter!F:F,"Failed",Kickstarter!R:R,"plays")</f>
        <v>0</v>
      </c>
      <c r="D11">
        <f>COUNTIFS(Kickstarter!$E:$E,"&gt;=40000",Kickstarter!E:E,"&lt;=44999",Kickstarter!F:F,"Canceled",Kickstarter!R:R,"plays")</f>
        <v>0</v>
      </c>
      <c r="E11">
        <f t="shared" si="0"/>
        <v>2</v>
      </c>
      <c r="F11" s="20">
        <f t="shared" si="1"/>
        <v>1</v>
      </c>
      <c r="G11" s="20">
        <f t="shared" si="2"/>
        <v>0</v>
      </c>
      <c r="H11">
        <f t="shared" si="3"/>
        <v>0</v>
      </c>
    </row>
    <row r="12" spans="1:8" x14ac:dyDescent="0.2">
      <c r="A12" t="s">
        <v>8415</v>
      </c>
      <c r="B12">
        <f>COUNTIFS(Kickstarter!$E:$E,"&gt;=45000",Kickstarter!E:E,"&lt;=49999",Kickstarter!F:F,"successful",Kickstarter!R:R,"plays")</f>
        <v>0</v>
      </c>
      <c r="C12">
        <f>COUNTIFS(Kickstarter!$E:$E,"&gt;=45000",Kickstarter!E:E,"&lt;=49999",Kickstarter!F:F,"Failed",Kickstarter!R:R,"plays")</f>
        <v>0</v>
      </c>
      <c r="D12">
        <f>COUNTIFS(Kickstarter!$E:$E,"&gt;=45000",Kickstarter!E:E,"&lt;=49999",Kickstarter!F:F,"Canceled",Kickstarter!R:R,"plays")</f>
        <v>0</v>
      </c>
      <c r="E12">
        <f t="shared" si="0"/>
        <v>0</v>
      </c>
      <c r="F12" s="20" t="s">
        <v>7235</v>
      </c>
      <c r="G12" s="20" t="s">
        <v>7235</v>
      </c>
      <c r="H12" s="20" t="s">
        <v>7235</v>
      </c>
    </row>
    <row r="13" spans="1:8" x14ac:dyDescent="0.2">
      <c r="A13" t="s">
        <v>8416</v>
      </c>
      <c r="B13">
        <f>COUNTIFS(Kickstarter!$E:$E,"&gt;=50000",Kickstarter!E:E,"successful",Kickstarter!R:R,"plays")</f>
        <v>0</v>
      </c>
      <c r="C13">
        <f>COUNTIFS(Kickstarter!$E:$E,"&gt;=50000",Kickstarter!E:E,"Failed",Kickstarter!R:R,"plays")</f>
        <v>0</v>
      </c>
      <c r="D13">
        <f>COUNTIFS(Kickstarter!$E:$E,"&gt;=50000",Kickstarter!E:E,"Canceled",Kickstarter!R:R,"plays")</f>
        <v>0</v>
      </c>
      <c r="E13">
        <f t="shared" si="0"/>
        <v>0</v>
      </c>
      <c r="F13" s="20" t="s">
        <v>7235</v>
      </c>
      <c r="G13" s="20" t="s">
        <v>7235</v>
      </c>
      <c r="H13" s="20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5"/>
  <sheetViews>
    <sheetView tabSelected="1" topLeftCell="D1" zoomScale="90" zoomScaleNormal="90" workbookViewId="0">
      <selection activeCell="F1855" sqref="F185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.6640625" bestFit="1" customWidth="1"/>
    <col min="17" max="17" width="21.83203125" bestFit="1" customWidth="1"/>
    <col min="18" max="18" width="15" bestFit="1" customWidth="1"/>
    <col min="19" max="19" width="22.6640625" customWidth="1"/>
    <col min="20" max="20" width="26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1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1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1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1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  <c r="U713">
        <f>YEAR(S713)</f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1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1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1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1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1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1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1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  <c r="U1550">
        <f>YEAR(S1550)</f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1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1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  <c r="U1855">
        <f>YEAR(S1855)</f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1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1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1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1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1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  <c r="U1871">
        <f>YEAR(S1871)</f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1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  <c r="U1914">
        <f>YEAR(S1914)</f>
        <v>2014</v>
      </c>
    </row>
    <row r="1915" spans="1:21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1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1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1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  <c r="U1920">
        <f>YEAR(S1920)</f>
        <v>2015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1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1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  <c r="U2169">
        <f>YEAR(S2169)</f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1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1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1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1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  <c r="U2380">
        <f>YEAR(S2380)</f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1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1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1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  <c r="U2516">
        <f>YEAR(S2516)</f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1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  <c r="U2610">
        <f>YEAR(S2610)</f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1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1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1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1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  <c r="U2622">
        <f>YEAR(S2622)</f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1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1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  <c r="U2680">
        <f>YEAR(S2680)</f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  <c r="U2686">
        <f>YEAR(S2686)</f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1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1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1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  <c r="U2877">
        <f>YEAR(S2877)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1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1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  <c r="U3060">
        <f>YEAR(S3060)</f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1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  <c r="U3090">
        <f>YEAR(S3090)</f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1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  <c r="U3122">
        <f>YEAR(S3122)</f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1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1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  <c r="U3145">
        <f>YEAR(S3145)</f>
        <v>2014</v>
      </c>
    </row>
    <row r="3146" spans="1:21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1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1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1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1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1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  <c r="U3304">
        <f>YEAR(S3304)</f>
        <v>2015</v>
      </c>
    </row>
    <row r="3305" spans="1:21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1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1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1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1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  <c r="U3387">
        <f>YEAR(S3387)</f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1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1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1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1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  <c r="U3429">
        <f>YEAR(S3429)</f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1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1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1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1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1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1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1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1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1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1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  <c r="U3545">
        <f>YEAR(S3545)</f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  <c r="U3547">
        <f>YEAR(S3547)</f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1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1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1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  <c r="U3691">
        <f>YEAR(S3691)</f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1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1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1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  <c r="U4073">
        <f>YEAR(S4073)</f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  <c r="U4075">
        <f>YEAR(S4075)</f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1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1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5">
      <filters>
        <filter val="failed"/>
        <filter val="successful"/>
      </filters>
    </filterColumn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F852-AB6B-E046-8DEA-F8A79B7F9BDD}">
  <sheetPr codeName="Sheet9"/>
  <dimension ref="A1:C14"/>
  <sheetViews>
    <sheetView workbookViewId="0">
      <selection activeCell="B6" sqref="B6"/>
    </sheetView>
  </sheetViews>
  <sheetFormatPr baseColWidth="10" defaultRowHeight="15" x14ac:dyDescent="0.2"/>
  <cols>
    <col min="1" max="1" width="24.1640625" bestFit="1" customWidth="1"/>
    <col min="2" max="3" width="14" bestFit="1" customWidth="1"/>
  </cols>
  <sheetData>
    <row r="1" spans="1:3" x14ac:dyDescent="0.2">
      <c r="B1" t="s">
        <v>8385</v>
      </c>
      <c r="C1" t="s">
        <v>8386</v>
      </c>
    </row>
    <row r="2" spans="1:3" ht="16" x14ac:dyDescent="0.2">
      <c r="A2" t="s">
        <v>8387</v>
      </c>
      <c r="B2" s="17" t="e">
        <f>AVERAGE(#REF!)</f>
        <v>#REF!</v>
      </c>
      <c r="C2" s="17" t="e">
        <f>AVERAGE(#REF!)</f>
        <v>#REF!</v>
      </c>
    </row>
    <row r="3" spans="1:3" ht="16" x14ac:dyDescent="0.2">
      <c r="A3" t="s">
        <v>8388</v>
      </c>
      <c r="B3" s="17" t="e">
        <f>MEDIAN(#REF!)</f>
        <v>#REF!</v>
      </c>
      <c r="C3" s="17" t="e">
        <f>MEDIAN(#REF!)</f>
        <v>#REF!</v>
      </c>
    </row>
    <row r="4" spans="1:3" ht="16" x14ac:dyDescent="0.2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ht="16" x14ac:dyDescent="0.2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ht="16" x14ac:dyDescent="0.2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ht="16" x14ac:dyDescent="0.2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ht="16" x14ac:dyDescent="0.2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ht="16" x14ac:dyDescent="0.2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ht="16" x14ac:dyDescent="0.2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ht="16" x14ac:dyDescent="0.2">
      <c r="A13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Edinburgh Research</vt:lpstr>
      <vt:lpstr>Outcomes Based on Launch Date</vt:lpstr>
      <vt:lpstr>Theater Outcomes by Launch Date</vt:lpstr>
      <vt:lpstr>Sheet1</vt:lpstr>
      <vt:lpstr>Outcomes Based on Goals</vt:lpstr>
      <vt:lpstr>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Adrienne</cp:lastModifiedBy>
  <dcterms:created xsi:type="dcterms:W3CDTF">2017-04-20T15:17:24Z</dcterms:created>
  <dcterms:modified xsi:type="dcterms:W3CDTF">2022-04-10T22:02:26Z</dcterms:modified>
</cp:coreProperties>
</file>