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guren.sharepoint.com/sites/BGWO0057-1xMS5FRTerniumColombia/Shared Documents/02_Input data/"/>
    </mc:Choice>
  </mc:AlternateContent>
  <xr:revisionPtr revIDLastSave="32" documentId="13_ncr:1_{41DF1DAD-90B1-4DD9-B337-C432BBC36894}" xr6:coauthVersionLast="47" xr6:coauthVersionMax="47" xr10:uidLastSave="{107D3CE9-420C-43B3-BF9B-17DE34B9E2FE}"/>
  <bookViews>
    <workbookView xWindow="28680" yWindow="-120" windowWidth="29040" windowHeight="15840" tabRatio="444" xr2:uid="{00000000-000D-0000-FFFF-FFFF00000000}"/>
  </bookViews>
  <sheets>
    <sheet name="MS Definition" sheetId="1" r:id="rId1"/>
    <sheet name="MS" sheetId="19" r:id="rId2"/>
    <sheet name="Langue" sheetId="24" r:id="rId3"/>
    <sheet name="TL_RS_RNG_SIG" sheetId="20" r:id="rId4"/>
  </sheets>
  <externalReferences>
    <externalReference r:id="rId5"/>
  </externalReferences>
  <definedNames>
    <definedName name="_Ks1">#REF!</definedName>
    <definedName name="_Ks2">#REF!</definedName>
    <definedName name="a">#REF!</definedName>
    <definedName name="a_1">#REF!</definedName>
    <definedName name="Alpha">#REF!</definedName>
    <definedName name="Apist">#REF!</definedName>
    <definedName name="B">#REF!</definedName>
    <definedName name="B_1">#REF!</definedName>
    <definedName name="B_2">#REF!</definedName>
    <definedName name="B_3">#REF!</definedName>
    <definedName name="bdeux">#REF!</definedName>
    <definedName name="c0">#REF!</definedName>
    <definedName name="Cfam">#REF!</definedName>
    <definedName name="Cfav">#REF!</definedName>
    <definedName name="cfrotvis">#REF!</definedName>
    <definedName name="Cgv" localSheetId="2">Langue!#REF!</definedName>
    <definedName name="Cgv">'MS Definition'!$C$29</definedName>
    <definedName name="ch">#REF!</definedName>
    <definedName name="charge" localSheetId="2">#REF!</definedName>
    <definedName name="charge">#REF!</definedName>
    <definedName name="Cm">#REF!</definedName>
    <definedName name="Cms" localSheetId="2">Langue!#REF!</definedName>
    <definedName name="Cms">'MS Definition'!$C$52</definedName>
    <definedName name="Cms_csr" localSheetId="2">Langue!#REF!</definedName>
    <definedName name="Cms_csr">'MS Definition'!$J$38</definedName>
    <definedName name="Cmsm" localSheetId="2">Langue!#REF!</definedName>
    <definedName name="Cmsm">'MS Definition'!#REF!</definedName>
    <definedName name="CN">#REF!</definedName>
    <definedName name="coef_E_bague">#REF!</definedName>
    <definedName name="coefvis">#REF!</definedName>
    <definedName name="couple">#REF!</definedName>
    <definedName name="Cpist_r">#REF!</definedName>
    <definedName name="Cpist1" localSheetId="2">#REF!</definedName>
    <definedName name="Cpist1">#REF!</definedName>
    <definedName name="Cpist2" localSheetId="2">#REF!</definedName>
    <definedName name="Cpist2">#REF!</definedName>
    <definedName name="Cpistmax" localSheetId="2">Langue!#REF!</definedName>
    <definedName name="Cpistmax">'MS Definition'!$C$54</definedName>
    <definedName name="Cpv" localSheetId="2">Langue!#REF!</definedName>
    <definedName name="Cpv">'MS Definition'!$C$26</definedName>
    <definedName name="Crms" localSheetId="2">Langue!#REF!</definedName>
    <definedName name="Crms">'MS Definition'!$C$27</definedName>
    <definedName name="Csr" localSheetId="2">Langue!#REF!</definedName>
    <definedName name="Csr">'MS Definition'!$C$48</definedName>
    <definedName name="Cvmax" localSheetId="2">#REF!</definedName>
    <definedName name="Cvmax">#REF!</definedName>
    <definedName name="Cvmin" localSheetId="2">#REF!</definedName>
    <definedName name="Cvmin">#REF!</definedName>
    <definedName name="d_1">#REF!</definedName>
    <definedName name="d_2">#REF!</definedName>
    <definedName name="d_3">#REF!</definedName>
    <definedName name="D_bague">#REF!</definedName>
    <definedName name="D_cyl">#REF!</definedName>
    <definedName name="D_fui">#REF!</definedName>
    <definedName name="D_trou">#REF!</definedName>
    <definedName name="D_trou1" localSheetId="2">#REF!</definedName>
    <definedName name="D_trou1">#REF!</definedName>
    <definedName name="D_vis">#REF!</definedName>
    <definedName name="da">#REF!</definedName>
    <definedName name="Da_v">#REF!</definedName>
    <definedName name="Dach" localSheetId="2">Langue!#REF!</definedName>
    <definedName name="Dach">'MS Definition'!$C$55</definedName>
    <definedName name="Dajut">#REF!</definedName>
    <definedName name="Dape">#REF!</definedName>
    <definedName name="Dapi">#REF!</definedName>
    <definedName name="Dapvis">#REF!</definedName>
    <definedName name="date" localSheetId="2">Langue!#REF!</definedName>
    <definedName name="date">'MS Definition'!$B$10</definedName>
    <definedName name="Db_1">#REF!</definedName>
    <definedName name="Db_2">#REF!</definedName>
    <definedName name="Db_3">#REF!</definedName>
    <definedName name="dcdcdc">[1]statique!$C$17</definedName>
    <definedName name="De" localSheetId="2">Langue!#REF!</definedName>
    <definedName name="De">'MS Definition'!$C$22</definedName>
    <definedName name="debit">#REF!</definedName>
    <definedName name="Defe">#REF!</definedName>
    <definedName name="defl_1">#REF!</definedName>
    <definedName name="defl_2">#REF!</definedName>
    <definedName name="defl_3">#REF!</definedName>
    <definedName name="deflection">#REF!</definedName>
    <definedName name="Defp">#REF!</definedName>
    <definedName name="delta_H_h">#REF!</definedName>
    <definedName name="deltaH">#REF!</definedName>
    <definedName name="deltaH2">#REF!</definedName>
    <definedName name="deltah3">#REF!</definedName>
    <definedName name="Demax">#REF!</definedName>
    <definedName name="Demin">#REF!</definedName>
    <definedName name="DeN">#REF!</definedName>
    <definedName name="densite">#REF!</definedName>
    <definedName name="df">#REF!</definedName>
    <definedName name="dH_1">#REF!</definedName>
    <definedName name="Dh_2">#REF!</definedName>
    <definedName name="dH_3">#REF!</definedName>
    <definedName name="dh_tot">#REF!</definedName>
    <definedName name="Di">#REF!</definedName>
    <definedName name="di_bague">#REF!</definedName>
    <definedName name="distpal">#REF!</definedName>
    <definedName name="Dpist" localSheetId="2">Langue!#REF!</definedName>
    <definedName name="Dpist">'MS Definition'!$C$46</definedName>
    <definedName name="Dplong" localSheetId="2">Langue!#REF!</definedName>
    <definedName name="Dplong">'MS Definition'!#REF!</definedName>
    <definedName name="Dpmax">#REF!</definedName>
    <definedName name="Dpmin">#REF!</definedName>
    <definedName name="DpN">#REF!</definedName>
    <definedName name="Dress">#REF!</definedName>
    <definedName name="Drmax">#REF!</definedName>
    <definedName name="Drmax_elas_1">#REF!</definedName>
    <definedName name="Drmax_elas_2">#REF!</definedName>
    <definedName name="Drmax_plas_1">#REF!</definedName>
    <definedName name="Drmax_plas_2">#REF!</definedName>
    <definedName name="Drmin">#REF!</definedName>
    <definedName name="DrN">#REF!</definedName>
    <definedName name="Droue" localSheetId="2">Langue!#REF!</definedName>
    <definedName name="Droue">'MS Definition'!$C$44</definedName>
    <definedName name="dtige">#REF!</definedName>
    <definedName name="dun">#REF!</definedName>
    <definedName name="Dvis" localSheetId="2">Langue!#REF!</definedName>
    <definedName name="Dvis">'MS Definition'!$C$45</definedName>
    <definedName name="E">#REF!</definedName>
    <definedName name="E_1">#REF!</definedName>
    <definedName name="E_2">#REF!</definedName>
    <definedName name="E_3">#REF!</definedName>
    <definedName name="E_bague">#REF!</definedName>
    <definedName name="Eff_rep_eq_el">#REF!</definedName>
    <definedName name="Eff_rep_eq_pl">#REF!</definedName>
    <definedName name="Ei_ca">#REF!</definedName>
    <definedName name="Ei_ron">#REF!</definedName>
    <definedName name="ES_ca">#REF!</definedName>
    <definedName name="ES_ron">#REF!</definedName>
    <definedName name="F_1e">#REF!</definedName>
    <definedName name="F_1p">#REF!</definedName>
    <definedName name="F_2e">#REF!</definedName>
    <definedName name="F_2p">#REF!</definedName>
    <definedName name="F_3e">#REF!</definedName>
    <definedName name="F_3p">#REF!</definedName>
    <definedName name="F_4e">#REF!</definedName>
    <definedName name="F_4p">#REF!</definedName>
    <definedName name="F_5e">#REF!</definedName>
    <definedName name="F_5p">#REF!</definedName>
    <definedName name="Fa">#REF!</definedName>
    <definedName name="Faaf">#REF!</definedName>
    <definedName name="Faafpi">#REF!</definedName>
    <definedName name="Fb" localSheetId="2">Langue!#REF!</definedName>
    <definedName name="Fb">'MS Definition'!$C$25</definedName>
    <definedName name="Fc_1">#REF!</definedName>
    <definedName name="Fc_2">#REF!</definedName>
    <definedName name="Fc_3">#REF!</definedName>
    <definedName name="FF_1">#REF!</definedName>
    <definedName name="FF_2">#REF!</definedName>
    <definedName name="FF_3">#REF!</definedName>
    <definedName name="FF_bague">#REF!</definedName>
    <definedName name="FF_trous">#REF!</definedName>
    <definedName name="FF_trous3">#REF!</definedName>
    <definedName name="Fmax">#REF!</definedName>
    <definedName name="Fp" localSheetId="2">#REF!</definedName>
    <definedName name="Fp">#REF!</definedName>
    <definedName name="Fpist" localSheetId="2">Langue!#REF!</definedName>
    <definedName name="Fpist">'MS Definition'!$C$43</definedName>
    <definedName name="Fpm" localSheetId="2">#REF!</definedName>
    <definedName name="Fpm">#REF!</definedName>
    <definedName name="Frad">#REF!</definedName>
    <definedName name="Fradaf">#REF!</definedName>
    <definedName name="Fradroeaf">#REF!</definedName>
    <definedName name="Fradroue">#REF!</definedName>
    <definedName name="Fs">#REF!</definedName>
    <definedName name="Fsaf">#REF!</definedName>
    <definedName name="Ft">#REF!</definedName>
    <definedName name="Ftaf">#REF!</definedName>
    <definedName name="Ftot" localSheetId="2">Langue!#REF!</definedName>
    <definedName name="Ftot">'MS Definition'!$C$20</definedName>
    <definedName name="Fu">#REF!</definedName>
    <definedName name="g" localSheetId="2">Langue!#REF!</definedName>
    <definedName name="g">'MS Definition'!$C$19</definedName>
    <definedName name="H">#REF!</definedName>
    <definedName name="H_1">#REF!</definedName>
    <definedName name="H_2">#REF!</definedName>
    <definedName name="H_3">#REF!</definedName>
    <definedName name="H_bague">#REF!</definedName>
    <definedName name="ha0">#REF!</definedName>
    <definedName name="Hb_1">#REF!</definedName>
    <definedName name="Hb_2">#REF!</definedName>
    <definedName name="Hb_3">#REF!</definedName>
    <definedName name="Hb_tot">#REF!</definedName>
    <definedName name="hf0">#REF!</definedName>
    <definedName name="Hr_1">#REF!</definedName>
    <definedName name="Hr_2">#REF!</definedName>
    <definedName name="Hr_tot">#REF!</definedName>
    <definedName name="Htot">#REF!</definedName>
    <definedName name="im" localSheetId="2">Langue!#REF!</definedName>
    <definedName name="im">'MS Definition'!$C$21</definedName>
    <definedName name="ir" localSheetId="2">Langue!#REF!</definedName>
    <definedName name="ir">'MS Definition'!$C$23</definedName>
    <definedName name="is" localSheetId="2">Langue!#REF!</definedName>
    <definedName name="is">'MS Definition'!$C$47</definedName>
    <definedName name="itm" localSheetId="2">Langue!#REF!</definedName>
    <definedName name="itm">'MS Definition'!$C$24</definedName>
    <definedName name="Jam">#REF!</definedName>
    <definedName name="Jav">#REF!</definedName>
    <definedName name="Jct">#REF!</definedName>
    <definedName name="jeu">#REF!</definedName>
    <definedName name="jeu_dent">#REF!</definedName>
    <definedName name="jeu_pist">#REF!</definedName>
    <definedName name="jeu_po">#REF!</definedName>
    <definedName name="jeu_vc">#REF!</definedName>
    <definedName name="Jms" localSheetId="2">#REF!</definedName>
    <definedName name="Jms">#REF!</definedName>
    <definedName name="Jt">#REF!</definedName>
    <definedName name="K_1">#REF!</definedName>
    <definedName name="K_2">#REF!</definedName>
    <definedName name="Kc">#REF!</definedName>
    <definedName name="Kcor_1">#REF!</definedName>
    <definedName name="Kcor_2">#REF!</definedName>
    <definedName name="Kcor_3">#REF!</definedName>
    <definedName name="Klim" localSheetId="2">Langue!#REF!</definedName>
    <definedName name="Klim">'MS Definition'!$C$59</definedName>
    <definedName name="Kms" localSheetId="2">Langue!#REF!</definedName>
    <definedName name="Kms">'MS Definition'!$C$51</definedName>
    <definedName name="Kmsm" localSheetId="2">Langue!#REF!</definedName>
    <definedName name="Kmsm">'MS Definition'!#REF!</definedName>
    <definedName name="Ks">#REF!</definedName>
    <definedName name="L_m">#REF!</definedName>
    <definedName name="L_obt">#REF!</definedName>
    <definedName name="La">#REF!</definedName>
    <definedName name="Lajut">#REF!</definedName>
    <definedName name="lambda">#REF!</definedName>
    <definedName name="Lamin">#REF!</definedName>
    <definedName name="Lbague">#REF!</definedName>
    <definedName name="Lcentre" localSheetId="2">#REF!</definedName>
    <definedName name="Lcentre">#REF!</definedName>
    <definedName name="Lissage" localSheetId="2">#REF!</definedName>
    <definedName name="Lissage">#REF!</definedName>
    <definedName name="lp">#REF!</definedName>
    <definedName name="Lpist_def">#REF!</definedName>
    <definedName name="Lpist_non_def">#REF!</definedName>
    <definedName name="Lport_pist">#REF!</definedName>
    <definedName name="Lr">#REF!</definedName>
    <definedName name="m">#REF!</definedName>
    <definedName name="Mc" localSheetId="2">Langue!#REF!</definedName>
    <definedName name="Mc">'MS Definition'!$C$16</definedName>
    <definedName name="Mct" localSheetId="2">Langue!#REF!</definedName>
    <definedName name="Mct">'MS Definition'!$C$18</definedName>
    <definedName name="Mt" localSheetId="2">Langue!#REF!</definedName>
    <definedName name="Mt">'MS Definition'!$C$17</definedName>
    <definedName name="mu_bague">#REF!</definedName>
    <definedName name="mu_plaque">#REF!</definedName>
    <definedName name="mu_verin">#REF!</definedName>
    <definedName name="mu_vis">#REF!</definedName>
    <definedName name="n_trous">#REF!</definedName>
    <definedName name="Na">#REF!</definedName>
    <definedName name="Nbap">#REF!</definedName>
    <definedName name="Ø_trous">#REF!</definedName>
    <definedName name="P_1e">#REF!</definedName>
    <definedName name="P_1p">#REF!</definedName>
    <definedName name="P_2e">#REF!</definedName>
    <definedName name="P_2p">#REF!</definedName>
    <definedName name="P_3e">#REF!</definedName>
    <definedName name="P_3p">#REF!</definedName>
    <definedName name="P_rep_elast">#REF!</definedName>
    <definedName name="P_rep_plast">#REF!</definedName>
    <definedName name="P_unif_elast">#REF!</definedName>
    <definedName name="P_unif_plast">#REF!</definedName>
    <definedName name="Pe">#REF!</definedName>
    <definedName name="pene" localSheetId="2">#REF!</definedName>
    <definedName name="pene">#REF!</definedName>
    <definedName name="Pf" localSheetId="2">#REF!</definedName>
    <definedName name="Pf">#REF!</definedName>
    <definedName name="Pfm" localSheetId="2">#REF!</definedName>
    <definedName name="Pfm">#REF!</definedName>
    <definedName name="pfvis">#REF!</definedName>
    <definedName name="Pp">#REF!</definedName>
    <definedName name="Ppis" localSheetId="2">#REF!</definedName>
    <definedName name="Ppis">#REF!</definedName>
    <definedName name="_xlnm.Print_Area" localSheetId="2">Langue!$A$5:$C$65</definedName>
    <definedName name="_xlnm.Print_Area" localSheetId="0">'MS Definition'!$A$1:$H$96</definedName>
    <definedName name="_xlnm.Print_Titles" localSheetId="2">Langue!#REF!</definedName>
    <definedName name="_xlnm.Print_Titles" localSheetId="0">'MS Definition'!$1:$1</definedName>
    <definedName name="projet" localSheetId="2">Langue!#REF!</definedName>
    <definedName name="projet">'MS Definition'!$B$8</definedName>
    <definedName name="Pstat" localSheetId="2">Langue!#REF!</definedName>
    <definedName name="Pstat">'MS Definition'!#REF!</definedName>
    <definedName name="pvis">#REF!</definedName>
    <definedName name="Queltrou">#REF!</definedName>
    <definedName name="Rampe">#REF!</definedName>
    <definedName name="Rayon">#REF!</definedName>
    <definedName name="ref" localSheetId="2">Langue!#REF!</definedName>
    <definedName name="ref">'MS Definition'!$B$9</definedName>
    <definedName name="rendred">#REF!</definedName>
    <definedName name="Rrmin">#REF!</definedName>
    <definedName name="S_1">#REF!</definedName>
    <definedName name="S_2">#REF!</definedName>
    <definedName name="S_3">#REF!</definedName>
    <definedName name="S_bag_cyl" localSheetId="2">#REF!</definedName>
    <definedName name="S_bag_cyl">#REF!</definedName>
    <definedName name="S_bague">#REF!</definedName>
    <definedName name="S_ch">#REF!</definedName>
    <definedName name="S_cyl">#REF!</definedName>
    <definedName name="S_lib">#REF!</definedName>
    <definedName name="S_lib1" localSheetId="2">#REF!</definedName>
    <definedName name="S_lib1">#REF!</definedName>
    <definedName name="S_lib2">#REF!</definedName>
    <definedName name="S_lib3">#REF!</definedName>
    <definedName name="Sappui">#REF!</definedName>
    <definedName name="Sb_1">#REF!</definedName>
    <definedName name="Sb_2">#REF!</definedName>
    <definedName name="Sb_3">#REF!</definedName>
    <definedName name="Sbm">#REF!</definedName>
    <definedName name="Sbm_1">#REF!</definedName>
    <definedName name="Schambre">#REF!</definedName>
    <definedName name="Sfuper">#REF!</definedName>
    <definedName name="Shyd" localSheetId="2">Langue!#REF!</definedName>
    <definedName name="Shyd">'MS Definition'!#REF!</definedName>
    <definedName name="Sig_B1">#REF!</definedName>
    <definedName name="Sig_B2">#REF!</definedName>
    <definedName name="Sig_B3">#REF!</definedName>
    <definedName name="Sigba_admi">#REF!</definedName>
    <definedName name="Sjc">#REF!</definedName>
    <definedName name="Sl_1">#REF!</definedName>
    <definedName name="Sl_2">#REF!</definedName>
    <definedName name="Sl_3">#REF!</definedName>
    <definedName name="Sm">#REF!</definedName>
    <definedName name="Snast">#REF!</definedName>
    <definedName name="Srech">#REF!</definedName>
    <definedName name="St">#REF!</definedName>
    <definedName name="Sth">#REF!</definedName>
    <definedName name="Stig">#REF!</definedName>
    <definedName name="Su_1">#REF!</definedName>
    <definedName name="Su_2" localSheetId="2">#REF!</definedName>
    <definedName name="Su_2">#REF!</definedName>
    <definedName name="Sverin">#REF!</definedName>
    <definedName name="Ts" localSheetId="2">Langue!#REF!</definedName>
    <definedName name="Ts">'MS Definition'!#REF!</definedName>
    <definedName name="V_bague">#REF!</definedName>
    <definedName name="Vb_1">#REF!</definedName>
    <definedName name="Vb_2">#REF!</definedName>
    <definedName name="Vb_3">#REF!</definedName>
    <definedName name="Vc" localSheetId="2">Langue!#REF!</definedName>
    <definedName name="Vc">'MS Definition'!$C$34</definedName>
    <definedName name="visc_dyn">#REF!</definedName>
    <definedName name="Vp">#REF!</definedName>
    <definedName name="Wgv" localSheetId="2">Langue!#REF!</definedName>
    <definedName name="Wgv">'MS Definition'!$C$31</definedName>
    <definedName name="Wgvm">#REF!</definedName>
    <definedName name="Wpv" localSheetId="2">Langue!#REF!</definedName>
    <definedName name="Wpv">'MS Definition'!$C$32</definedName>
    <definedName name="Wr">#REF!</definedName>
    <definedName name="Wrms" localSheetId="2">Langue!#REF!</definedName>
    <definedName name="Wrms">'MS Definition'!$C$33</definedName>
    <definedName name="Wsgv">#REF!</definedName>
    <definedName name="Wv" localSheetId="2">Langue!#REF!</definedName>
    <definedName name="Wv">'MS Definition'!$C$42</definedName>
    <definedName name="zdeux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0" l="1"/>
  <c r="Q6" i="20"/>
  <c r="Q7" i="20"/>
  <c r="Q8" i="20"/>
  <c r="Q9" i="20"/>
  <c r="Q10" i="20"/>
  <c r="Q11" i="20"/>
  <c r="A13" i="20"/>
  <c r="Q12" i="20" s="1"/>
  <c r="R8" i="20"/>
  <c r="R10" i="20"/>
  <c r="R6" i="20" l="1"/>
  <c r="R12" i="20"/>
  <c r="R11" i="20"/>
  <c r="R7" i="20"/>
  <c r="R9" i="20"/>
  <c r="R5" i="20"/>
  <c r="D25" i="19"/>
  <c r="E25" i="19"/>
  <c r="F25" i="19"/>
  <c r="G25" i="19"/>
  <c r="H25" i="19"/>
  <c r="I25" i="19"/>
  <c r="J25" i="19"/>
  <c r="K25" i="19"/>
  <c r="L25" i="19"/>
  <c r="C25" i="19"/>
  <c r="C18" i="1"/>
  <c r="F18" i="1" s="1"/>
  <c r="F17" i="1"/>
  <c r="F16" i="1"/>
  <c r="F51" i="1"/>
  <c r="I4" i="1"/>
  <c r="A40" i="1" s="1"/>
  <c r="L3" i="19"/>
  <c r="L5" i="19"/>
  <c r="L6" i="19"/>
  <c r="L7" i="19"/>
  <c r="D7" i="19"/>
  <c r="E7" i="19"/>
  <c r="F7" i="19"/>
  <c r="G7" i="19"/>
  <c r="H7" i="19"/>
  <c r="I7" i="19"/>
  <c r="J7" i="19"/>
  <c r="K7" i="19"/>
  <c r="C7" i="19"/>
  <c r="E3" i="19"/>
  <c r="F3" i="19"/>
  <c r="G3" i="19"/>
  <c r="H3" i="19"/>
  <c r="I3" i="19"/>
  <c r="J3" i="19"/>
  <c r="K3" i="19"/>
  <c r="D3" i="19"/>
  <c r="J5" i="19"/>
  <c r="I5" i="19"/>
  <c r="H5" i="19"/>
  <c r="G5" i="19"/>
  <c r="F5" i="19"/>
  <c r="E5" i="19"/>
  <c r="D5" i="19"/>
  <c r="C5" i="19"/>
  <c r="K5" i="19"/>
  <c r="L11" i="19"/>
  <c r="L4" i="19" s="1"/>
  <c r="A83" i="1"/>
  <c r="H86" i="1"/>
  <c r="C11" i="19"/>
  <c r="C4" i="19" s="1"/>
  <c r="D11" i="19"/>
  <c r="D4" i="19" s="1"/>
  <c r="E11" i="19"/>
  <c r="D6" i="19" s="1"/>
  <c r="F11" i="19"/>
  <c r="E6" i="19" s="1"/>
  <c r="G11" i="19"/>
  <c r="F6" i="19" s="1"/>
  <c r="H11" i="19"/>
  <c r="G6" i="19"/>
  <c r="I11" i="19"/>
  <c r="H6" i="19" s="1"/>
  <c r="J11" i="19"/>
  <c r="I6" i="19" s="1"/>
  <c r="K11" i="19"/>
  <c r="J6" i="19" s="1"/>
  <c r="C20" i="19"/>
  <c r="D20" i="19"/>
  <c r="E20" i="19"/>
  <c r="F20" i="19"/>
  <c r="G20" i="19"/>
  <c r="H20" i="19"/>
  <c r="I20" i="19"/>
  <c r="J20" i="19"/>
  <c r="K20" i="19"/>
  <c r="L20" i="19"/>
  <c r="C32" i="1"/>
  <c r="C33" i="1" s="1"/>
  <c r="H88" i="1" s="1"/>
  <c r="B76" i="1"/>
  <c r="C34" i="1"/>
  <c r="F95" i="1" s="1"/>
  <c r="B91" i="1"/>
  <c r="A79" i="1"/>
  <c r="C82" i="1"/>
  <c r="G4" i="19"/>
  <c r="H4" i="19"/>
  <c r="C50" i="1" l="1"/>
  <c r="F4" i="19"/>
  <c r="D53" i="1"/>
  <c r="A28" i="1"/>
  <c r="A22" i="1"/>
  <c r="F87" i="1"/>
  <c r="A44" i="1"/>
  <c r="A42" i="1"/>
  <c r="A91" i="1"/>
  <c r="J4" i="19"/>
  <c r="A27" i="1"/>
  <c r="C6" i="19"/>
  <c r="F93" i="1"/>
  <c r="D32" i="1"/>
  <c r="D42" i="1" s="1"/>
  <c r="B38" i="1"/>
  <c r="A82" i="1"/>
  <c r="G86" i="1"/>
  <c r="A7" i="1"/>
  <c r="A31" i="1"/>
  <c r="C53" i="1"/>
  <c r="B53" i="1"/>
  <c r="A62" i="1"/>
  <c r="A35" i="1"/>
  <c r="A54" i="1"/>
  <c r="A9" i="1"/>
  <c r="B50" i="1"/>
  <c r="D30" i="1"/>
  <c r="B15" i="1"/>
  <c r="C20" i="1"/>
  <c r="C35" i="1" s="1"/>
  <c r="C25" i="1"/>
  <c r="C26" i="1" s="1"/>
  <c r="A88" i="1" s="1"/>
  <c r="B14" i="1"/>
  <c r="B58" i="1" s="1"/>
  <c r="A19" i="1"/>
  <c r="A26" i="1"/>
  <c r="A13" i="1"/>
  <c r="D95" i="1"/>
  <c r="B75" i="1"/>
  <c r="A33" i="1"/>
  <c r="D15" i="1"/>
  <c r="A53" i="1"/>
  <c r="A77" i="1"/>
  <c r="G85" i="1"/>
  <c r="A59" i="1"/>
  <c r="A36" i="1"/>
  <c r="A21" i="1"/>
  <c r="A32" i="1"/>
  <c r="B82" i="1"/>
  <c r="A23" i="1"/>
  <c r="A24" i="1"/>
  <c r="A6" i="1"/>
  <c r="A51" i="1"/>
  <c r="A16" i="1"/>
  <c r="A34" i="1"/>
  <c r="A30" i="1"/>
  <c r="D38" i="1"/>
  <c r="A61" i="1"/>
  <c r="A41" i="1"/>
  <c r="I4" i="19"/>
  <c r="F88" i="1"/>
  <c r="D13" i="1"/>
  <c r="A15" i="1"/>
  <c r="A10" i="1"/>
  <c r="A49" i="1"/>
  <c r="D57" i="1"/>
  <c r="A60" i="1"/>
  <c r="A45" i="1"/>
  <c r="C38" i="1"/>
  <c r="C93" i="1"/>
  <c r="A25" i="1"/>
  <c r="B57" i="1"/>
  <c r="A20" i="1"/>
  <c r="A57" i="1"/>
  <c r="C15" i="1"/>
  <c r="B30" i="1"/>
  <c r="A18" i="1"/>
  <c r="A89" i="1"/>
  <c r="D14" i="1"/>
  <c r="D58" i="1" s="1"/>
  <c r="D31" i="1"/>
  <c r="K6" i="19"/>
  <c r="E4" i="19"/>
  <c r="A48" i="1"/>
  <c r="C30" i="1"/>
  <c r="A8" i="1"/>
  <c r="C14" i="1"/>
  <c r="C58" i="1" s="1"/>
  <c r="C57" i="1"/>
  <c r="B13" i="1"/>
  <c r="A50" i="1"/>
  <c r="A14" i="1"/>
  <c r="A58" i="1" s="1"/>
  <c r="D94" i="1"/>
  <c r="A17" i="1"/>
  <c r="A3" i="1"/>
  <c r="A43" i="1"/>
  <c r="A86" i="1"/>
  <c r="A47" i="1"/>
  <c r="A52" i="1"/>
  <c r="A75" i="1"/>
  <c r="A38" i="1"/>
  <c r="A46" i="1"/>
  <c r="D50" i="1"/>
  <c r="C13" i="1"/>
  <c r="A29" i="1"/>
  <c r="A55" i="1"/>
  <c r="K4" i="19"/>
  <c r="A87" i="1"/>
  <c r="C27" i="1" l="1"/>
  <c r="J38" i="1" s="1"/>
  <c r="D33" i="1"/>
  <c r="C29" i="1"/>
  <c r="C60" i="1" s="1"/>
  <c r="B39" i="1"/>
  <c r="A39" i="1"/>
  <c r="C39" i="1"/>
  <c r="F94" i="1"/>
  <c r="D39" i="1"/>
  <c r="C54" i="1"/>
  <c r="C52" i="1" l="1"/>
  <c r="H87" i="1" s="1"/>
  <c r="C62" i="1"/>
  <c r="C66" i="1"/>
  <c r="C65" i="1"/>
  <c r="C63" i="1"/>
  <c r="C67" i="1"/>
  <c r="C64" i="1"/>
  <c r="C61" i="1"/>
  <c r="A78" i="1"/>
  <c r="A76" i="1"/>
  <c r="C28" i="1"/>
  <c r="B89" i="1" s="1"/>
  <c r="J40" i="1"/>
  <c r="K39" i="1"/>
  <c r="K40" i="1"/>
  <c r="J39" i="1"/>
  <c r="M39" i="1" l="1"/>
  <c r="N40" i="1" s="1"/>
  <c r="J51" i="1"/>
  <c r="J41" i="1"/>
  <c r="J36" i="1"/>
  <c r="K36" i="1"/>
  <c r="K41" i="1"/>
  <c r="M40" i="1" l="1"/>
  <c r="M41" i="1"/>
  <c r="M42" i="1" s="1"/>
  <c r="N41" i="1"/>
  <c r="N37" i="1" s="1"/>
  <c r="K49" i="1" s="1"/>
  <c r="N42" i="1" l="1"/>
  <c r="M37" i="1"/>
  <c r="J49" i="1" s="1"/>
  <c r="K55" i="1"/>
  <c r="K56" i="1" s="1"/>
  <c r="K53" i="1"/>
  <c r="K57" i="1" s="1"/>
  <c r="K52" i="1"/>
  <c r="J53" i="1" l="1"/>
  <c r="J57" i="1" s="1"/>
  <c r="C47" i="1"/>
  <c r="C42" i="1" s="1"/>
  <c r="C45" i="1"/>
  <c r="C46" i="1"/>
  <c r="C44" i="1"/>
  <c r="J55" i="1"/>
  <c r="J52" i="1"/>
  <c r="C72" i="1"/>
  <c r="C69" i="1"/>
  <c r="C71" i="1"/>
  <c r="C70" i="1"/>
  <c r="C68" i="1"/>
  <c r="C41" i="1" l="1"/>
  <c r="H85" i="1" s="1"/>
  <c r="C43" i="1"/>
  <c r="C55" i="1"/>
  <c r="J56" i="1"/>
  <c r="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BE-4</author>
    <author>A</author>
  </authors>
  <commentList>
    <comment ref="C23" authorId="0" shapeId="0" xr:uid="{00000000-0006-0000-0000-000001000000}">
      <text>
        <r>
          <rPr>
            <sz val="8"/>
            <color indexed="81"/>
            <rFont val="Tahoma"/>
            <family val="2"/>
          </rPr>
          <t>WARNING : In case of external gearing betweent the gearbox and the barrel, the gearing ratio have to be included here</t>
        </r>
      </text>
    </comment>
    <comment ref="C2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When the MS is not directly installed on the barrel shaft, the transmission ratio is entered in this cell
</t>
        </r>
        <r>
          <rPr>
            <b/>
            <sz val="8"/>
            <color indexed="81"/>
            <rFont val="Tahoma"/>
            <family val="2"/>
          </rPr>
          <t>Ratio &lt;1</t>
        </r>
        <r>
          <rPr>
            <sz val="8"/>
            <color indexed="81"/>
            <rFont val="Tahoma"/>
            <family val="2"/>
          </rPr>
          <t xml:space="preserve"> :  MS speed &gt; Barrel speed (normal case) (MS pinion, Barrel toothed weel)
</t>
        </r>
        <r>
          <rPr>
            <b/>
            <sz val="8"/>
            <color indexed="81"/>
            <rFont val="Tahoma"/>
            <family val="2"/>
          </rPr>
          <t>Ratio &gt; 1</t>
        </r>
        <r>
          <rPr>
            <sz val="8"/>
            <color indexed="81"/>
            <rFont val="Tahoma"/>
            <family val="2"/>
          </rPr>
          <t xml:space="preserve"> : MS toothed weel bigger than Barrel toothed weel (very rare)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ratio is </t>
        </r>
        <r>
          <rPr>
            <u/>
            <sz val="8"/>
            <color indexed="81"/>
            <rFont val="Tahoma"/>
            <family val="2"/>
          </rPr>
          <t>generally inferior to 1</t>
        </r>
      </text>
    </comment>
    <comment ref="J38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BE-4:</t>
        </r>
        <r>
          <rPr>
            <sz val="8"/>
            <color indexed="81"/>
            <rFont val="Tahoma"/>
            <family val="2"/>
          </rPr>
          <t xml:space="preserve">
Couple de freinage du MotoSuiveur incluant le coefficient de sécurité à la rupture</t>
        </r>
      </text>
    </comment>
    <comment ref="C4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Selection criteria:
</t>
        </r>
        <r>
          <rPr>
            <b/>
            <u/>
            <sz val="8"/>
            <color indexed="81"/>
            <rFont val="Tahoma"/>
            <family val="2"/>
          </rPr>
          <t xml:space="preserve">
Hydraulic Damping MS:</t>
        </r>
        <r>
          <rPr>
            <sz val="8"/>
            <color indexed="81"/>
            <rFont val="Tahoma"/>
            <family val="2"/>
          </rPr>
          <t xml:space="preserve">
 - 3 rpm &lt; MS speed &lt; 35 rpm
 - low inertia mechanism
 - HS shaft torque limiter is mandatory
</t>
        </r>
        <r>
          <rPr>
            <b/>
            <u/>
            <sz val="8"/>
            <color indexed="81"/>
            <rFont val="Tahoma"/>
            <family val="2"/>
          </rPr>
          <t>Elastomere Damping MS:</t>
        </r>
        <r>
          <rPr>
            <sz val="8"/>
            <color indexed="81"/>
            <rFont val="Tahoma"/>
            <family val="2"/>
          </rPr>
          <t xml:space="preserve">
 - MS speed &lt; 3 rpm
 - low inertia mechanism
 - HS shaft torque limiter is mandatory
</t>
        </r>
        <r>
          <rPr>
            <b/>
            <u/>
            <sz val="8"/>
            <color indexed="81"/>
            <rFont val="Tahoma"/>
            <family val="2"/>
          </rPr>
          <t>Passive Friction MS:</t>
        </r>
        <r>
          <rPr>
            <sz val="8"/>
            <color indexed="81"/>
            <rFont val="Tahoma"/>
            <family val="2"/>
          </rPr>
          <t xml:space="preserve">
 - MS speed up to 100 rpm
 - HS shaft torque limiter is recommended, but is not mandatory</t>
        </r>
      </text>
    </comment>
    <comment ref="C51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 Default (recommended) braking coefficient:
 - Hydraulic (Damping) MS, </t>
        </r>
        <r>
          <rPr>
            <b/>
            <sz val="8"/>
            <color indexed="81"/>
            <rFont val="Tahoma"/>
            <family val="2"/>
          </rPr>
          <t>Kms = 250 %</t>
        </r>
        <r>
          <rPr>
            <sz val="8"/>
            <color indexed="81"/>
            <rFont val="Tahoma"/>
            <family val="2"/>
          </rPr>
          <t xml:space="preserve">
 - Passive Friction MS, </t>
        </r>
        <r>
          <rPr>
            <b/>
            <sz val="8"/>
            <color indexed="81"/>
            <rFont val="Tahoma"/>
            <family val="2"/>
          </rPr>
          <t>Kms 140 to 200 %</t>
        </r>
      </text>
    </comment>
    <comment ref="C5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The load stopping distance depends on the inertia (motor, brake, coupling, gearbox, etc.) and on the speed
For the </t>
        </r>
        <r>
          <rPr>
            <b/>
            <sz val="8"/>
            <color indexed="81"/>
            <rFont val="Tahoma"/>
            <family val="2"/>
          </rPr>
          <t>Damping MS</t>
        </r>
        <r>
          <rPr>
            <sz val="8"/>
            <color indexed="81"/>
            <rFont val="Tahoma"/>
            <family val="2"/>
          </rPr>
          <t xml:space="preserve">, the </t>
        </r>
        <r>
          <rPr>
            <b/>
            <u/>
            <sz val="8"/>
            <color indexed="81"/>
            <rFont val="Tahoma"/>
            <family val="2"/>
          </rPr>
          <t>maximum</t>
        </r>
        <r>
          <rPr>
            <sz val="8"/>
            <color indexed="81"/>
            <rFont val="Tahoma"/>
            <family val="2"/>
          </rPr>
          <t xml:space="preserve"> stopping distance is proportional to the damping stroke of the MS, which is </t>
        </r>
        <r>
          <rPr>
            <b/>
            <sz val="8"/>
            <color indexed="81"/>
            <rFont val="Tahoma"/>
            <family val="2"/>
          </rPr>
          <t>fixed by design</t>
        </r>
        <r>
          <rPr>
            <sz val="8"/>
            <color indexed="81"/>
            <rFont val="Tahoma"/>
            <family val="2"/>
          </rPr>
          <t xml:space="preserve">
For the </t>
        </r>
        <r>
          <rPr>
            <b/>
            <sz val="8"/>
            <color indexed="81"/>
            <rFont val="Tahoma"/>
            <family val="2"/>
          </rPr>
          <t>Passive friction MS</t>
        </r>
        <r>
          <rPr>
            <sz val="8"/>
            <color indexed="81"/>
            <rFont val="Tahoma"/>
            <family val="2"/>
          </rPr>
          <t>, it is necessary to know the inertia to calculate the stopping distance</t>
        </r>
      </text>
    </comment>
    <comment ref="C59" authorId="1" shapeId="0" xr:uid="{00000000-0006-0000-0000-000007000000}">
      <text>
        <r>
          <rPr>
            <sz val="8"/>
            <color indexed="81"/>
            <rFont val="Tahoma"/>
            <family val="2"/>
          </rPr>
          <t xml:space="preserve">Recommended setting: </t>
        </r>
        <r>
          <rPr>
            <b/>
            <sz val="8"/>
            <color indexed="81"/>
            <rFont val="Tahoma"/>
            <family val="2"/>
          </rPr>
          <t xml:space="preserve">Klim = 120 %
</t>
        </r>
      </text>
    </comment>
  </commentList>
</comments>
</file>

<file path=xl/sharedStrings.xml><?xml version="1.0" encoding="utf-8"?>
<sst xmlns="http://schemas.openxmlformats.org/spreadsheetml/2006/main" count="352" uniqueCount="291">
  <si>
    <t>Progiciel :</t>
  </si>
  <si>
    <t>MS_definition</t>
  </si>
  <si>
    <t>Langue</t>
  </si>
  <si>
    <t>Type</t>
  </si>
  <si>
    <t>Version :</t>
  </si>
  <si>
    <t>V02-01</t>
  </si>
  <si>
    <t>English</t>
  </si>
  <si>
    <t>Damping</t>
  </si>
  <si>
    <t>Langue :</t>
  </si>
  <si>
    <t>Français</t>
  </si>
  <si>
    <t>Friction</t>
  </si>
  <si>
    <t>Ternium 75 t</t>
  </si>
  <si>
    <t>formules/commentaires</t>
  </si>
  <si>
    <t>Mc</t>
  </si>
  <si>
    <t>kg</t>
  </si>
  <si>
    <t>Mt</t>
  </si>
  <si>
    <t>Mct</t>
  </si>
  <si>
    <t>=(Mc+Mt)*Ts/100</t>
  </si>
  <si>
    <t>g</t>
  </si>
  <si>
    <t>m/s²</t>
  </si>
  <si>
    <t>Ftot</t>
  </si>
  <si>
    <t>N</t>
  </si>
  <si>
    <t>=Mct*g</t>
  </si>
  <si>
    <t>im</t>
  </si>
  <si>
    <t>-</t>
  </si>
  <si>
    <t>De</t>
  </si>
  <si>
    <t>mm</t>
  </si>
  <si>
    <t>ir</t>
  </si>
  <si>
    <t>itm</t>
  </si>
  <si>
    <t>&lt;1 si multiplication</t>
  </si>
  <si>
    <t>Fb</t>
  </si>
  <si>
    <t>=Mct*g/im</t>
  </si>
  <si>
    <t>Cpv</t>
  </si>
  <si>
    <t>Nm</t>
  </si>
  <si>
    <t>=Fb*De/2/1000</t>
  </si>
  <si>
    <t>Crms</t>
  </si>
  <si>
    <t>=Cpv*itm</t>
  </si>
  <si>
    <t>Clim_pv</t>
  </si>
  <si>
    <t>Cgv</t>
  </si>
  <si>
    <t>=Cpv/ir</t>
  </si>
  <si>
    <t>Wgv</t>
  </si>
  <si>
    <t>Wpv</t>
  </si>
  <si>
    <t>=Wgv/ir</t>
  </si>
  <si>
    <t>Wrms</t>
  </si>
  <si>
    <t>=Wpv/itm</t>
  </si>
  <si>
    <t>Vc</t>
  </si>
  <si>
    <t>m/min</t>
  </si>
  <si>
    <t>=Wgv/ir*(De/1000)*PI()/im</t>
  </si>
  <si>
    <t>P</t>
  </si>
  <si>
    <t>kW</t>
  </si>
  <si>
    <t>=Vc/60/1000*Ftot</t>
  </si>
  <si>
    <t>P mot</t>
  </si>
  <si>
    <t>NECESSAIRE:</t>
  </si>
  <si>
    <t>DO NOT CLEAR THESE COLUMNS</t>
  </si>
  <si>
    <t xml:space="preserve">C_calcul </t>
  </si>
  <si>
    <t>Crupture_gamme</t>
  </si>
  <si>
    <t>%  gamme</t>
  </si>
  <si>
    <t>Wv</t>
  </si>
  <si>
    <t>=Wpv*is</t>
  </si>
  <si>
    <t>Fpist</t>
  </si>
  <si>
    <t>=Cpv/(Droue/1000/2)</t>
  </si>
  <si>
    <t>Droue</t>
  </si>
  <si>
    <t>Dvis</t>
  </si>
  <si>
    <t>Dpist</t>
  </si>
  <si>
    <t>is</t>
  </si>
  <si>
    <t>Csr</t>
  </si>
  <si>
    <t>Csr_1</t>
  </si>
  <si>
    <t>Kms</t>
  </si>
  <si>
    <t>%</t>
  </si>
  <si>
    <t>Cms</t>
  </si>
  <si>
    <t>=Kms*Crms/100</t>
  </si>
  <si>
    <t>Cms_FR_gamme</t>
  </si>
  <si>
    <t>Cpistmax</t>
  </si>
  <si>
    <t>(par construction)</t>
  </si>
  <si>
    <t>Dach</t>
  </si>
  <si>
    <t>=Cpistmax*De/(Droue*im/itm)</t>
  </si>
  <si>
    <t>% rupture gamme</t>
  </si>
  <si>
    <t>% freinage gamme</t>
  </si>
  <si>
    <t>Klim</t>
  </si>
  <si>
    <t>Clim</t>
  </si>
  <si>
    <t>Ød1 max</t>
  </si>
  <si>
    <t>Ød2 max</t>
  </si>
  <si>
    <t>D</t>
  </si>
  <si>
    <t>L</t>
  </si>
  <si>
    <t>l1</t>
  </si>
  <si>
    <t>l2</t>
  </si>
  <si>
    <t>L1</t>
  </si>
  <si>
    <t>L3</t>
  </si>
  <si>
    <t>C</t>
  </si>
  <si>
    <t>A</t>
  </si>
  <si>
    <t>Poids</t>
  </si>
  <si>
    <t>Motosuiveur ®</t>
  </si>
  <si>
    <t xml:space="preserve">
</t>
  </si>
  <si>
    <t>Gamme MotoSuiveur®</t>
  </si>
  <si>
    <t xml:space="preserve">NE PAS EFFACER CES LIGNES
DO NOT CLEAR THESE VALUES </t>
  </si>
  <si>
    <t>Variable</t>
  </si>
  <si>
    <t>MS8</t>
  </si>
  <si>
    <t>MS7</t>
  </si>
  <si>
    <t>MS6</t>
  </si>
  <si>
    <t>MS5</t>
  </si>
  <si>
    <t>MS4</t>
  </si>
  <si>
    <t>MS3</t>
  </si>
  <si>
    <t>MS2</t>
  </si>
  <si>
    <t>MS1</t>
  </si>
  <si>
    <t>MS0</t>
  </si>
  <si>
    <t>MSA</t>
  </si>
  <si>
    <t>Crupture MS</t>
  </si>
  <si>
    <t>Cr</t>
  </si>
  <si>
    <t>Couple freinage maximal - MS hydraulique</t>
  </si>
  <si>
    <t>Cms_hyd</t>
  </si>
  <si>
    <t>Couple freinage maximal - MS Friction</t>
  </si>
  <si>
    <t>Cms_fr</t>
  </si>
  <si>
    <t>NA</t>
  </si>
  <si>
    <t>rapport</t>
  </si>
  <si>
    <t>rap</t>
  </si>
  <si>
    <t>z2</t>
  </si>
  <si>
    <t>z1</t>
  </si>
  <si>
    <t>Entraxe en mm:</t>
  </si>
  <si>
    <t>a</t>
  </si>
  <si>
    <t>Ø primitif roue en mm:</t>
  </si>
  <si>
    <t>D2</t>
  </si>
  <si>
    <t>Ø primitif vis en mm:</t>
  </si>
  <si>
    <t>d1</t>
  </si>
  <si>
    <t>Ø exterieur roue en mm:</t>
  </si>
  <si>
    <t>De2</t>
  </si>
  <si>
    <t>Ø extérieur vis en mm:</t>
  </si>
  <si>
    <t>de1</t>
  </si>
  <si>
    <t>Diam. Piston</t>
  </si>
  <si>
    <t>Course piston descente</t>
  </si>
  <si>
    <t>Angle de freinage (écrasement élastomère pas inclus)</t>
  </si>
  <si>
    <r>
      <t>Définition Motosuiveur</t>
    </r>
    <r>
      <rPr>
        <vertAlign val="superscript"/>
        <sz val="8"/>
        <rFont val="Arial"/>
        <family val="2"/>
      </rPr>
      <t>®</t>
    </r>
    <r>
      <rPr>
        <sz val="8"/>
        <rFont val="Arial"/>
        <family val="2"/>
      </rPr>
      <t xml:space="preserve"> </t>
    </r>
  </si>
  <si>
    <r>
      <t>Motosuiveur</t>
    </r>
    <r>
      <rPr>
        <vertAlign val="superscript"/>
        <sz val="8"/>
        <rFont val="Arial"/>
        <family val="2"/>
      </rPr>
      <t>®</t>
    </r>
    <r>
      <rPr>
        <sz val="8"/>
        <rFont val="Arial"/>
        <family val="2"/>
      </rPr>
      <t xml:space="preserve"> Definition </t>
    </r>
  </si>
  <si>
    <r>
      <t>Données : Treuil et Motosuiveur</t>
    </r>
    <r>
      <rPr>
        <vertAlign val="superscript"/>
        <sz val="8"/>
        <rFont val="Arial"/>
        <family val="2"/>
      </rPr>
      <t>®</t>
    </r>
  </si>
  <si>
    <r>
      <t>Input Data : Hoist and Motosuiveur</t>
    </r>
    <r>
      <rPr>
        <vertAlign val="superscript"/>
        <sz val="8"/>
        <rFont val="Arial"/>
        <family val="2"/>
      </rPr>
      <t>®</t>
    </r>
  </si>
  <si>
    <t>Méthode : Cinématique Statique, rendement = 1</t>
  </si>
  <si>
    <t>Method : Static kinematic, efficiency = 1</t>
  </si>
  <si>
    <t>Projet :</t>
  </si>
  <si>
    <t>Project :</t>
  </si>
  <si>
    <t>Réf :</t>
  </si>
  <si>
    <t>Ref :</t>
  </si>
  <si>
    <t>Date :</t>
  </si>
  <si>
    <t xml:space="preserve">Données d'entrée Treuil </t>
  </si>
  <si>
    <t>Hoist Input Data</t>
  </si>
  <si>
    <t>Désignation</t>
  </si>
  <si>
    <t>Designation</t>
  </si>
  <si>
    <t>Forces et couples</t>
  </si>
  <si>
    <t>Forces and torques</t>
  </si>
  <si>
    <t>Masse charge</t>
  </si>
  <si>
    <t>Load mass</t>
  </si>
  <si>
    <t>Masse tare</t>
  </si>
  <si>
    <t>Dead mass</t>
  </si>
  <si>
    <t>Répartition de la charge par MS</t>
  </si>
  <si>
    <t>Masse charge + tare</t>
  </si>
  <si>
    <t>Total mass</t>
  </si>
  <si>
    <t>Gravité</t>
  </si>
  <si>
    <t>Gravity</t>
  </si>
  <si>
    <t>Force de levage</t>
  </si>
  <si>
    <t>Lifting force</t>
  </si>
  <si>
    <t>Rapport mouflage</t>
  </si>
  <si>
    <t>Reeving ratio</t>
  </si>
  <si>
    <t>Diamètre d'enroulement</t>
  </si>
  <si>
    <t>Barrel pitch diameter</t>
  </si>
  <si>
    <t>Rapport du réducteur</t>
  </si>
  <si>
    <t>Gear box ratio</t>
  </si>
  <si>
    <t>Reduction entre le tambour et MS</t>
  </si>
  <si>
    <t>Reduction ratio between MS and Barrel</t>
  </si>
  <si>
    <t>Force au brin(s) moteur(s)</t>
  </si>
  <si>
    <t>Rope strand force</t>
  </si>
  <si>
    <t>Couple au(x) tambour(s)</t>
  </si>
  <si>
    <t>Barrel Torque</t>
  </si>
  <si>
    <t>Couple à la roue du MS</t>
  </si>
  <si>
    <t>Torque at MS</t>
  </si>
  <si>
    <t>Couple statique GV</t>
  </si>
  <si>
    <t>Static torque at High Speed shaft</t>
  </si>
  <si>
    <t>Couple maxi arbre PV réducteur</t>
  </si>
  <si>
    <t>Gear box maxi torque (at LS shaft)</t>
  </si>
  <si>
    <t>Vitesses, puissance</t>
  </si>
  <si>
    <t>Speeds and Power</t>
  </si>
  <si>
    <t>Vitesse ligne GV</t>
  </si>
  <si>
    <t>Speed at High Speed shaft</t>
  </si>
  <si>
    <t>Vitesse ligne PV</t>
  </si>
  <si>
    <t>Speed at Low Speed shaft</t>
  </si>
  <si>
    <t>Vitesse ligne roue MS</t>
  </si>
  <si>
    <t xml:space="preserve">Speed at MS </t>
  </si>
  <si>
    <t>Vitesse charge</t>
  </si>
  <si>
    <t>Load speed</t>
  </si>
  <si>
    <t>Puissance hors rendements</t>
  </si>
  <si>
    <t>Power without efficiency</t>
  </si>
  <si>
    <t>Puissance moteur choisi</t>
  </si>
  <si>
    <t>Selected Motor power</t>
  </si>
  <si>
    <t>Définition Motosuiveur</t>
  </si>
  <si>
    <t xml:space="preserve"> Motosuiveur Definition</t>
  </si>
  <si>
    <t xml:space="preserve">Type </t>
  </si>
  <si>
    <t xml:space="preserve">Taille </t>
  </si>
  <si>
    <t>Size</t>
  </si>
  <si>
    <t>Vitesse de la vis</t>
  </si>
  <si>
    <t>Worm speed</t>
  </si>
  <si>
    <t>Force au piston</t>
  </si>
  <si>
    <t>Force at piston</t>
  </si>
  <si>
    <t>Diamètre primitif roue</t>
  </si>
  <si>
    <t>Pitch diameter of the MS wormgear</t>
  </si>
  <si>
    <t>Diamètre extérieur vis</t>
  </si>
  <si>
    <t>Outside diameter of the worm</t>
  </si>
  <si>
    <t>Diamètre piston</t>
  </si>
  <si>
    <t>Piston diameter</t>
  </si>
  <si>
    <t>Rapport du MotoSuiveur</t>
  </si>
  <si>
    <t>Motosuiveur ratio</t>
  </si>
  <si>
    <t>Coef. de sécurité rupture souhaité</t>
  </si>
  <si>
    <t>Required rupture safety factor</t>
  </si>
  <si>
    <t>Coef. de sécurité rupture obtenu</t>
  </si>
  <si>
    <t>Rupture safety factor obtained</t>
  </si>
  <si>
    <t>Freinage descente</t>
  </si>
  <si>
    <t>Downward braking</t>
  </si>
  <si>
    <t xml:space="preserve">Coefficient de freinage </t>
  </si>
  <si>
    <t>Braking coefficient</t>
  </si>
  <si>
    <t xml:space="preserve">Couple de freinage </t>
  </si>
  <si>
    <t>Braking torque</t>
  </si>
  <si>
    <t>Freinage montée</t>
  </si>
  <si>
    <t>Upward braking</t>
  </si>
  <si>
    <t>Coefficient de freinage du MotoSuiveur</t>
  </si>
  <si>
    <t>Couple de freinage du Motosuiveur</t>
  </si>
  <si>
    <t>Distance d'arrêt maximale - MS HYDRAULIQUE UNIQUEMENT</t>
  </si>
  <si>
    <t>Maximum stopping distance- ONLY for  HYDRAULIC Damping MS</t>
  </si>
  <si>
    <t>Course piston maximale</t>
  </si>
  <si>
    <t>Maximum piston stroke</t>
  </si>
  <si>
    <t>Distance d'arrêt à la charge (max.)</t>
  </si>
  <si>
    <t>Stopping distance at load (max.)</t>
  </si>
  <si>
    <t>Définition limiteur de couple</t>
  </si>
  <si>
    <t>Torque Limiter Definition</t>
  </si>
  <si>
    <t>Coefficient de réglage</t>
  </si>
  <si>
    <t>Setting coefficient</t>
  </si>
  <si>
    <t>Couple correspondant</t>
  </si>
  <si>
    <t>Corresponding torque</t>
  </si>
  <si>
    <t>Taille</t>
  </si>
  <si>
    <t xml:space="preserve">Dimensions </t>
  </si>
  <si>
    <t>Symbole</t>
  </si>
  <si>
    <t>Symbol</t>
  </si>
  <si>
    <t>Valeur</t>
  </si>
  <si>
    <t>Value</t>
  </si>
  <si>
    <t>Unité</t>
  </si>
  <si>
    <t>Unit</t>
  </si>
  <si>
    <t>Tr/mn</t>
  </si>
  <si>
    <t>rpm</t>
  </si>
  <si>
    <t>Réducteur:</t>
  </si>
  <si>
    <t>G. box ratio :</t>
  </si>
  <si>
    <t>Moteur:</t>
  </si>
  <si>
    <t>Motor:</t>
  </si>
  <si>
    <t>Limiteur de Couple:</t>
  </si>
  <si>
    <t>Torque Limiter:</t>
  </si>
  <si>
    <t>Ligne GV</t>
  </si>
  <si>
    <t>HS line:</t>
  </si>
  <si>
    <t>Ø Tambour:</t>
  </si>
  <si>
    <t>Ø Barrel :</t>
  </si>
  <si>
    <t>Taille :</t>
  </si>
  <si>
    <t>Size:</t>
  </si>
  <si>
    <t>Type :</t>
  </si>
  <si>
    <t>Type:</t>
  </si>
  <si>
    <t>C. freinage:</t>
  </si>
  <si>
    <t>Br. Torque</t>
  </si>
  <si>
    <t>Vitesse MS :</t>
  </si>
  <si>
    <t>MS speed:</t>
  </si>
  <si>
    <t>Ligne PV</t>
  </si>
  <si>
    <t>LS line:</t>
  </si>
  <si>
    <t>Mouflage:</t>
  </si>
  <si>
    <t>Reeving ratio:</t>
  </si>
  <si>
    <t>Charge:</t>
  </si>
  <si>
    <t>Load:</t>
  </si>
  <si>
    <t>Brins  moteur:</t>
  </si>
  <si>
    <t>Rope strand force:</t>
  </si>
  <si>
    <t>Vitesse charge:</t>
  </si>
  <si>
    <t>Load speed:</t>
  </si>
  <si>
    <t>Couple maxi arbre PV réducteur:</t>
  </si>
  <si>
    <t>Gear box maxi torque (at LS shaft):</t>
  </si>
  <si>
    <t xml:space="preserve">Données Limiteur de de couple </t>
  </si>
  <si>
    <t>Max Torque .1</t>
  </si>
  <si>
    <t>Model</t>
  </si>
  <si>
    <t>Ød1
 max</t>
  </si>
  <si>
    <t>Ød2 
max</t>
  </si>
  <si>
    <t>Mass</t>
  </si>
  <si>
    <t>Nb Springs</t>
  </si>
  <si>
    <t>Torque per spring .1</t>
  </si>
  <si>
    <t>Torque per spring .2</t>
  </si>
  <si>
    <t>Max Torque .2</t>
  </si>
  <si>
    <t>TL40-24</t>
  </si>
  <si>
    <t>TL50-28</t>
  </si>
  <si>
    <t>TL63-38</t>
  </si>
  <si>
    <t>TL80-48</t>
  </si>
  <si>
    <t>TL100-55</t>
  </si>
  <si>
    <t>TL125-65</t>
  </si>
  <si>
    <t>TL 160-75</t>
  </si>
  <si>
    <t>TL 200-90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</si>
</sst>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_-* #,##0.00\ &quot;€&quot;_-;\-* #,##0.00\ &quot;€&quot;_-;_-* &quot;-&quot;??\ &quot;€&quot;_-;_-@_-"/>
    <numFmt numFmtId="165" formatCode="General&quot; kg&quot;"/>
    <numFmt numFmtId="166" formatCode="&quot;= &quot;General&quot; N&quot;"/>
    <numFmt numFmtId="167" formatCode="General&quot; mm&quot;"/>
    <numFmt numFmtId="168" formatCode="General&quot; N&quot;"/>
    <numFmt numFmtId="169" formatCode="General&quot; min-1&quot;"/>
    <numFmt numFmtId="170" formatCode="&quot;= &quot;General&quot; bars&quot;"/>
    <numFmt numFmtId="171" formatCode="0.0"/>
    <numFmt numFmtId="172" formatCode="0.00&quot; Nm&quot;"/>
    <numFmt numFmtId="173" formatCode="0.00&quot; m/min&quot;"/>
    <numFmt numFmtId="174" formatCode="&quot;= &quot;General\%"/>
    <numFmt numFmtId="175" formatCode="0.00&quot; t/min&quot;"/>
    <numFmt numFmtId="176" formatCode="0.00&quot; kW&quot;"/>
    <numFmt numFmtId="177" formatCode="0.00&quot; bars&quot;"/>
    <numFmt numFmtId="178" formatCode="0.00&quot; N&quot;"/>
    <numFmt numFmtId="179" formatCode="General\ &quot;%&quot;"/>
    <numFmt numFmtId="180" formatCode="0.00&quot;Nm&quot;"/>
    <numFmt numFmtId="181" formatCode="#,##0\ &quot;Nm&quot;"/>
    <numFmt numFmtId="182" formatCode="0.00\ \k\W"/>
    <numFmt numFmtId="183" formatCode="0.0%"/>
    <numFmt numFmtId="184" formatCode="0.00\ &quot;mm&quot;"/>
    <numFmt numFmtId="185" formatCode="#,##0.00\ &quot;Nm&quot;"/>
    <numFmt numFmtId="186" formatCode="0.00&quot; tr/min&quot;"/>
    <numFmt numFmtId="187" formatCode="General&quot; tr/min&quot;"/>
    <numFmt numFmtId="188" formatCode="0.0&quot; tr/min&quot;"/>
    <numFmt numFmtId="189" formatCode="0.000"/>
    <numFmt numFmtId="190" formatCode="#,##0.0000"/>
  </numFmts>
  <fonts count="49" x14ac:knownFonts="1">
    <font>
      <sz val="10"/>
      <name val="Arial"/>
    </font>
    <font>
      <sz val="10"/>
      <name val="Arial"/>
      <family val="2"/>
      <charset val="204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b/>
      <sz val="10"/>
      <color indexed="56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i/>
      <sz val="10"/>
      <color indexed="17"/>
      <name val="Arial"/>
      <family val="2"/>
    </font>
    <font>
      <b/>
      <i/>
      <sz val="10"/>
      <color indexed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8"/>
      <color indexed="81"/>
      <name val="Tahoma"/>
      <family val="2"/>
    </font>
    <font>
      <b/>
      <u/>
      <sz val="8"/>
      <color indexed="81"/>
      <name val="Tahoma"/>
      <family val="2"/>
    </font>
    <font>
      <sz val="11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  <family val="2"/>
    </font>
    <font>
      <b/>
      <i/>
      <sz val="13"/>
      <name val="Arial"/>
      <family val="2"/>
    </font>
    <font>
      <sz val="10"/>
      <color indexed="17"/>
      <name val="Arial"/>
      <family val="2"/>
    </font>
    <font>
      <sz val="3"/>
      <name val="Arial"/>
      <family val="2"/>
    </font>
    <font>
      <sz val="4"/>
      <name val="Arial"/>
      <family val="2"/>
    </font>
    <font>
      <vertAlign val="superscript"/>
      <sz val="8"/>
      <name val="Arial"/>
      <family val="2"/>
    </font>
    <font>
      <i/>
      <sz val="13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i/>
      <sz val="8"/>
      <color indexed="17"/>
      <name val="Arial"/>
      <family val="2"/>
    </font>
    <font>
      <b/>
      <i/>
      <sz val="10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12"/>
      <name val="Arial"/>
      <family val="2"/>
    </font>
    <font>
      <sz val="14"/>
      <color indexed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b/>
      <sz val="10"/>
      <color rgb="FFFFC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7" fillId="0" borderId="0" applyFont="0"/>
    <xf numFmtId="0" fontId="9" fillId="0" borderId="0" applyFont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47" fillId="0" borderId="0"/>
    <xf numFmtId="0" fontId="7" fillId="0" borderId="0" applyFont="0"/>
    <xf numFmtId="164" fontId="47" fillId="0" borderId="0" applyFont="0" applyFill="0" applyBorder="0" applyAlignment="0" applyProtection="0"/>
  </cellStyleXfs>
  <cellXfs count="242">
    <xf numFmtId="0" fontId="0" fillId="0" borderId="0" xfId="0"/>
    <xf numFmtId="167" fontId="5" fillId="2" borderId="0" xfId="0" applyNumberFormat="1" applyFont="1" applyFill="1" applyAlignment="1">
      <alignment horizontal="left"/>
    </xf>
    <xf numFmtId="168" fontId="5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177" fontId="5" fillId="2" borderId="0" xfId="0" applyNumberFormat="1" applyFont="1" applyFill="1"/>
    <xf numFmtId="178" fontId="5" fillId="2" borderId="0" xfId="0" applyNumberFormat="1" applyFont="1" applyFill="1"/>
    <xf numFmtId="175" fontId="5" fillId="2" borderId="0" xfId="0" applyNumberFormat="1" applyFont="1" applyFill="1"/>
    <xf numFmtId="0" fontId="8" fillId="2" borderId="0" xfId="0" applyFont="1" applyFill="1"/>
    <xf numFmtId="0" fontId="15" fillId="2" borderId="0" xfId="0" applyFont="1" applyFill="1" applyAlignment="1">
      <alignment horizontal="right"/>
    </xf>
    <xf numFmtId="0" fontId="8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84" fontId="5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left"/>
    </xf>
    <xf numFmtId="0" fontId="10" fillId="2" borderId="0" xfId="0" applyFont="1" applyFill="1"/>
    <xf numFmtId="182" fontId="8" fillId="2" borderId="0" xfId="0" applyNumberFormat="1" applyFont="1" applyFill="1" applyAlignment="1">
      <alignment horizontal="left"/>
    </xf>
    <xf numFmtId="0" fontId="8" fillId="2" borderId="0" xfId="0" quotePrefix="1" applyFont="1" applyFill="1" applyAlignment="1">
      <alignment horizontal="left"/>
    </xf>
    <xf numFmtId="0" fontId="2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2" fontId="21" fillId="2" borderId="0" xfId="0" applyNumberFormat="1" applyFont="1" applyFill="1" applyAlignment="1">
      <alignment horizontal="left"/>
    </xf>
    <xf numFmtId="0" fontId="8" fillId="2" borderId="2" xfId="0" quotePrefix="1" applyFont="1" applyFill="1" applyBorder="1" applyAlignment="1">
      <alignment horizontal="left"/>
    </xf>
    <xf numFmtId="180" fontId="8" fillId="2" borderId="0" xfId="0" applyNumberFormat="1" applyFont="1" applyFill="1" applyAlignment="1">
      <alignment horizontal="left"/>
    </xf>
    <xf numFmtId="169" fontId="8" fillId="2" borderId="0" xfId="0" applyNumberFormat="1" applyFont="1" applyFill="1"/>
    <xf numFmtId="0" fontId="8" fillId="2" borderId="0" xfId="0" quotePrefix="1" applyFont="1" applyFill="1"/>
    <xf numFmtId="170" fontId="8" fillId="2" borderId="0" xfId="0" applyNumberFormat="1" applyFont="1" applyFill="1"/>
    <xf numFmtId="0" fontId="23" fillId="2" borderId="3" xfId="0" applyFont="1" applyFill="1" applyBorder="1" applyAlignment="1">
      <alignment horizontal="right"/>
    </xf>
    <xf numFmtId="0" fontId="23" fillId="2" borderId="4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right"/>
    </xf>
    <xf numFmtId="0" fontId="23" fillId="2" borderId="4" xfId="0" applyFont="1" applyFill="1" applyBorder="1"/>
    <xf numFmtId="0" fontId="23" fillId="2" borderId="2" xfId="0" applyFont="1" applyFill="1" applyBorder="1"/>
    <xf numFmtId="0" fontId="18" fillId="3" borderId="2" xfId="0" applyFont="1" applyFill="1" applyBorder="1"/>
    <xf numFmtId="0" fontId="5" fillId="4" borderId="2" xfId="0" applyFont="1" applyFill="1" applyBorder="1"/>
    <xf numFmtId="0" fontId="8" fillId="2" borderId="0" xfId="0" applyFont="1" applyFill="1" applyAlignment="1">
      <alignment vertical="center"/>
    </xf>
    <xf numFmtId="0" fontId="8" fillId="2" borderId="2" xfId="0" quotePrefix="1" applyFont="1" applyFill="1" applyBorder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0" fontId="19" fillId="2" borderId="6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>
      <alignment horizontal="left"/>
    </xf>
    <xf numFmtId="0" fontId="8" fillId="2" borderId="6" xfId="0" applyFont="1" applyFill="1" applyBorder="1"/>
    <xf numFmtId="0" fontId="8" fillId="2" borderId="7" xfId="0" applyFont="1" applyFill="1" applyBorder="1"/>
    <xf numFmtId="0" fontId="8" fillId="2" borderId="9" xfId="0" applyFont="1" applyFill="1" applyBorder="1"/>
    <xf numFmtId="185" fontId="6" fillId="2" borderId="8" xfId="0" applyNumberFormat="1" applyFont="1" applyFill="1" applyBorder="1" applyAlignment="1">
      <alignment horizontal="right"/>
    </xf>
    <xf numFmtId="176" fontId="5" fillId="2" borderId="0" xfId="0" applyNumberFormat="1" applyFont="1" applyFill="1" applyAlignment="1">
      <alignment horizontal="right"/>
    </xf>
    <xf numFmtId="172" fontId="5" fillId="2" borderId="8" xfId="0" applyNumberFormat="1" applyFont="1" applyFill="1" applyBorder="1" applyAlignment="1">
      <alignment horizontal="left"/>
    </xf>
    <xf numFmtId="187" fontId="5" fillId="2" borderId="8" xfId="0" applyNumberFormat="1" applyFont="1" applyFill="1" applyBorder="1" applyAlignment="1">
      <alignment horizontal="left"/>
    </xf>
    <xf numFmtId="0" fontId="8" fillId="2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2" borderId="9" xfId="0" applyFont="1" applyFill="1" applyBorder="1"/>
    <xf numFmtId="0" fontId="22" fillId="2" borderId="9" xfId="0" applyFont="1" applyFill="1" applyBorder="1" applyAlignment="1">
      <alignment horizontal="left"/>
    </xf>
    <xf numFmtId="186" fontId="5" fillId="2" borderId="8" xfId="0" applyNumberFormat="1" applyFont="1" applyFill="1" applyBorder="1" applyAlignment="1">
      <alignment horizontal="left"/>
    </xf>
    <xf numFmtId="181" fontId="6" fillId="2" borderId="9" xfId="0" applyNumberFormat="1" applyFont="1" applyFill="1" applyBorder="1" applyAlignment="1">
      <alignment horizontal="left"/>
    </xf>
    <xf numFmtId="165" fontId="5" fillId="2" borderId="0" xfId="0" applyNumberFormat="1" applyFont="1" applyFill="1"/>
    <xf numFmtId="165" fontId="5" fillId="2" borderId="0" xfId="0" applyNumberFormat="1" applyFont="1" applyFill="1" applyAlignment="1">
      <alignment horizontal="left"/>
    </xf>
    <xf numFmtId="0" fontId="8" fillId="2" borderId="8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168" fontId="5" fillId="2" borderId="0" xfId="0" applyNumberFormat="1" applyFont="1" applyFill="1"/>
    <xf numFmtId="173" fontId="5" fillId="2" borderId="0" xfId="0" applyNumberFormat="1" applyFont="1" applyFill="1"/>
    <xf numFmtId="173" fontId="5" fillId="2" borderId="0" xfId="0" applyNumberFormat="1" applyFont="1" applyFill="1" applyAlignment="1">
      <alignment horizontal="left"/>
    </xf>
    <xf numFmtId="0" fontId="8" fillId="2" borderId="10" xfId="0" applyFont="1" applyFill="1" applyBorder="1" applyAlignment="1">
      <alignment horizontal="right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right"/>
    </xf>
    <xf numFmtId="0" fontId="8" fillId="2" borderId="11" xfId="0" applyFont="1" applyFill="1" applyBorder="1"/>
    <xf numFmtId="0" fontId="8" fillId="2" borderId="12" xfId="0" applyFont="1" applyFill="1" applyBorder="1"/>
    <xf numFmtId="0" fontId="8" fillId="2" borderId="1" xfId="0" applyFont="1" applyFill="1" applyBorder="1" applyAlignment="1">
      <alignment horizontal="center" wrapText="1"/>
    </xf>
    <xf numFmtId="0" fontId="29" fillId="2" borderId="0" xfId="0" applyFont="1" applyFill="1"/>
    <xf numFmtId="0" fontId="31" fillId="2" borderId="0" xfId="0" applyFont="1" applyFill="1" applyAlignment="1" applyProtection="1">
      <alignment horizontal="center"/>
      <protection locked="0"/>
    </xf>
    <xf numFmtId="0" fontId="41" fillId="2" borderId="1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left" vertical="center"/>
    </xf>
    <xf numFmtId="0" fontId="29" fillId="2" borderId="0" xfId="0" applyFont="1" applyFill="1" applyAlignment="1">
      <alignment vertical="center"/>
    </xf>
    <xf numFmtId="0" fontId="41" fillId="2" borderId="1" xfId="0" applyFont="1" applyFill="1" applyBorder="1" applyAlignment="1" applyProtection="1">
      <alignment horizontal="center" vertical="center"/>
      <protection locked="0"/>
    </xf>
    <xf numFmtId="0" fontId="28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center" vertical="center"/>
    </xf>
    <xf numFmtId="171" fontId="8" fillId="2" borderId="1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2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>
      <alignment horizontal="center" vertical="center"/>
    </xf>
    <xf numFmtId="174" fontId="8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right"/>
    </xf>
    <xf numFmtId="0" fontId="8" fillId="2" borderId="13" xfId="0" quotePrefix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0" fontId="8" fillId="2" borderId="17" xfId="0" applyFont="1" applyFill="1" applyBorder="1" applyAlignment="1">
      <alignment horizontal="center" vertical="center"/>
    </xf>
    <xf numFmtId="0" fontId="42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41" fillId="2" borderId="15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vertical="center"/>
    </xf>
    <xf numFmtId="0" fontId="32" fillId="2" borderId="0" xfId="0" applyFont="1" applyFill="1"/>
    <xf numFmtId="3" fontId="19" fillId="2" borderId="1" xfId="0" applyNumberFormat="1" applyFont="1" applyFill="1" applyBorder="1" applyAlignment="1" applyProtection="1">
      <alignment horizontal="center" vertical="center"/>
      <protection locked="0"/>
    </xf>
    <xf numFmtId="3" fontId="8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/>
    </xf>
    <xf numFmtId="0" fontId="34" fillId="2" borderId="1" xfId="0" applyFont="1" applyFill="1" applyBorder="1" applyAlignment="1">
      <alignment horizontal="center"/>
    </xf>
    <xf numFmtId="3" fontId="34" fillId="2" borderId="1" xfId="0" applyNumberFormat="1" applyFont="1" applyFill="1" applyBorder="1" applyAlignment="1">
      <alignment horizontal="center"/>
    </xf>
    <xf numFmtId="183" fontId="34" fillId="2" borderId="1" xfId="0" applyNumberFormat="1" applyFont="1" applyFill="1" applyBorder="1" applyAlignment="1">
      <alignment horizontal="center"/>
    </xf>
    <xf numFmtId="0" fontId="34" fillId="2" borderId="0" xfId="0" applyFont="1" applyFill="1" applyAlignment="1">
      <alignment horizontal="center"/>
    </xf>
    <xf numFmtId="3" fontId="34" fillId="2" borderId="0" xfId="0" applyNumberFormat="1" applyFont="1" applyFill="1" applyAlignment="1">
      <alignment horizontal="center"/>
    </xf>
    <xf numFmtId="179" fontId="16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left" vertical="center"/>
    </xf>
    <xf numFmtId="0" fontId="8" fillId="2" borderId="1" xfId="0" quotePrefix="1" applyFont="1" applyFill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3" fontId="19" fillId="2" borderId="0" xfId="0" applyNumberFormat="1" applyFont="1" applyFill="1" applyAlignment="1" applyProtection="1">
      <alignment horizontal="center" vertic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2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38" fillId="2" borderId="1" xfId="0" applyFont="1" applyFill="1" applyBorder="1" applyAlignment="1">
      <alignment vertical="center"/>
    </xf>
    <xf numFmtId="0" fontId="38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6" fillId="2" borderId="0" xfId="0" applyFont="1" applyFill="1" applyAlignment="1">
      <alignment horizontal="center"/>
    </xf>
    <xf numFmtId="0" fontId="39" fillId="2" borderId="1" xfId="0" applyFont="1" applyFill="1" applyBorder="1"/>
    <xf numFmtId="0" fontId="8" fillId="2" borderId="17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Alignment="1">
      <alignment horizontal="center"/>
    </xf>
    <xf numFmtId="183" fontId="34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181" fontId="6" fillId="2" borderId="0" xfId="0" applyNumberFormat="1" applyFont="1" applyFill="1"/>
    <xf numFmtId="0" fontId="8" fillId="5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/>
    <xf numFmtId="0" fontId="36" fillId="5" borderId="1" xfId="0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0" fontId="35" fillId="2" borderId="0" xfId="0" applyFont="1" applyFill="1"/>
    <xf numFmtId="0" fontId="1" fillId="5" borderId="1" xfId="0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40" fillId="2" borderId="0" xfId="0" applyFont="1" applyFill="1" applyAlignment="1">
      <alignment horizontal="right"/>
    </xf>
    <xf numFmtId="0" fontId="34" fillId="2" borderId="0" xfId="0" applyFont="1" applyFill="1" applyAlignment="1">
      <alignment horizontal="left"/>
    </xf>
    <xf numFmtId="183" fontId="34" fillId="2" borderId="0" xfId="0" applyNumberFormat="1" applyFont="1" applyFill="1" applyAlignment="1">
      <alignment horizontal="left"/>
    </xf>
    <xf numFmtId="0" fontId="8" fillId="5" borderId="1" xfId="0" applyFont="1" applyFill="1" applyBorder="1" applyAlignment="1">
      <alignment horizontal="left"/>
    </xf>
    <xf numFmtId="0" fontId="34" fillId="2" borderId="1" xfId="0" applyFont="1" applyFill="1" applyBorder="1" applyAlignment="1">
      <alignment horizontal="left"/>
    </xf>
    <xf numFmtId="183" fontId="34" fillId="2" borderId="1" xfId="0" applyNumberFormat="1" applyFont="1" applyFill="1" applyBorder="1" applyAlignment="1">
      <alignment horizontal="left"/>
    </xf>
    <xf numFmtId="3" fontId="19" fillId="2" borderId="0" xfId="0" applyNumberFormat="1" applyFont="1" applyFill="1" applyAlignment="1" applyProtection="1">
      <alignment horizontal="left" vertical="center"/>
      <protection locked="0"/>
    </xf>
    <xf numFmtId="0" fontId="19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>
      <alignment horizontal="left"/>
    </xf>
    <xf numFmtId="0" fontId="8" fillId="5" borderId="0" xfId="0" applyFont="1" applyFill="1"/>
    <xf numFmtId="0" fontId="2" fillId="2" borderId="5" xfId="0" applyFont="1" applyFill="1" applyBorder="1"/>
    <xf numFmtId="0" fontId="40" fillId="2" borderId="6" xfId="0" applyFont="1" applyFill="1" applyBorder="1" applyAlignment="1">
      <alignment horizontal="right"/>
    </xf>
    <xf numFmtId="0" fontId="40" fillId="2" borderId="6" xfId="0" applyFont="1" applyFill="1" applyBorder="1"/>
    <xf numFmtId="0" fontId="15" fillId="2" borderId="8" xfId="0" applyFont="1" applyFill="1" applyBorder="1"/>
    <xf numFmtId="0" fontId="15" fillId="2" borderId="0" xfId="0" applyFont="1" applyFill="1"/>
    <xf numFmtId="0" fontId="15" fillId="2" borderId="8" xfId="0" applyFont="1" applyFill="1" applyBorder="1" applyAlignment="1">
      <alignment horizontal="right"/>
    </xf>
    <xf numFmtId="0" fontId="44" fillId="2" borderId="0" xfId="0" applyFont="1" applyFill="1" applyAlignment="1" applyProtection="1">
      <alignment horizontal="left"/>
      <protection locked="0"/>
    </xf>
    <xf numFmtId="0" fontId="15" fillId="2" borderId="10" xfId="0" applyFont="1" applyFill="1" applyBorder="1" applyAlignment="1">
      <alignment horizontal="right"/>
    </xf>
    <xf numFmtId="0" fontId="15" fillId="2" borderId="11" xfId="0" applyFont="1" applyFill="1" applyBorder="1"/>
    <xf numFmtId="0" fontId="8" fillId="2" borderId="12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40" fillId="2" borderId="0" xfId="0" applyFont="1" applyFill="1"/>
    <xf numFmtId="0" fontId="8" fillId="2" borderId="6" xfId="0" applyFont="1" applyFill="1" applyBorder="1" applyAlignment="1">
      <alignment horizontal="right"/>
    </xf>
    <xf numFmtId="188" fontId="6" fillId="2" borderId="9" xfId="0" applyNumberFormat="1" applyFont="1" applyFill="1" applyBorder="1" applyAlignment="1">
      <alignment horizontal="left"/>
    </xf>
    <xf numFmtId="0" fontId="43" fillId="2" borderId="0" xfId="0" applyFont="1" applyFill="1" applyAlignment="1" applyProtection="1">
      <alignment horizontal="left"/>
      <protection locked="0"/>
    </xf>
    <xf numFmtId="189" fontId="0" fillId="2" borderId="1" xfId="0" applyNumberFormat="1" applyFill="1" applyBorder="1" applyAlignment="1">
      <alignment horizontal="center"/>
    </xf>
    <xf numFmtId="0" fontId="3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 applyProtection="1">
      <alignment horizontal="center" vertical="center"/>
      <protection locked="0"/>
    </xf>
    <xf numFmtId="3" fontId="48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180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10" fillId="2" borderId="8" xfId="0" applyFont="1" applyFill="1" applyBorder="1" applyAlignment="1">
      <alignment horizontal="right"/>
    </xf>
    <xf numFmtId="0" fontId="10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 wrapText="1"/>
    </xf>
    <xf numFmtId="3" fontId="10" fillId="2" borderId="8" xfId="0" applyNumberFormat="1" applyFont="1" applyFill="1" applyBorder="1" applyAlignment="1">
      <alignment horizontal="right"/>
    </xf>
    <xf numFmtId="3" fontId="19" fillId="2" borderId="1" xfId="0" applyNumberFormat="1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center"/>
    </xf>
    <xf numFmtId="2" fontId="48" fillId="2" borderId="1" xfId="0" applyNumberFormat="1" applyFont="1" applyFill="1" applyBorder="1" applyAlignment="1" applyProtection="1">
      <alignment horizontal="center" vertical="center"/>
      <protection locked="0"/>
    </xf>
    <xf numFmtId="190" fontId="6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right"/>
    </xf>
    <xf numFmtId="181" fontId="6" fillId="2" borderId="0" xfId="0" applyNumberFormat="1" applyFont="1" applyFill="1" applyAlignment="1">
      <alignment horizontal="center"/>
    </xf>
    <xf numFmtId="14" fontId="44" fillId="2" borderId="11" xfId="0" applyNumberFormat="1" applyFont="1" applyFill="1" applyBorder="1" applyAlignment="1" applyProtection="1">
      <alignment horizontal="left"/>
      <protection locked="0"/>
    </xf>
    <xf numFmtId="0" fontId="33" fillId="3" borderId="3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181" fontId="6" fillId="2" borderId="3" xfId="0" applyNumberFormat="1" applyFont="1" applyFill="1" applyBorder="1" applyAlignment="1">
      <alignment horizontal="center"/>
    </xf>
    <xf numFmtId="181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 shrinkToFit="1"/>
    </xf>
    <xf numFmtId="181" fontId="6" fillId="2" borderId="0" xfId="0" applyNumberFormat="1" applyFont="1" applyFill="1" applyAlignment="1">
      <alignment horizont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right"/>
    </xf>
    <xf numFmtId="181" fontId="6" fillId="2" borderId="1" xfId="0" applyNumberFormat="1" applyFont="1" applyFill="1" applyBorder="1" applyAlignment="1">
      <alignment horizontal="center"/>
    </xf>
    <xf numFmtId="0" fontId="45" fillId="5" borderId="1" xfId="0" applyFont="1" applyFill="1" applyBorder="1" applyAlignment="1">
      <alignment horizontal="center" vertical="center" wrapText="1"/>
    </xf>
  </cellXfs>
  <cellStyles count="9">
    <cellStyle name="entré" xfId="1" xr:uid="{00000000-0005-0000-0000-000000000000}"/>
    <cellStyle name="entré 2" xfId="2" xr:uid="{00000000-0005-0000-0000-000001000000}"/>
    <cellStyle name="entré 2 2" xfId="7" xr:uid="{00000000-0005-0000-0000-000002000000}"/>
    <cellStyle name="Euro" xfId="3" xr:uid="{00000000-0005-0000-0000-000003000000}"/>
    <cellStyle name="Euro 2" xfId="4" xr:uid="{00000000-0005-0000-0000-000004000000}"/>
    <cellStyle name="Euro 3" xfId="8" xr:uid="{00000000-0005-0000-0000-000005000000}"/>
    <cellStyle name="Normal" xfId="0" builtinId="0"/>
    <cellStyle name="Normal 2" xfId="5" xr:uid="{00000000-0005-0000-0000-000007000000}"/>
    <cellStyle name="Normal 3" xfId="6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28575</xdr:rowOff>
    </xdr:from>
    <xdr:to>
      <xdr:col>7</xdr:col>
      <xdr:colOff>504825</xdr:colOff>
      <xdr:row>0</xdr:row>
      <xdr:rowOff>828675</xdr:rowOff>
    </xdr:to>
    <xdr:grpSp>
      <xdr:nvGrpSpPr>
        <xdr:cNvPr id="268936" name="Groupe 8">
          <a:extLst>
            <a:ext uri="{FF2B5EF4-FFF2-40B4-BE49-F238E27FC236}">
              <a16:creationId xmlns:a16="http://schemas.microsoft.com/office/drawing/2014/main" id="{00000000-0008-0000-0000-0000881A0400}"/>
            </a:ext>
          </a:extLst>
        </xdr:cNvPr>
        <xdr:cNvGrpSpPr>
          <a:grpSpLocks/>
        </xdr:cNvGrpSpPr>
      </xdr:nvGrpSpPr>
      <xdr:grpSpPr bwMode="auto">
        <a:xfrm>
          <a:off x="95250" y="25400"/>
          <a:ext cx="6407150" cy="800100"/>
          <a:chOff x="95250" y="38100"/>
          <a:chExt cx="6129560" cy="762000"/>
        </a:xfrm>
      </xdr:grpSpPr>
      <xdr:sp macro="" textlink="">
        <xdr:nvSpPr>
          <xdr:cNvPr id="1380" name="Text Box 356">
            <a:extLst>
              <a:ext uri="{FF2B5EF4-FFF2-40B4-BE49-F238E27FC236}">
                <a16:creationId xmlns:a16="http://schemas.microsoft.com/office/drawing/2014/main" id="{00000000-0008-0000-0000-000064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64727" y="92529"/>
            <a:ext cx="1475282" cy="68035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100" b="0" i="0" u="none" strike="noStrike" baseline="0">
                <a:solidFill>
                  <a:srgbClr val="000000"/>
                </a:solidFill>
                <a:latin typeface="Eras Medium ITC"/>
              </a:rPr>
              <a:t>Kuklensko shosse 21</a:t>
            </a:r>
          </a:p>
          <a:p>
            <a:pPr algn="l" rtl="0">
              <a:defRPr sz="1000"/>
            </a:pPr>
            <a:r>
              <a:rPr lang="fr-FR" sz="1100" b="0" i="0" u="none" strike="noStrike" baseline="0">
                <a:solidFill>
                  <a:srgbClr val="000000"/>
                </a:solidFill>
                <a:latin typeface="Eras Medium ITC"/>
                <a:cs typeface="Times New Roman"/>
              </a:rPr>
              <a:t>4004 Plovdiv</a:t>
            </a:r>
            <a:br>
              <a:rPr lang="fr-FR" sz="1100" b="0" i="0" u="none" strike="noStrike" baseline="0">
                <a:solidFill>
                  <a:srgbClr val="000000"/>
                </a:solidFill>
                <a:latin typeface="Eras Medium ITC"/>
                <a:cs typeface="Times New Roman"/>
              </a:rPr>
            </a:br>
            <a:r>
              <a:rPr lang="fr-FR" sz="1100" b="0" i="0" u="none" strike="noStrike" baseline="0">
                <a:solidFill>
                  <a:srgbClr val="000000"/>
                </a:solidFill>
                <a:latin typeface="Eras Medium ITC"/>
                <a:cs typeface="Times New Roman"/>
              </a:rPr>
              <a:t>Bulgaria</a:t>
            </a:r>
            <a:endParaRPr lang="fr-FR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fr-FR"/>
          </a:p>
        </xdr:txBody>
      </xdr:sp>
      <xdr:pic>
        <xdr:nvPicPr>
          <xdr:cNvPr id="268988" name="Picture 359" descr="SIGUREN_nom-logo_600px-300dpi">
            <a:extLst>
              <a:ext uri="{FF2B5EF4-FFF2-40B4-BE49-F238E27FC236}">
                <a16:creationId xmlns:a16="http://schemas.microsoft.com/office/drawing/2014/main" id="{00000000-0008-0000-0000-0000BC1A04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0" y="38100"/>
            <a:ext cx="3159970" cy="762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84" name="Text Box 360">
            <a:extLst>
              <a:ext uri="{FF2B5EF4-FFF2-40B4-BE49-F238E27FC236}">
                <a16:creationId xmlns:a16="http://schemas.microsoft.com/office/drawing/2014/main" id="{00000000-0008-0000-0000-000068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25794" y="110671"/>
            <a:ext cx="1599016" cy="68942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fr-FR" sz="1100" b="0" i="0" u="none" strike="noStrike" baseline="0">
                <a:solidFill>
                  <a:srgbClr val="000000"/>
                </a:solidFill>
                <a:latin typeface="Eras Medium ITC"/>
              </a:rPr>
              <a:t>Tel: +359 889 278 227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fr-FR" sz="1100" b="0" i="0" u="none" strike="noStrike" baseline="0">
                <a:solidFill>
                  <a:srgbClr val="000000"/>
                </a:solidFill>
                <a:latin typeface="Eras Medium ITC"/>
              </a:rPr>
              <a:t>contact@siguren.com</a:t>
            </a:r>
            <a:endParaRPr lang="fr-F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200"/>
              </a:lnSpc>
              <a:defRPr sz="1000"/>
            </a:pPr>
            <a:endParaRPr lang="fr-FR"/>
          </a:p>
        </xdr:txBody>
      </xdr:sp>
    </xdr:grpSp>
    <xdr:clientData/>
  </xdr:twoCellAnchor>
  <xdr:twoCellAnchor editAs="oneCell">
    <xdr:from>
      <xdr:col>0</xdr:col>
      <xdr:colOff>609600</xdr:colOff>
      <xdr:row>76</xdr:row>
      <xdr:rowOff>0</xdr:rowOff>
    </xdr:from>
    <xdr:to>
      <xdr:col>5</xdr:col>
      <xdr:colOff>723900</xdr:colOff>
      <xdr:row>95</xdr:row>
      <xdr:rowOff>57150</xdr:rowOff>
    </xdr:to>
    <xdr:grpSp>
      <xdr:nvGrpSpPr>
        <xdr:cNvPr id="268938" name="Groupe 7">
          <a:extLst>
            <a:ext uri="{FF2B5EF4-FFF2-40B4-BE49-F238E27FC236}">
              <a16:creationId xmlns:a16="http://schemas.microsoft.com/office/drawing/2014/main" id="{00000000-0008-0000-0000-00008A1A0400}"/>
            </a:ext>
          </a:extLst>
        </xdr:cNvPr>
        <xdr:cNvGrpSpPr>
          <a:grpSpLocks/>
        </xdr:cNvGrpSpPr>
      </xdr:nvGrpSpPr>
      <xdr:grpSpPr bwMode="auto">
        <a:xfrm>
          <a:off x="609600" y="12725400"/>
          <a:ext cx="4648200" cy="3133725"/>
          <a:chOff x="609600" y="10782300"/>
          <a:chExt cx="4438650" cy="3619501"/>
        </a:xfrm>
      </xdr:grpSpPr>
      <xdr:sp macro="" textlink="">
        <xdr:nvSpPr>
          <xdr:cNvPr id="268939" name="Rectangle 50">
            <a:extLst>
              <a:ext uri="{FF2B5EF4-FFF2-40B4-BE49-F238E27FC236}">
                <a16:creationId xmlns:a16="http://schemas.microsoft.com/office/drawing/2014/main" id="{00000000-0008-0000-0000-00008B1A0400}"/>
              </a:ext>
            </a:extLst>
          </xdr:cNvPr>
          <xdr:cNvSpPr>
            <a:spLocks noChangeArrowheads="1"/>
          </xdr:cNvSpPr>
        </xdr:nvSpPr>
        <xdr:spPr bwMode="auto">
          <a:xfrm>
            <a:off x="2730741" y="13784488"/>
            <a:ext cx="577967" cy="5123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8940" name="Rectangle 7">
            <a:extLst>
              <a:ext uri="{FF2B5EF4-FFF2-40B4-BE49-F238E27FC236}">
                <a16:creationId xmlns:a16="http://schemas.microsoft.com/office/drawing/2014/main" id="{00000000-0008-0000-0000-00008C1A0400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747156" y="10907896"/>
            <a:ext cx="950178" cy="2108693"/>
          </a:xfrm>
          <a:prstGeom prst="rect">
            <a:avLst/>
          </a:prstGeom>
          <a:noFill/>
          <a:ln w="158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8941" name="Rectangle 8">
            <a:extLst>
              <a:ext uri="{FF2B5EF4-FFF2-40B4-BE49-F238E27FC236}">
                <a16:creationId xmlns:a16="http://schemas.microsoft.com/office/drawing/2014/main" id="{00000000-0008-0000-0000-00008D1A0400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1777672" y="12082330"/>
            <a:ext cx="2538433" cy="896250"/>
          </a:xfrm>
          <a:prstGeom prst="rect">
            <a:avLst/>
          </a:prstGeom>
          <a:noFill/>
          <a:ln w="158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8942" name="Rectangle 9">
            <a:extLst>
              <a:ext uri="{FF2B5EF4-FFF2-40B4-BE49-F238E27FC236}">
                <a16:creationId xmlns:a16="http://schemas.microsoft.com/office/drawing/2014/main" id="{00000000-0008-0000-0000-00008E1A0400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4365810" y="12268521"/>
            <a:ext cx="187140" cy="570691"/>
          </a:xfrm>
          <a:prstGeom prst="rect">
            <a:avLst/>
          </a:prstGeom>
          <a:noFill/>
          <a:ln w="158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8943" name="Rectangle 10">
            <a:extLst>
              <a:ext uri="{FF2B5EF4-FFF2-40B4-BE49-F238E27FC236}">
                <a16:creationId xmlns:a16="http://schemas.microsoft.com/office/drawing/2014/main" id="{00000000-0008-0000-0000-00008F1A0400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1796745" y="10915608"/>
            <a:ext cx="226563" cy="439586"/>
          </a:xfrm>
          <a:prstGeom prst="rect">
            <a:avLst/>
          </a:prstGeom>
          <a:noFill/>
          <a:ln w="158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8944" name="Rectangle 11">
            <a:extLst>
              <a:ext uri="{FF2B5EF4-FFF2-40B4-BE49-F238E27FC236}">
                <a16:creationId xmlns:a16="http://schemas.microsoft.com/office/drawing/2014/main" id="{00000000-0008-0000-0000-0000901A0400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2231377" y="10782300"/>
            <a:ext cx="1266905" cy="702898"/>
          </a:xfrm>
          <a:prstGeom prst="rect">
            <a:avLst/>
          </a:prstGeom>
          <a:noFill/>
          <a:ln w="158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8945" name="Rectangle 12">
            <a:extLst>
              <a:ext uri="{FF2B5EF4-FFF2-40B4-BE49-F238E27FC236}">
                <a16:creationId xmlns:a16="http://schemas.microsoft.com/office/drawing/2014/main" id="{00000000-0008-0000-0000-0000911A0400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3510997" y="10782300"/>
            <a:ext cx="204600" cy="702898"/>
          </a:xfrm>
          <a:prstGeom prst="rect">
            <a:avLst/>
          </a:prstGeom>
          <a:noFill/>
          <a:ln w="158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8946" name="Line 13">
            <a:extLst>
              <a:ext uri="{FF2B5EF4-FFF2-40B4-BE49-F238E27FC236}">
                <a16:creationId xmlns:a16="http://schemas.microsoft.com/office/drawing/2014/main" id="{00000000-0008-0000-0000-000092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3588444" y="10870988"/>
            <a:ext cx="1156" cy="51560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47" name="Line 14">
            <a:extLst>
              <a:ext uri="{FF2B5EF4-FFF2-40B4-BE49-F238E27FC236}">
                <a16:creationId xmlns:a16="http://schemas.microsoft.com/office/drawing/2014/main" id="{00000000-0008-0000-0000-000093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3648553" y="10818106"/>
            <a:ext cx="578" cy="631837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48" name="Line 15">
            <a:extLst>
              <a:ext uri="{FF2B5EF4-FFF2-40B4-BE49-F238E27FC236}">
                <a16:creationId xmlns:a16="http://schemas.microsoft.com/office/drawing/2014/main" id="{00000000-0008-0000-0000-000094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3527758" y="10825267"/>
            <a:ext cx="1156" cy="27487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49" name="Rectangle 16">
            <a:extLst>
              <a:ext uri="{FF2B5EF4-FFF2-40B4-BE49-F238E27FC236}">
                <a16:creationId xmlns:a16="http://schemas.microsoft.com/office/drawing/2014/main" id="{00000000-0008-0000-0000-0000951A0400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4606245" y="12167713"/>
            <a:ext cx="325396" cy="764594"/>
          </a:xfrm>
          <a:prstGeom prst="rect">
            <a:avLst/>
          </a:prstGeom>
          <a:noFill/>
          <a:ln w="158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grpSp>
        <xdr:nvGrpSpPr>
          <xdr:cNvPr id="268950" name="Group 17">
            <a:extLst>
              <a:ext uri="{FF2B5EF4-FFF2-40B4-BE49-F238E27FC236}">
                <a16:creationId xmlns:a16="http://schemas.microsoft.com/office/drawing/2014/main" id="{00000000-0008-0000-0000-0000961A0400}"/>
              </a:ext>
            </a:extLst>
          </xdr:cNvPr>
          <xdr:cNvGrpSpPr>
            <a:grpSpLocks/>
          </xdr:cNvGrpSpPr>
        </xdr:nvGrpSpPr>
        <xdr:grpSpPr bwMode="auto">
          <a:xfrm rot="-5441709">
            <a:off x="4591453" y="11828777"/>
            <a:ext cx="361915" cy="312102"/>
            <a:chOff x="5108" y="5730"/>
            <a:chExt cx="652" cy="345"/>
          </a:xfrm>
        </xdr:grpSpPr>
        <xdr:sp macro="" textlink="">
          <xdr:nvSpPr>
            <xdr:cNvPr id="268981" name="Rectangle 18">
              <a:extLst>
                <a:ext uri="{FF2B5EF4-FFF2-40B4-BE49-F238E27FC236}">
                  <a16:creationId xmlns:a16="http://schemas.microsoft.com/office/drawing/2014/main" id="{00000000-0008-0000-0000-0000B51A04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75" y="5775"/>
              <a:ext cx="510" cy="240"/>
            </a:xfrm>
            <a:prstGeom prst="rect">
              <a:avLst/>
            </a:prstGeom>
            <a:noFill/>
            <a:ln w="1587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68982" name="Line 19">
              <a:extLst>
                <a:ext uri="{FF2B5EF4-FFF2-40B4-BE49-F238E27FC236}">
                  <a16:creationId xmlns:a16="http://schemas.microsoft.com/office/drawing/2014/main" id="{00000000-0008-0000-0000-0000B61A04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5108" y="5730"/>
              <a:ext cx="60" cy="45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8983" name="Line 20">
              <a:extLst>
                <a:ext uri="{FF2B5EF4-FFF2-40B4-BE49-F238E27FC236}">
                  <a16:creationId xmlns:a16="http://schemas.microsoft.com/office/drawing/2014/main" id="{00000000-0008-0000-0000-0000B71A04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108" y="6015"/>
              <a:ext cx="67" cy="60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8984" name="Line 21">
              <a:extLst>
                <a:ext uri="{FF2B5EF4-FFF2-40B4-BE49-F238E27FC236}">
                  <a16:creationId xmlns:a16="http://schemas.microsoft.com/office/drawing/2014/main" id="{00000000-0008-0000-0000-0000B81A04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685" y="5774"/>
              <a:ext cx="75" cy="38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8985" name="Line 22">
              <a:extLst>
                <a:ext uri="{FF2B5EF4-FFF2-40B4-BE49-F238E27FC236}">
                  <a16:creationId xmlns:a16="http://schemas.microsoft.com/office/drawing/2014/main" id="{00000000-0008-0000-0000-0000B91A04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60" y="5813"/>
              <a:ext cx="0" cy="157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8986" name="Line 23">
              <a:extLst>
                <a:ext uri="{FF2B5EF4-FFF2-40B4-BE49-F238E27FC236}">
                  <a16:creationId xmlns:a16="http://schemas.microsoft.com/office/drawing/2014/main" id="{00000000-0008-0000-0000-0000BA1A04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681" y="5973"/>
              <a:ext cx="75" cy="38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8951" name="Line 24">
            <a:extLst>
              <a:ext uri="{FF2B5EF4-FFF2-40B4-BE49-F238E27FC236}">
                <a16:creationId xmlns:a16="http://schemas.microsoft.com/office/drawing/2014/main" id="{00000000-0008-0000-0000-000097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4763452" y="11901648"/>
            <a:ext cx="0" cy="1096212"/>
          </a:xfrm>
          <a:prstGeom prst="line">
            <a:avLst/>
          </a:prstGeom>
          <a:noFill/>
          <a:ln w="3175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52" name="Line 25">
            <a:extLst>
              <a:ext uri="{FF2B5EF4-FFF2-40B4-BE49-F238E27FC236}">
                <a16:creationId xmlns:a16="http://schemas.microsoft.com/office/drawing/2014/main" id="{00000000-0008-0000-0000-000098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4183751" y="12084533"/>
            <a:ext cx="2276" cy="896250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53" name="Line 26">
            <a:extLst>
              <a:ext uri="{FF2B5EF4-FFF2-40B4-BE49-F238E27FC236}">
                <a16:creationId xmlns:a16="http://schemas.microsoft.com/office/drawing/2014/main" id="{00000000-0008-0000-0000-000099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1885752" y="12075720"/>
            <a:ext cx="578" cy="905063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54" name="Line 27">
            <a:extLst>
              <a:ext uri="{FF2B5EF4-FFF2-40B4-BE49-F238E27FC236}">
                <a16:creationId xmlns:a16="http://schemas.microsoft.com/office/drawing/2014/main" id="{00000000-0008-0000-0000-00009A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3233572" y="12084533"/>
            <a:ext cx="1156" cy="887436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55" name="Line 28">
            <a:extLst>
              <a:ext uri="{FF2B5EF4-FFF2-40B4-BE49-F238E27FC236}">
                <a16:creationId xmlns:a16="http://schemas.microsoft.com/office/drawing/2014/main" id="{00000000-0008-0000-0000-00009B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2808766" y="12075720"/>
            <a:ext cx="0" cy="905063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56" name="Line 29">
            <a:extLst>
              <a:ext uri="{FF2B5EF4-FFF2-40B4-BE49-F238E27FC236}">
                <a16:creationId xmlns:a16="http://schemas.microsoft.com/office/drawing/2014/main" id="{00000000-0008-0000-0000-00009C1A0400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3227215" y="12080127"/>
            <a:ext cx="958848" cy="888537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57" name="Line 30">
            <a:extLst>
              <a:ext uri="{FF2B5EF4-FFF2-40B4-BE49-F238E27FC236}">
                <a16:creationId xmlns:a16="http://schemas.microsoft.com/office/drawing/2014/main" id="{00000000-0008-0000-0000-00009D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1878817" y="12080127"/>
            <a:ext cx="923014" cy="888537"/>
          </a:xfrm>
          <a:prstGeom prst="lin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58" name="Line 31">
            <a:extLst>
              <a:ext uri="{FF2B5EF4-FFF2-40B4-BE49-F238E27FC236}">
                <a16:creationId xmlns:a16="http://schemas.microsoft.com/office/drawing/2014/main" id="{00000000-0008-0000-0000-00009E1A0400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3500015" y="11133749"/>
            <a:ext cx="80337" cy="330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59" name="Line 32">
            <a:extLst>
              <a:ext uri="{FF2B5EF4-FFF2-40B4-BE49-F238E27FC236}">
                <a16:creationId xmlns:a16="http://schemas.microsoft.com/office/drawing/2014/main" id="{00000000-0008-0000-0000-00009F1A0400}"/>
              </a:ext>
            </a:extLst>
          </xdr:cNvPr>
          <xdr:cNvSpPr>
            <a:spLocks noChangeShapeType="1"/>
          </xdr:cNvSpPr>
        </xdr:nvSpPr>
        <xdr:spPr bwMode="auto">
          <a:xfrm rot="10800000" flipH="1">
            <a:off x="3503483" y="11444985"/>
            <a:ext cx="177436" cy="551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0" name="Line 33">
            <a:extLst>
              <a:ext uri="{FF2B5EF4-FFF2-40B4-BE49-F238E27FC236}">
                <a16:creationId xmlns:a16="http://schemas.microsoft.com/office/drawing/2014/main" id="{00000000-0008-0000-0000-0000A01A0400}"/>
              </a:ext>
            </a:extLst>
          </xdr:cNvPr>
          <xdr:cNvSpPr>
            <a:spLocks noChangeShapeType="1"/>
          </xdr:cNvSpPr>
        </xdr:nvSpPr>
        <xdr:spPr bwMode="auto">
          <a:xfrm rot="10800000">
            <a:off x="3502327" y="10820309"/>
            <a:ext cx="182060" cy="551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1" name="Line 34">
            <a:extLst>
              <a:ext uri="{FF2B5EF4-FFF2-40B4-BE49-F238E27FC236}">
                <a16:creationId xmlns:a16="http://schemas.microsoft.com/office/drawing/2014/main" id="{00000000-0008-0000-0000-0000A11A0400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3527758" y="11171758"/>
            <a:ext cx="1156" cy="279286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2" name="Line 35">
            <a:extLst>
              <a:ext uri="{FF2B5EF4-FFF2-40B4-BE49-F238E27FC236}">
                <a16:creationId xmlns:a16="http://schemas.microsoft.com/office/drawing/2014/main" id="{00000000-0008-0000-0000-0000A21A0400}"/>
              </a:ext>
            </a:extLst>
          </xdr:cNvPr>
          <xdr:cNvSpPr>
            <a:spLocks noChangeShapeType="1"/>
          </xdr:cNvSpPr>
        </xdr:nvSpPr>
        <xdr:spPr bwMode="auto">
          <a:xfrm>
            <a:off x="1697913" y="11134851"/>
            <a:ext cx="20691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3" name="Line 36">
            <a:extLst>
              <a:ext uri="{FF2B5EF4-FFF2-40B4-BE49-F238E27FC236}">
                <a16:creationId xmlns:a16="http://schemas.microsoft.com/office/drawing/2014/main" id="{00000000-0008-0000-0000-0000A31A0400}"/>
              </a:ext>
            </a:extLst>
          </xdr:cNvPr>
          <xdr:cNvSpPr>
            <a:spLocks noChangeShapeType="1"/>
          </xdr:cNvSpPr>
        </xdr:nvSpPr>
        <xdr:spPr bwMode="auto">
          <a:xfrm>
            <a:off x="2022730" y="11134851"/>
            <a:ext cx="208068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4" name="Line 37">
            <a:extLst>
              <a:ext uri="{FF2B5EF4-FFF2-40B4-BE49-F238E27FC236}">
                <a16:creationId xmlns:a16="http://schemas.microsoft.com/office/drawing/2014/main" id="{00000000-0008-0000-0000-0000A41A0400}"/>
              </a:ext>
            </a:extLst>
          </xdr:cNvPr>
          <xdr:cNvSpPr>
            <a:spLocks noChangeShapeType="1"/>
          </xdr:cNvSpPr>
        </xdr:nvSpPr>
        <xdr:spPr bwMode="auto">
          <a:xfrm>
            <a:off x="1696179" y="12547807"/>
            <a:ext cx="82071" cy="0"/>
          </a:xfrm>
          <a:prstGeom prst="line">
            <a:avLst/>
          </a:prstGeom>
          <a:noFill/>
          <a:ln w="1270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5" name="Line 38">
            <a:extLst>
              <a:ext uri="{FF2B5EF4-FFF2-40B4-BE49-F238E27FC236}">
                <a16:creationId xmlns:a16="http://schemas.microsoft.com/office/drawing/2014/main" id="{00000000-0008-0000-0000-0000A51A0400}"/>
              </a:ext>
            </a:extLst>
          </xdr:cNvPr>
          <xdr:cNvSpPr>
            <a:spLocks noChangeShapeType="1"/>
          </xdr:cNvSpPr>
        </xdr:nvSpPr>
        <xdr:spPr bwMode="auto">
          <a:xfrm>
            <a:off x="4316105" y="12547807"/>
            <a:ext cx="56063" cy="0"/>
          </a:xfrm>
          <a:prstGeom prst="line">
            <a:avLst/>
          </a:prstGeom>
          <a:noFill/>
          <a:ln w="1270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6" name="Line 39">
            <a:extLst>
              <a:ext uri="{FF2B5EF4-FFF2-40B4-BE49-F238E27FC236}">
                <a16:creationId xmlns:a16="http://schemas.microsoft.com/office/drawing/2014/main" id="{00000000-0008-0000-0000-0000A61A0400}"/>
              </a:ext>
            </a:extLst>
          </xdr:cNvPr>
          <xdr:cNvSpPr>
            <a:spLocks noChangeShapeType="1"/>
          </xdr:cNvSpPr>
        </xdr:nvSpPr>
        <xdr:spPr bwMode="auto">
          <a:xfrm>
            <a:off x="4557118" y="12547807"/>
            <a:ext cx="47393" cy="0"/>
          </a:xfrm>
          <a:prstGeom prst="line">
            <a:avLst/>
          </a:prstGeom>
          <a:noFill/>
          <a:ln w="1270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7" name="Line 40">
            <a:extLst>
              <a:ext uri="{FF2B5EF4-FFF2-40B4-BE49-F238E27FC236}">
                <a16:creationId xmlns:a16="http://schemas.microsoft.com/office/drawing/2014/main" id="{00000000-0008-0000-0000-0000A71A0400}"/>
              </a:ext>
            </a:extLst>
          </xdr:cNvPr>
          <xdr:cNvSpPr>
            <a:spLocks noChangeShapeType="1"/>
          </xdr:cNvSpPr>
        </xdr:nvSpPr>
        <xdr:spPr bwMode="auto">
          <a:xfrm>
            <a:off x="1912339" y="10978406"/>
            <a:ext cx="0" cy="309583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8" name="Line 41">
            <a:extLst>
              <a:ext uri="{FF2B5EF4-FFF2-40B4-BE49-F238E27FC236}">
                <a16:creationId xmlns:a16="http://schemas.microsoft.com/office/drawing/2014/main" id="{00000000-0008-0000-0000-0000A81A0400}"/>
              </a:ext>
            </a:extLst>
          </xdr:cNvPr>
          <xdr:cNvSpPr>
            <a:spLocks noChangeShapeType="1"/>
          </xdr:cNvSpPr>
        </xdr:nvSpPr>
        <xdr:spPr bwMode="auto">
          <a:xfrm>
            <a:off x="1996144" y="10944804"/>
            <a:ext cx="0" cy="384500"/>
          </a:xfrm>
          <a:prstGeom prst="line">
            <a:avLst/>
          </a:prstGeom>
          <a:noFill/>
          <a:ln w="762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69" name="Line 42">
            <a:extLst>
              <a:ext uri="{FF2B5EF4-FFF2-40B4-BE49-F238E27FC236}">
                <a16:creationId xmlns:a16="http://schemas.microsoft.com/office/drawing/2014/main" id="{00000000-0008-0000-0000-0000A91A04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879972" y="10998788"/>
            <a:ext cx="43348" cy="2644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70" name="Line 43">
            <a:extLst>
              <a:ext uri="{FF2B5EF4-FFF2-40B4-BE49-F238E27FC236}">
                <a16:creationId xmlns:a16="http://schemas.microsoft.com/office/drawing/2014/main" id="{00000000-0008-0000-0000-0000AA1A04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853964" y="10998788"/>
            <a:ext cx="21385" cy="25174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71" name="Line 44">
            <a:extLst>
              <a:ext uri="{FF2B5EF4-FFF2-40B4-BE49-F238E27FC236}">
                <a16:creationId xmlns:a16="http://schemas.microsoft.com/office/drawing/2014/main" id="{00000000-0008-0000-0000-0000AB1A04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801947" y="10994381"/>
            <a:ext cx="52017" cy="26055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72" name="Line 45">
            <a:extLst>
              <a:ext uri="{FF2B5EF4-FFF2-40B4-BE49-F238E27FC236}">
                <a16:creationId xmlns:a16="http://schemas.microsoft.com/office/drawing/2014/main" id="{00000000-0008-0000-0000-0000AC1A0400}"/>
              </a:ext>
            </a:extLst>
          </xdr:cNvPr>
          <xdr:cNvSpPr>
            <a:spLocks noChangeShapeType="1"/>
          </xdr:cNvSpPr>
        </xdr:nvSpPr>
        <xdr:spPr bwMode="auto">
          <a:xfrm>
            <a:off x="609600" y="11126588"/>
            <a:ext cx="3259736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73" name="Oval 46">
            <a:extLst>
              <a:ext uri="{FF2B5EF4-FFF2-40B4-BE49-F238E27FC236}">
                <a16:creationId xmlns:a16="http://schemas.microsoft.com/office/drawing/2014/main" id="{00000000-0008-0000-0000-0000AD1A0400}"/>
              </a:ext>
            </a:extLst>
          </xdr:cNvPr>
          <xdr:cNvSpPr>
            <a:spLocks noChangeArrowheads="1"/>
          </xdr:cNvSpPr>
        </xdr:nvSpPr>
        <xdr:spPr bwMode="auto">
          <a:xfrm>
            <a:off x="4415516" y="12283394"/>
            <a:ext cx="82649" cy="7877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8974" name="Oval 47">
            <a:extLst>
              <a:ext uri="{FF2B5EF4-FFF2-40B4-BE49-F238E27FC236}">
                <a16:creationId xmlns:a16="http://schemas.microsoft.com/office/drawing/2014/main" id="{00000000-0008-0000-0000-0000AE1A0400}"/>
              </a:ext>
            </a:extLst>
          </xdr:cNvPr>
          <xdr:cNvSpPr>
            <a:spLocks noChangeArrowheads="1"/>
          </xdr:cNvSpPr>
        </xdr:nvSpPr>
        <xdr:spPr bwMode="auto">
          <a:xfrm>
            <a:off x="4415516" y="12729591"/>
            <a:ext cx="82649" cy="7877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8975" name="Line 48">
            <a:extLst>
              <a:ext uri="{FF2B5EF4-FFF2-40B4-BE49-F238E27FC236}">
                <a16:creationId xmlns:a16="http://schemas.microsoft.com/office/drawing/2014/main" id="{00000000-0008-0000-0000-0000AF1A0400}"/>
              </a:ext>
            </a:extLst>
          </xdr:cNvPr>
          <xdr:cNvSpPr>
            <a:spLocks noChangeShapeType="1"/>
          </xdr:cNvSpPr>
        </xdr:nvSpPr>
        <xdr:spPr bwMode="auto">
          <a:xfrm>
            <a:off x="4354829" y="12390812"/>
            <a:ext cx="20806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76" name="Line 49">
            <a:extLst>
              <a:ext uri="{FF2B5EF4-FFF2-40B4-BE49-F238E27FC236}">
                <a16:creationId xmlns:a16="http://schemas.microsoft.com/office/drawing/2014/main" id="{00000000-0008-0000-0000-0000B01A0400}"/>
              </a:ext>
            </a:extLst>
          </xdr:cNvPr>
          <xdr:cNvSpPr>
            <a:spLocks noChangeShapeType="1"/>
          </xdr:cNvSpPr>
        </xdr:nvSpPr>
        <xdr:spPr bwMode="auto">
          <a:xfrm>
            <a:off x="4354829" y="12704802"/>
            <a:ext cx="19812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77" name="Line 51">
            <a:extLst>
              <a:ext uri="{FF2B5EF4-FFF2-40B4-BE49-F238E27FC236}">
                <a16:creationId xmlns:a16="http://schemas.microsoft.com/office/drawing/2014/main" id="{00000000-0008-0000-0000-0000B11A0400}"/>
              </a:ext>
            </a:extLst>
          </xdr:cNvPr>
          <xdr:cNvSpPr>
            <a:spLocks noChangeShapeType="1"/>
          </xdr:cNvSpPr>
        </xdr:nvSpPr>
        <xdr:spPr bwMode="auto">
          <a:xfrm>
            <a:off x="2736520" y="12550561"/>
            <a:ext cx="167611" cy="124329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78" name="Line 52">
            <a:extLst>
              <a:ext uri="{FF2B5EF4-FFF2-40B4-BE49-F238E27FC236}">
                <a16:creationId xmlns:a16="http://schemas.microsoft.com/office/drawing/2014/main" id="{00000000-0008-0000-0000-0000B21A04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141097" y="12550561"/>
            <a:ext cx="156051" cy="12394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79" name="Line 53">
            <a:extLst>
              <a:ext uri="{FF2B5EF4-FFF2-40B4-BE49-F238E27FC236}">
                <a16:creationId xmlns:a16="http://schemas.microsoft.com/office/drawing/2014/main" id="{00000000-0008-0000-0000-0000B31A0400}"/>
              </a:ext>
            </a:extLst>
          </xdr:cNvPr>
          <xdr:cNvSpPr>
            <a:spLocks noChangeShapeType="1"/>
          </xdr:cNvSpPr>
        </xdr:nvSpPr>
        <xdr:spPr bwMode="auto">
          <a:xfrm>
            <a:off x="3019724" y="12027245"/>
            <a:ext cx="0" cy="2374556"/>
          </a:xfrm>
          <a:prstGeom prst="line">
            <a:avLst/>
          </a:prstGeom>
          <a:noFill/>
          <a:ln w="3175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980" name="Line 54">
            <a:extLst>
              <a:ext uri="{FF2B5EF4-FFF2-40B4-BE49-F238E27FC236}">
                <a16:creationId xmlns:a16="http://schemas.microsoft.com/office/drawing/2014/main" id="{00000000-0008-0000-0000-0000B41A0400}"/>
              </a:ext>
            </a:extLst>
          </xdr:cNvPr>
          <xdr:cNvSpPr>
            <a:spLocks noChangeShapeType="1"/>
          </xdr:cNvSpPr>
        </xdr:nvSpPr>
        <xdr:spPr bwMode="auto">
          <a:xfrm rot="10800000" flipV="1">
            <a:off x="638498" y="12548909"/>
            <a:ext cx="4409752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5</xdr:col>
      <xdr:colOff>16564</xdr:colOff>
      <xdr:row>55</xdr:row>
      <xdr:rowOff>165099</xdr:rowOff>
    </xdr:from>
    <xdr:to>
      <xdr:col>8</xdr:col>
      <xdr:colOff>28574</xdr:colOff>
      <xdr:row>66</xdr:row>
      <xdr:rowOff>85725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7264" y="10267949"/>
          <a:ext cx="2193235" cy="1733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33132</xdr:rowOff>
    </xdr:from>
    <xdr:to>
      <xdr:col>15</xdr:col>
      <xdr:colOff>412839</xdr:colOff>
      <xdr:row>43</xdr:row>
      <xdr:rowOff>82827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741"/>
          <a:ext cx="6558535" cy="5184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le-ms\definition_MS_V02_MS1_RSP_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che de suivi"/>
      <sheetName val="Parametres"/>
      <sheetName val="grille client"/>
      <sheetName val="statique"/>
      <sheetName val="Dyn.Fonct."/>
      <sheetName val="Jeux"/>
      <sheetName val="Dyn.MS"/>
      <sheetName val="Ajutages"/>
      <sheetName val="Couple_vis"/>
      <sheetName val="dynamique"/>
      <sheetName val="huile"/>
      <sheetName val="Moteur MS"/>
      <sheetName val="calc para"/>
      <sheetName val="E-S MS"/>
      <sheetName val="IHM_messages"/>
      <sheetName val="IHM_défauts"/>
      <sheetName val="prog MS"/>
      <sheetName val="REX-opt"/>
      <sheetName val="gamme"/>
      <sheetName val="ancienne_gamme"/>
      <sheetName val="position_ajutage"/>
      <sheetName val="Transm_nastran"/>
      <sheetName val="slider"/>
      <sheetName val="liste Nastran"/>
      <sheetName val="Feuil1"/>
    </sheetNames>
    <sheetDataSet>
      <sheetData sheetId="0"/>
      <sheetData sheetId="1"/>
      <sheetData sheetId="2"/>
      <sheetData sheetId="3">
        <row r="17">
          <cell r="C17">
            <v>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O116"/>
  <sheetViews>
    <sheetView tabSelected="1" topLeftCell="A8" zoomScaleNormal="100" zoomScaleSheetLayoutView="100" workbookViewId="0">
      <selection activeCell="C32" sqref="C32"/>
    </sheetView>
  </sheetViews>
  <sheetFormatPr defaultColWidth="11.453125" defaultRowHeight="12.5" outlineLevelRow="1" outlineLevelCol="1" x14ac:dyDescent="0.25"/>
  <cols>
    <col min="1" max="1" width="33.7265625" style="17" customWidth="1"/>
    <col min="2" max="2" width="10.7265625" style="19" customWidth="1"/>
    <col min="3" max="3" width="12.7265625" style="17" customWidth="1"/>
    <col min="4" max="4" width="7.7265625" style="8" customWidth="1"/>
    <col min="5" max="5" width="25.7265625" style="8" hidden="1" customWidth="1"/>
    <col min="6" max="6" width="13.26953125" style="8" customWidth="1"/>
    <col min="7" max="7" width="7.7265625" style="8" customWidth="1"/>
    <col min="8" max="8" width="11.7265625" style="8" customWidth="1"/>
    <col min="9" max="9" width="17.1796875" style="18" bestFit="1" customWidth="1" outlineLevel="1"/>
    <col min="10" max="11" width="7.7265625" style="18" customWidth="1" outlineLevel="1"/>
    <col min="12" max="12" width="7.7265625" style="8" customWidth="1"/>
    <col min="13" max="13" width="13" style="8" hidden="1" customWidth="1" outlineLevel="1"/>
    <col min="14" max="14" width="13.453125" style="8" hidden="1" customWidth="1" outlineLevel="1"/>
    <col min="15" max="15" width="11.453125" style="8" collapsed="1"/>
    <col min="16" max="16384" width="11.453125" style="8"/>
  </cols>
  <sheetData>
    <row r="1" spans="1:13" ht="66" customHeight="1" x14ac:dyDescent="0.25">
      <c r="A1" s="32"/>
      <c r="B1" s="33"/>
      <c r="C1" s="34"/>
      <c r="D1" s="35"/>
      <c r="E1" s="35"/>
      <c r="F1" s="35"/>
      <c r="G1" s="35"/>
      <c r="H1" s="36"/>
    </row>
    <row r="2" spans="1:13" ht="30" customHeight="1" thickBot="1" x14ac:dyDescent="0.4">
      <c r="G2" s="9"/>
    </row>
    <row r="3" spans="1:13" ht="30" customHeight="1" x14ac:dyDescent="0.4">
      <c r="A3" s="185" t="str">
        <f ca="1">LOOKUP($I$4,Langue!$A$1:$C$1,Langue!A3)</f>
        <v xml:space="preserve">Motosuiveur® Definition </v>
      </c>
      <c r="B3" s="46"/>
      <c r="C3" s="197"/>
      <c r="D3" s="186" t="s">
        <v>0</v>
      </c>
      <c r="E3" s="49"/>
      <c r="F3" s="187" t="s">
        <v>1</v>
      </c>
      <c r="G3" s="49"/>
      <c r="H3" s="50"/>
      <c r="J3" s="18" t="s">
        <v>2</v>
      </c>
      <c r="K3" s="18" t="s">
        <v>3</v>
      </c>
    </row>
    <row r="4" spans="1:13" ht="14" x14ac:dyDescent="0.3">
      <c r="A4" s="56"/>
      <c r="D4" s="175" t="s">
        <v>4</v>
      </c>
      <c r="F4" s="196" t="s">
        <v>5</v>
      </c>
      <c r="H4" s="51"/>
      <c r="I4" s="184">
        <f>IF(F5="Français",1,IF(F5="English",2,3))</f>
        <v>2</v>
      </c>
      <c r="J4" s="18" t="s">
        <v>6</v>
      </c>
      <c r="K4" s="18" t="s">
        <v>7</v>
      </c>
    </row>
    <row r="5" spans="1:13" ht="14" x14ac:dyDescent="0.3">
      <c r="A5" s="56"/>
      <c r="D5" s="175" t="s">
        <v>8</v>
      </c>
      <c r="F5" s="199" t="s">
        <v>6</v>
      </c>
      <c r="H5" s="51"/>
      <c r="J5" s="18" t="s">
        <v>9</v>
      </c>
      <c r="K5" s="18" t="s">
        <v>10</v>
      </c>
    </row>
    <row r="6" spans="1:13" ht="15.5" x14ac:dyDescent="0.35">
      <c r="A6" s="188" t="str">
        <f ca="1">LOOKUP($I$4,Langue!$A$1:$C$1,Langue!A5)</f>
        <v>Input Data : Hoist and Motosuiveur®</v>
      </c>
      <c r="B6" s="9"/>
      <c r="C6" s="9"/>
      <c r="H6" s="51"/>
    </row>
    <row r="7" spans="1:13" ht="15.5" x14ac:dyDescent="0.35">
      <c r="A7" s="195" t="str">
        <f ca="1">LOOKUP($I$4,Langue!$A$1:$C$1,Langue!A6)</f>
        <v>Method : Static kinematic, efficiency = 1</v>
      </c>
      <c r="B7" s="9"/>
      <c r="C7" s="9"/>
      <c r="D7" s="189"/>
      <c r="H7" s="51"/>
    </row>
    <row r="8" spans="1:13" ht="15.5" x14ac:dyDescent="0.35">
      <c r="A8" s="190" t="str">
        <f ca="1">LOOKUP($I$4,Langue!$A$1:$C$1,Langue!A7)</f>
        <v>Project :</v>
      </c>
      <c r="B8" s="191" t="s">
        <v>11</v>
      </c>
      <c r="C8" s="9"/>
      <c r="D8" s="189"/>
      <c r="H8" s="51"/>
    </row>
    <row r="9" spans="1:13" ht="15.5" x14ac:dyDescent="0.35">
      <c r="A9" s="190" t="str">
        <f ca="1">LOOKUP($I$4,Langue!$A$1:$C$1,Langue!A8)</f>
        <v>Ref :</v>
      </c>
      <c r="B9" s="191"/>
      <c r="C9" s="9"/>
      <c r="D9" s="189"/>
      <c r="H9" s="51"/>
    </row>
    <row r="10" spans="1:13" ht="16" thickBot="1" x14ac:dyDescent="0.4">
      <c r="A10" s="192" t="str">
        <f ca="1">LOOKUP($I$4,Langue!$A$1:$C$1,Langue!A9)</f>
        <v>Date :</v>
      </c>
      <c r="B10" s="226">
        <v>44144</v>
      </c>
      <c r="C10" s="226"/>
      <c r="D10" s="193"/>
      <c r="E10" s="75"/>
      <c r="F10" s="75"/>
      <c r="G10" s="75"/>
      <c r="H10" s="194"/>
      <c r="I10" s="125"/>
    </row>
    <row r="11" spans="1:13" ht="13" x14ac:dyDescent="0.3">
      <c r="H11" s="18"/>
      <c r="I11" s="125"/>
    </row>
    <row r="12" spans="1:13" ht="13" x14ac:dyDescent="0.3">
      <c r="H12" s="18"/>
      <c r="I12" s="125"/>
    </row>
    <row r="13" spans="1:13" s="44" customFormat="1" ht="20.149999999999999" customHeight="1" x14ac:dyDescent="0.25">
      <c r="A13" s="227" t="str">
        <f ca="1">LOOKUP($I$4,Langue!$A$1:$C$1,Langue!A12)</f>
        <v>Hoist Input Data</v>
      </c>
      <c r="B13" s="228">
        <f ca="1">LOOKUP($I$4,Langue!$A$1:$C$1,Langue!B12)</f>
        <v>0</v>
      </c>
      <c r="C13" s="228">
        <f ca="1">LOOKUP($I$4,Langue!$A$1:$C$1,Langue!C12)</f>
        <v>0</v>
      </c>
      <c r="D13" s="229" t="e">
        <f>LOOKUP($I$4,Langue!$A$1:$C$1,Langue!#REF!)</f>
        <v>#REF!</v>
      </c>
      <c r="E13" s="174" t="s">
        <v>12</v>
      </c>
      <c r="F13" s="43"/>
      <c r="I13" s="126"/>
      <c r="J13" s="126"/>
      <c r="K13" s="126"/>
    </row>
    <row r="14" spans="1:13" ht="18" customHeight="1" x14ac:dyDescent="0.35">
      <c r="A14" s="84" t="str">
        <f ca="1">LOOKUP($I$4,Langue!$A$1:$C$1,Langue!A13)</f>
        <v>Designation</v>
      </c>
      <c r="B14" s="85" t="str">
        <f ca="1">LOOKUP($I$4,Langue!$A$1:$C$1,Langue!A67)</f>
        <v>Symbol</v>
      </c>
      <c r="C14" s="85" t="str">
        <f ca="1">LOOKUP($I$4,Langue!$A$1:$C$1,Langue!A68)</f>
        <v>Value</v>
      </c>
      <c r="D14" s="85" t="str">
        <f ca="1">LOOKUP($I$4,Langue!$A$1:$C$1,Langue!A69)</f>
        <v>Unit</v>
      </c>
      <c r="E14" s="37"/>
      <c r="F14" s="18"/>
      <c r="G14" s="18"/>
    </row>
    <row r="15" spans="1:13" ht="15" customHeight="1" x14ac:dyDescent="0.3">
      <c r="A15" s="236" t="str">
        <f ca="1">LOOKUP($I$4,Langue!$A$1:$C$1,Langue!A14)</f>
        <v>Forces and torques</v>
      </c>
      <c r="B15" s="237">
        <f ca="1">LOOKUP($I$4,Langue!$A$1:$C$1,Langue!B14)</f>
        <v>0</v>
      </c>
      <c r="C15" s="237">
        <f ca="1">LOOKUP($I$4,Langue!$A$1:$C$1,Langue!C14)</f>
        <v>0</v>
      </c>
      <c r="D15" s="238" t="e">
        <f>LOOKUP($I$4,Langue!$A$1:$C$1,Langue!#REF!)</f>
        <v>#REF!</v>
      </c>
      <c r="E15" s="38"/>
      <c r="F15" s="18"/>
      <c r="G15" s="18"/>
    </row>
    <row r="16" spans="1:13" ht="15" customHeight="1" x14ac:dyDescent="0.3">
      <c r="A16" s="86" t="str">
        <f ca="1">LOOKUP($I$4,Langue!$A$1:$C$1,Langue!A15)</f>
        <v>Load mass</v>
      </c>
      <c r="B16" s="87" t="s">
        <v>13</v>
      </c>
      <c r="C16" s="116">
        <v>75000</v>
      </c>
      <c r="D16" s="87" t="s">
        <v>14</v>
      </c>
      <c r="E16" s="103"/>
      <c r="F16" s="20">
        <f>ROUND(Mc*g,0)</f>
        <v>735750</v>
      </c>
      <c r="G16" s="18"/>
      <c r="I16" s="42"/>
      <c r="J16" s="42"/>
      <c r="K16" s="181"/>
      <c r="L16" s="129"/>
      <c r="M16" s="89"/>
    </row>
    <row r="17" spans="1:14" ht="15" customHeight="1" x14ac:dyDescent="0.3">
      <c r="A17" s="86" t="str">
        <f ca="1">LOOKUP($I$4,Langue!$A$1:$C$1,Langue!A16)</f>
        <v>Dead mass</v>
      </c>
      <c r="B17" s="87" t="s">
        <v>15</v>
      </c>
      <c r="C17" s="88">
        <v>2193</v>
      </c>
      <c r="D17" s="87" t="s">
        <v>14</v>
      </c>
      <c r="E17" s="103"/>
      <c r="F17" s="20">
        <f>ROUND(Mt*g,0)</f>
        <v>21513</v>
      </c>
      <c r="G17" s="18"/>
      <c r="I17" s="42"/>
      <c r="J17" s="42"/>
      <c r="K17" s="182"/>
      <c r="L17" s="130"/>
      <c r="M17" s="89"/>
    </row>
    <row r="18" spans="1:14" ht="15" customHeight="1" x14ac:dyDescent="0.3">
      <c r="A18" s="86" t="str">
        <f ca="1">LOOKUP($I$4,Langue!$A$1:$C$1,Langue!A18)</f>
        <v>Total mass</v>
      </c>
      <c r="B18" s="87" t="s">
        <v>16</v>
      </c>
      <c r="C18" s="117">
        <f>(Mc+Mt)</f>
        <v>77193</v>
      </c>
      <c r="D18" s="87" t="s">
        <v>14</v>
      </c>
      <c r="E18" s="27" t="s">
        <v>17</v>
      </c>
      <c r="F18" s="20">
        <f>ROUND(Mct*g,0)</f>
        <v>757263</v>
      </c>
      <c r="G18" s="18"/>
      <c r="H18" s="21"/>
    </row>
    <row r="19" spans="1:14" ht="15" hidden="1" customHeight="1" x14ac:dyDescent="0.25">
      <c r="A19" s="86" t="str">
        <f ca="1">LOOKUP($I$4,Langue!$A$1:$C$1,Langue!A19)</f>
        <v>Gravity</v>
      </c>
      <c r="B19" s="87" t="s">
        <v>18</v>
      </c>
      <c r="C19" s="88">
        <v>9.81</v>
      </c>
      <c r="D19" s="87" t="s">
        <v>19</v>
      </c>
      <c r="E19" s="103"/>
      <c r="F19" s="18"/>
      <c r="G19" s="18"/>
    </row>
    <row r="20" spans="1:14" ht="15" customHeight="1" x14ac:dyDescent="0.25">
      <c r="A20" s="86" t="str">
        <f ca="1">LOOKUP($I$4,Langue!$A$1:$C$1,Langue!A20)</f>
        <v>Lifting force</v>
      </c>
      <c r="B20" s="89" t="s">
        <v>20</v>
      </c>
      <c r="C20" s="117">
        <f>ROUND(Mct*g,0)</f>
        <v>757263</v>
      </c>
      <c r="D20" s="87" t="s">
        <v>21</v>
      </c>
      <c r="E20" s="27" t="s">
        <v>22</v>
      </c>
      <c r="F20" s="18"/>
      <c r="G20" s="18"/>
    </row>
    <row r="21" spans="1:14" ht="15" customHeight="1" x14ac:dyDescent="0.3">
      <c r="A21" s="86" t="str">
        <f ca="1">LOOKUP($I$4,Langue!$A$1:$C$1,Langue!A21)</f>
        <v>Reeving ratio</v>
      </c>
      <c r="B21" s="87" t="s">
        <v>23</v>
      </c>
      <c r="C21" s="88">
        <v>6</v>
      </c>
      <c r="D21" s="87" t="s">
        <v>24</v>
      </c>
      <c r="E21" s="103"/>
      <c r="F21" s="18"/>
      <c r="G21" s="18"/>
      <c r="H21" s="21"/>
    </row>
    <row r="22" spans="1:14" ht="15" customHeight="1" x14ac:dyDescent="0.3">
      <c r="A22" s="86" t="str">
        <f ca="1">LOOKUP($I$4,Langue!$A$1:$C$1,Langue!A22)</f>
        <v>Barrel pitch diameter</v>
      </c>
      <c r="B22" s="87" t="s">
        <v>25</v>
      </c>
      <c r="C22" s="88">
        <v>708</v>
      </c>
      <c r="D22" s="87" t="s">
        <v>26</v>
      </c>
      <c r="E22" s="103"/>
      <c r="F22" s="18"/>
      <c r="G22" s="18"/>
      <c r="H22" s="21"/>
    </row>
    <row r="23" spans="1:14" ht="15" customHeight="1" x14ac:dyDescent="0.3">
      <c r="A23" s="86" t="str">
        <f ca="1">LOOKUP($I$4,Langue!$A$1:$C$1,Langue!A23)</f>
        <v>Gear box ratio</v>
      </c>
      <c r="B23" s="87" t="s">
        <v>27</v>
      </c>
      <c r="C23" s="222">
        <v>90.472999999999999</v>
      </c>
      <c r="D23" s="87" t="s">
        <v>24</v>
      </c>
      <c r="E23" s="103"/>
      <c r="F23" s="18"/>
      <c r="G23" s="18"/>
      <c r="H23" s="21"/>
    </row>
    <row r="24" spans="1:14" ht="15" customHeight="1" x14ac:dyDescent="0.3">
      <c r="A24" s="86" t="str">
        <f ca="1">LOOKUP($I$4,Langue!$A$1:$C$1,Langue!A24)</f>
        <v>Reduction ratio between MS and Barrel</v>
      </c>
      <c r="B24" s="87" t="s">
        <v>28</v>
      </c>
      <c r="C24" s="88">
        <v>1</v>
      </c>
      <c r="D24" s="87" t="s">
        <v>24</v>
      </c>
      <c r="E24" s="103" t="s">
        <v>29</v>
      </c>
      <c r="F24" s="18"/>
      <c r="G24" s="18"/>
      <c r="H24" s="21"/>
    </row>
    <row r="25" spans="1:14" ht="15" customHeight="1" x14ac:dyDescent="0.25">
      <c r="A25" s="86" t="str">
        <f ca="1">LOOKUP($I$4,Langue!$A$1:$C$1,Langue!A25)</f>
        <v>Rope strand force</v>
      </c>
      <c r="B25" s="87" t="s">
        <v>30</v>
      </c>
      <c r="C25" s="117">
        <f>ROUND(Mct*g/im,0)</f>
        <v>126211</v>
      </c>
      <c r="D25" s="87" t="s">
        <v>21</v>
      </c>
      <c r="E25" s="27" t="s">
        <v>31</v>
      </c>
      <c r="F25" s="18"/>
      <c r="G25" s="18"/>
    </row>
    <row r="26" spans="1:14" ht="15" customHeight="1" x14ac:dyDescent="0.25">
      <c r="A26" s="86" t="str">
        <f ca="1">LOOKUP($I$4,Langue!$A$1:$C$1,Langue!A26)</f>
        <v>Barrel Torque</v>
      </c>
      <c r="B26" s="87" t="s">
        <v>32</v>
      </c>
      <c r="C26" s="117">
        <f>Fb*De/2/1000</f>
        <v>44678.694000000003</v>
      </c>
      <c r="D26" s="87" t="s">
        <v>33</v>
      </c>
      <c r="E26" s="27" t="s">
        <v>34</v>
      </c>
      <c r="F26" s="18"/>
      <c r="G26" s="18"/>
    </row>
    <row r="27" spans="1:14" ht="15" customHeight="1" x14ac:dyDescent="0.25">
      <c r="A27" s="86" t="str">
        <f ca="1">LOOKUP($I$4,Langue!$A$1:$C$1,Langue!A27)</f>
        <v>Torque at MS</v>
      </c>
      <c r="B27" s="87" t="s">
        <v>35</v>
      </c>
      <c r="C27" s="117">
        <f>Cpv*itm</f>
        <v>44678.694000000003</v>
      </c>
      <c r="D27" s="87" t="s">
        <v>33</v>
      </c>
      <c r="E27" s="27" t="s">
        <v>36</v>
      </c>
    </row>
    <row r="28" spans="1:14" ht="15" customHeight="1" x14ac:dyDescent="0.25">
      <c r="A28" s="86" t="str">
        <f ca="1">LOOKUP($I$4,Langue!$A$1:$C$1,Langue!A29)</f>
        <v>Gear box maxi torque (at LS shaft)</v>
      </c>
      <c r="B28" s="87" t="s">
        <v>37</v>
      </c>
      <c r="C28" s="117">
        <f>C60*ir</f>
        <v>55848.982899999995</v>
      </c>
      <c r="D28" s="87" t="s">
        <v>33</v>
      </c>
      <c r="E28" s="27"/>
    </row>
    <row r="29" spans="1:14" ht="15" customHeight="1" x14ac:dyDescent="0.25">
      <c r="A29" s="86" t="str">
        <f ca="1">LOOKUP($I$4,Langue!$A$1:$C$1,Langue!A28)</f>
        <v>Static torque at High Speed shaft</v>
      </c>
      <c r="B29" s="87" t="s">
        <v>38</v>
      </c>
      <c r="C29" s="90">
        <f>Cpv/ir</f>
        <v>493.83455837653224</v>
      </c>
      <c r="D29" s="87" t="s">
        <v>33</v>
      </c>
      <c r="E29" s="27" t="s">
        <v>39</v>
      </c>
    </row>
    <row r="30" spans="1:14" ht="15" customHeight="1" x14ac:dyDescent="0.3">
      <c r="A30" s="236" t="str">
        <f ca="1">LOOKUP($I$4,Langue!$A$1:$C$1,Langue!A30)</f>
        <v>Speeds and Power</v>
      </c>
      <c r="B30" s="237">
        <f ca="1">LOOKUP($I$4,Langue!$A$1:$C$1,Langue!B30)</f>
        <v>0</v>
      </c>
      <c r="C30" s="237">
        <f ca="1">LOOKUP($I$4,Langue!$A$1:$C$1,Langue!C30)</f>
        <v>0</v>
      </c>
      <c r="D30" s="238" t="e">
        <f>LOOKUP($I$4,Langue!$A$1:$C$1,Langue!#REF!)</f>
        <v>#REF!</v>
      </c>
      <c r="E30" s="38"/>
      <c r="I30" s="23"/>
      <c r="K30" s="183"/>
      <c r="L30" s="59"/>
      <c r="M30" s="59"/>
      <c r="N30" s="58"/>
    </row>
    <row r="31" spans="1:14" ht="15" customHeight="1" x14ac:dyDescent="0.3">
      <c r="A31" s="86" t="str">
        <f ca="1">LOOKUP($I$4,Langue!$A$1:$C$1,Langue!A31)</f>
        <v>Speed at High Speed shaft</v>
      </c>
      <c r="B31" s="87" t="s">
        <v>40</v>
      </c>
      <c r="C31" s="204">
        <v>1785</v>
      </c>
      <c r="D31" s="87" t="str">
        <f ca="1">LOOKUP($I$4,Langue!$A$1:$C$1,Langue!A70)</f>
        <v>rpm</v>
      </c>
      <c r="E31" s="103"/>
      <c r="I31" s="23"/>
      <c r="J31" s="235"/>
      <c r="K31" s="235"/>
      <c r="L31" s="225"/>
      <c r="M31" s="153"/>
      <c r="N31" s="153"/>
    </row>
    <row r="32" spans="1:14" ht="15" customHeight="1" x14ac:dyDescent="0.25">
      <c r="A32" s="86" t="str">
        <f ca="1">LOOKUP($I$4,Langue!$A$1:$C$1,Langue!A32)</f>
        <v>Speed at Low Speed shaft</v>
      </c>
      <c r="B32" s="87" t="s">
        <v>41</v>
      </c>
      <c r="C32" s="90">
        <f>Wgv/ir</f>
        <v>19.729643097940823</v>
      </c>
      <c r="D32" s="87" t="str">
        <f ca="1">LOOKUP($I$4,Langue!$A$1:$C$1,Langue!A70)</f>
        <v>rpm</v>
      </c>
      <c r="E32" s="27" t="s">
        <v>42</v>
      </c>
      <c r="I32" s="23"/>
      <c r="J32" s="176"/>
      <c r="K32" s="176"/>
      <c r="L32" s="123"/>
      <c r="M32" s="123"/>
      <c r="N32" s="123"/>
    </row>
    <row r="33" spans="1:14" ht="15" customHeight="1" x14ac:dyDescent="0.25">
      <c r="A33" s="86" t="str">
        <f ca="1">LOOKUP($I$4,Langue!$A$1:$C$1,Langue!A33)</f>
        <v xml:space="preserve">Speed at MS </v>
      </c>
      <c r="B33" s="87" t="s">
        <v>43</v>
      </c>
      <c r="C33" s="90">
        <f>ROUND(Wpv/itm,2)</f>
        <v>19.73</v>
      </c>
      <c r="D33" s="87" t="str">
        <f ca="1">D32</f>
        <v>rpm</v>
      </c>
      <c r="E33" s="27" t="s">
        <v>44</v>
      </c>
      <c r="F33" s="18"/>
      <c r="G33" s="18"/>
      <c r="I33" s="23"/>
      <c r="J33" s="176"/>
      <c r="K33" s="176"/>
      <c r="L33" s="123"/>
      <c r="M33" s="124"/>
      <c r="N33" s="123"/>
    </row>
    <row r="34" spans="1:14" ht="15" customHeight="1" x14ac:dyDescent="0.25">
      <c r="A34" s="86" t="str">
        <f ca="1">LOOKUP($I$4,Langue!$A$1:$C$1,Langue!A34)</f>
        <v>Load speed</v>
      </c>
      <c r="B34" s="87" t="s">
        <v>45</v>
      </c>
      <c r="C34" s="90">
        <f>Wgv/ir*(De/1000)*PI()/im</f>
        <v>7.3139352141038563</v>
      </c>
      <c r="D34" s="87" t="s">
        <v>46</v>
      </c>
      <c r="E34" s="27" t="s">
        <v>47</v>
      </c>
      <c r="F34" s="18"/>
      <c r="G34" s="18"/>
      <c r="I34" s="23"/>
      <c r="J34" s="177"/>
      <c r="K34" s="177"/>
      <c r="L34" s="151"/>
      <c r="M34" s="151"/>
      <c r="N34" s="151"/>
    </row>
    <row r="35" spans="1:14" ht="15" customHeight="1" x14ac:dyDescent="0.25">
      <c r="A35" s="86" t="str">
        <f ca="1">LOOKUP($I$4,Langue!$A$1:$C$1,Langue!A35)</f>
        <v>Power without efficiency</v>
      </c>
      <c r="B35" s="87" t="s">
        <v>48</v>
      </c>
      <c r="C35" s="90">
        <f>Vc/60/1000*Ftot</f>
        <v>92.309542033965471</v>
      </c>
      <c r="D35" s="87" t="s">
        <v>49</v>
      </c>
      <c r="E35" s="27" t="s">
        <v>50</v>
      </c>
      <c r="F35" s="18"/>
      <c r="G35" s="18"/>
      <c r="H35" s="150"/>
    </row>
    <row r="36" spans="1:14" ht="15" customHeight="1" x14ac:dyDescent="0.3">
      <c r="A36" s="86" t="str">
        <f ca="1">LOOKUP($I$4,Langue!$A$1:$C$1,Langue!A36)</f>
        <v>Selected Motor power</v>
      </c>
      <c r="B36" s="87" t="s">
        <v>51</v>
      </c>
      <c r="C36" s="203">
        <v>125</v>
      </c>
      <c r="D36" s="87" t="s">
        <v>49</v>
      </c>
      <c r="E36" s="104" t="s">
        <v>52</v>
      </c>
      <c r="F36" s="22"/>
      <c r="G36" s="18"/>
      <c r="J36" s="178">
        <f>LOOKUP(-J40,MS!C4:L4,MS!C9:L9)</f>
        <v>-5</v>
      </c>
      <c r="K36" s="178">
        <f>LOOKUP(-K40,MS!C4:L4,MS!C9:L9)</f>
        <v>-4</v>
      </c>
      <c r="M36" s="234" t="s">
        <v>53</v>
      </c>
      <c r="N36" s="234"/>
    </row>
    <row r="37" spans="1:14" ht="13" x14ac:dyDescent="0.3">
      <c r="A37" s="8"/>
      <c r="B37" s="8"/>
      <c r="C37" s="8"/>
      <c r="J37" s="232" t="s">
        <v>7</v>
      </c>
      <c r="K37" s="233"/>
      <c r="M37" s="154">
        <f>LOOKUP(-M41,MS!C3:L3,MS!C9:L9)</f>
        <v>-5</v>
      </c>
      <c r="N37" s="154">
        <f>LOOKUP(-N41,MS!C3:L3,MS!C9:L9)</f>
        <v>-4</v>
      </c>
    </row>
    <row r="38" spans="1:14" s="39" customFormat="1" ht="20.149999999999999" customHeight="1" x14ac:dyDescent="0.3">
      <c r="A38" s="227" t="str">
        <f ca="1">LOOKUP($I$4,Langue!$A$1:$C$1,Langue!A38)</f>
        <v xml:space="preserve"> Motosuiveur Definition</v>
      </c>
      <c r="B38" s="228">
        <f ca="1">LOOKUP($I$4,Langue!$A$1:$C$1,Langue!B38)</f>
        <v>0</v>
      </c>
      <c r="C38" s="228">
        <f ca="1">LOOKUP($I$4,Langue!$A$1:$C$1,Langue!C38)</f>
        <v>0</v>
      </c>
      <c r="D38" s="229" t="e">
        <f>LOOKUP($I$4,Langue!$A$1:$C$1,Langue!#REF!)</f>
        <v>#REF!</v>
      </c>
      <c r="E38" s="107"/>
      <c r="I38" s="127" t="s">
        <v>54</v>
      </c>
      <c r="J38" s="230">
        <f>Crms*Kms*Csr/100</f>
        <v>125100.3432</v>
      </c>
      <c r="K38" s="231"/>
      <c r="L38" s="144"/>
      <c r="M38" s="152"/>
      <c r="N38" s="152"/>
    </row>
    <row r="39" spans="1:14" ht="15" customHeight="1" x14ac:dyDescent="0.3">
      <c r="A39" s="84" t="str">
        <f ca="1">A14</f>
        <v>Designation</v>
      </c>
      <c r="B39" s="85" t="str">
        <f ca="1">B14</f>
        <v>Symbol</v>
      </c>
      <c r="C39" s="85" t="str">
        <f ca="1">C14</f>
        <v>Value</v>
      </c>
      <c r="D39" s="85" t="str">
        <f ca="1">D14</f>
        <v>Unit</v>
      </c>
      <c r="E39" s="91"/>
      <c r="I39" s="127"/>
      <c r="J39" s="179" t="str">
        <f>LOOKUP(-Cms_csr,MS!C4:L4,MS!C10:L10)</f>
        <v>MS5</v>
      </c>
      <c r="K39" s="179" t="str">
        <f>LOOKUP(-Cms_csr,MS!C4:L4,MS!C5:L5)</f>
        <v>MS4</v>
      </c>
      <c r="L39" s="225"/>
      <c r="M39" s="230">
        <f>Cms</f>
        <v>62550</v>
      </c>
      <c r="N39" s="231"/>
    </row>
    <row r="40" spans="1:14" ht="15" customHeight="1" x14ac:dyDescent="0.25">
      <c r="A40" s="86" t="str">
        <f ca="1">LOOKUP($I$4,Langue!$A$1:$C$1,Langue!A40)</f>
        <v xml:space="preserve">Type </v>
      </c>
      <c r="B40" s="92"/>
      <c r="C40" s="88" t="s">
        <v>10</v>
      </c>
      <c r="D40" s="87" t="s">
        <v>24</v>
      </c>
      <c r="E40" s="93"/>
      <c r="I40" s="127" t="s">
        <v>55</v>
      </c>
      <c r="J40" s="179">
        <f>LOOKUP(-Cms_csr,MS!C4:L4,MS!C11:L11)</f>
        <v>136350</v>
      </c>
      <c r="K40" s="179">
        <f>LOOKUP(-Cms_csr,MS!C4:L4,MS!C6:L6)</f>
        <v>91350</v>
      </c>
      <c r="L40" s="123"/>
      <c r="M40" s="120" t="str">
        <f>LOOKUP(-M39,MS!C3:L3,MS!C10:L10)</f>
        <v>MS5</v>
      </c>
      <c r="N40" s="120" t="str">
        <f>LOOKUP(-M39,MS!C3:L3,MS!C5:L5)</f>
        <v>MS4</v>
      </c>
    </row>
    <row r="41" spans="1:14" ht="15" customHeight="1" x14ac:dyDescent="0.25">
      <c r="A41" s="86" t="str">
        <f ca="1">LOOKUP($I$4,Langue!$A$1:$C$1,Langue!A41)</f>
        <v>Size</v>
      </c>
      <c r="B41" s="92"/>
      <c r="C41" s="94" t="str">
        <f>IF(C40="Damping",J39,J52)</f>
        <v>MS5</v>
      </c>
      <c r="D41" s="87" t="s">
        <v>24</v>
      </c>
      <c r="E41" s="93"/>
      <c r="I41" s="127" t="s">
        <v>56</v>
      </c>
      <c r="J41" s="180">
        <f>J40/Cms_csr</f>
        <v>1.0899250674477765</v>
      </c>
      <c r="K41" s="180">
        <f>K40/Cms_csr</f>
        <v>0.73021382406567203</v>
      </c>
      <c r="L41" s="123"/>
      <c r="M41" s="121">
        <f>LOOKUP(-M39,MS!C3:L3,MS!C13:L13)</f>
        <v>63600</v>
      </c>
      <c r="N41" s="120">
        <f>LOOKUP(-M39,MS!C3:L3,MS!C7:L7)</f>
        <v>40000</v>
      </c>
    </row>
    <row r="42" spans="1:14" ht="15" hidden="1" customHeight="1" outlineLevel="1" x14ac:dyDescent="0.25">
      <c r="A42" s="86" t="str">
        <f ca="1">LOOKUP($I$4,Langue!$A$1:$C$1,Langue!A42)</f>
        <v>Worm speed</v>
      </c>
      <c r="B42" s="87" t="s">
        <v>57</v>
      </c>
      <c r="C42" s="95">
        <f>Wrms*is</f>
        <v>887.85</v>
      </c>
      <c r="D42" s="87" t="str">
        <f ca="1">D32</f>
        <v>rpm</v>
      </c>
      <c r="E42" s="93" t="s">
        <v>58</v>
      </c>
      <c r="L42" s="151"/>
      <c r="M42" s="122">
        <f>M41/M39</f>
        <v>1.0167865707434052</v>
      </c>
      <c r="N42" s="122">
        <f>N41/M39</f>
        <v>0.63948840927258188</v>
      </c>
    </row>
    <row r="43" spans="1:14" ht="15" hidden="1" customHeight="1" outlineLevel="1" x14ac:dyDescent="0.25">
      <c r="A43" s="86" t="str">
        <f ca="1">LOOKUP($I$4,Langue!$A$1:$C$1,Langue!A43)</f>
        <v>Force at piston</v>
      </c>
      <c r="B43" s="87" t="s">
        <v>59</v>
      </c>
      <c r="C43" s="117">
        <f>Crms/(Droue/1000/2)</f>
        <v>248214.9666666667</v>
      </c>
      <c r="D43" s="87" t="s">
        <v>21</v>
      </c>
      <c r="E43" s="93" t="s">
        <v>60</v>
      </c>
    </row>
    <row r="44" spans="1:14" ht="15" hidden="1" customHeight="1" outlineLevel="1" x14ac:dyDescent="0.25">
      <c r="A44" s="86" t="str">
        <f ca="1">LOOKUP($I$4,Langue!$A$1:$C$1,Langue!A44)</f>
        <v>Pitch diameter of the MS wormgear</v>
      </c>
      <c r="B44" s="87" t="s">
        <v>61</v>
      </c>
      <c r="C44" s="94">
        <f>IF(C40="Damping",LOOKUP(J36,MS!C9:L9,MS!C19:L19),LOOKUP(J49,MS!C9:L9,MS!C19:L19))</f>
        <v>360</v>
      </c>
      <c r="D44" s="87" t="s">
        <v>26</v>
      </c>
      <c r="E44" s="93"/>
      <c r="F44" s="23"/>
    </row>
    <row r="45" spans="1:14" ht="15" hidden="1" customHeight="1" outlineLevel="1" x14ac:dyDescent="0.25">
      <c r="A45" s="86" t="str">
        <f ca="1">LOOKUP($I$4,Langue!$A$1:$C$1,Langue!A45)</f>
        <v>Outside diameter of the worm</v>
      </c>
      <c r="B45" s="87" t="s">
        <v>62</v>
      </c>
      <c r="C45" s="94">
        <f>IF(C40="Damping",LOOKUP(J36,MS!C9:L9,MS!C22:L22),LOOKUP(J49,MS!C9:L9,MS!C22:L22))</f>
        <v>96</v>
      </c>
      <c r="D45" s="87" t="s">
        <v>26</v>
      </c>
      <c r="E45" s="93"/>
      <c r="F45" s="23"/>
    </row>
    <row r="46" spans="1:14" ht="15" hidden="1" customHeight="1" outlineLevel="1" x14ac:dyDescent="0.25">
      <c r="A46" s="86" t="str">
        <f ca="1">LOOKUP($I$4,Langue!$A$1:$C$1,Langue!A46)</f>
        <v>Piston diameter</v>
      </c>
      <c r="B46" s="87" t="s">
        <v>63</v>
      </c>
      <c r="C46" s="94">
        <f>IF(C40="Damping",LOOKUP(J36,MS!C9:L9,MS!C23:L23),LOOKUP(J49,MS!C9:L9,MS!C23:L23))</f>
        <v>112</v>
      </c>
      <c r="D46" s="87" t="s">
        <v>26</v>
      </c>
      <c r="E46" s="93"/>
      <c r="F46" s="23"/>
    </row>
    <row r="47" spans="1:14" ht="15" hidden="1" customHeight="1" outlineLevel="1" x14ac:dyDescent="0.25">
      <c r="A47" s="86" t="str">
        <f ca="1">LOOKUP($I$4,Langue!$A$1:$C$1,Langue!A47)</f>
        <v>Motosuiveur ratio</v>
      </c>
      <c r="B47" s="87" t="s">
        <v>64</v>
      </c>
      <c r="C47" s="94">
        <f>IF(C40="Damping",LOOKUP(J36,MS!C9:L9,MS!C16:L16),LOOKUP(J49,MS!C9:L9,MS!C16:L16))</f>
        <v>45</v>
      </c>
      <c r="D47" s="87" t="s">
        <v>24</v>
      </c>
      <c r="E47" s="93"/>
      <c r="F47" s="23"/>
    </row>
    <row r="48" spans="1:14" ht="15" customHeight="1" collapsed="1" x14ac:dyDescent="0.25">
      <c r="A48" s="86" t="str">
        <f ca="1">LOOKUP($I$4,Langue!$A$1:$C$1,Langue!A48)</f>
        <v>Required rupture safety factor</v>
      </c>
      <c r="B48" s="87" t="s">
        <v>65</v>
      </c>
      <c r="C48" s="88">
        <v>2</v>
      </c>
      <c r="D48" s="87" t="s">
        <v>24</v>
      </c>
      <c r="E48" s="86"/>
      <c r="F48" s="18"/>
    </row>
    <row r="49" spans="1:14" ht="15" customHeight="1" x14ac:dyDescent="0.25">
      <c r="A49" s="86" t="str">
        <f ca="1">LOOKUP($I$4,Langue!$A$1:$C$1,Langue!A49)</f>
        <v>Rupture safety factor obtained</v>
      </c>
      <c r="B49" s="87" t="s">
        <v>66</v>
      </c>
      <c r="C49" s="149">
        <f>IF(C40="Damping",J40/Cms,J55/Cms)</f>
        <v>2.1798561151079139</v>
      </c>
      <c r="D49" s="87" t="s">
        <v>24</v>
      </c>
      <c r="E49" s="128"/>
      <c r="F49" s="18"/>
      <c r="J49" s="178">
        <f>IF(J36&lt;M37,J36,M37)</f>
        <v>-5</v>
      </c>
      <c r="K49" s="178">
        <f>IF(K36&lt;N37,K36,N37)</f>
        <v>-4</v>
      </c>
      <c r="L49" s="19"/>
    </row>
    <row r="50" spans="1:14" ht="15" customHeight="1" x14ac:dyDescent="0.3">
      <c r="A50" s="236" t="str">
        <f ca="1">LOOKUP($I$4,Langue!$A$1:$C$1,Langue!A50)</f>
        <v>Downward braking</v>
      </c>
      <c r="B50" s="237">
        <f ca="1">LOOKUP($I$4,Langue!$A$1:$C$1,Langue!B50)</f>
        <v>0</v>
      </c>
      <c r="C50" s="237">
        <f ca="1">LOOKUP($I$4,Langue!$A$1:$C$1,Langue!C50)</f>
        <v>0</v>
      </c>
      <c r="D50" s="238" t="e">
        <f>LOOKUP($I$4,Langue!$A$1:$C$1,Langue!#REF!)</f>
        <v>#REF!</v>
      </c>
      <c r="E50" s="96"/>
      <c r="F50" s="18"/>
      <c r="J50" s="232" t="s">
        <v>10</v>
      </c>
      <c r="K50" s="233"/>
      <c r="L50" s="144"/>
    </row>
    <row r="51" spans="1:14" ht="15" customHeight="1" x14ac:dyDescent="0.3">
      <c r="A51" s="86" t="str">
        <f ca="1">LOOKUP($I$4,Langue!$A$1:$C$1,Langue!A51)</f>
        <v>Braking coefficient</v>
      </c>
      <c r="B51" s="87" t="s">
        <v>67</v>
      </c>
      <c r="C51" s="97">
        <v>140</v>
      </c>
      <c r="D51" s="87" t="s">
        <v>68</v>
      </c>
      <c r="E51" s="86"/>
      <c r="F51" s="24" t="str">
        <f>IF(AND(C40="damping",Kms&lt;Klim+100),"Warning: Kms must be superior to Klim + 100","OK")</f>
        <v>OK</v>
      </c>
      <c r="I51" s="127" t="s">
        <v>69</v>
      </c>
      <c r="J51" s="240">
        <f>Cms</f>
        <v>62550</v>
      </c>
      <c r="K51" s="240"/>
      <c r="L51" s="19"/>
    </row>
    <row r="52" spans="1:14" ht="15" customHeight="1" x14ac:dyDescent="0.25">
      <c r="A52" s="86" t="str">
        <f ca="1">LOOKUP($I$4,Langue!$A$1:$C$1,Langue!A52)</f>
        <v>Braking torque</v>
      </c>
      <c r="B52" s="87" t="s">
        <v>69</v>
      </c>
      <c r="C52" s="118">
        <f>ROUND(Kms*Crms/100,0)</f>
        <v>62550</v>
      </c>
      <c r="D52" s="87" t="s">
        <v>33</v>
      </c>
      <c r="E52" s="93" t="s">
        <v>70</v>
      </c>
      <c r="F52" s="18"/>
      <c r="I52" s="127"/>
      <c r="J52" s="179" t="str">
        <f>LOOKUP(J49,MS!C9:L9,MS!C10:L10)</f>
        <v>MS5</v>
      </c>
      <c r="K52" s="179" t="str">
        <f>LOOKUP(K49,MS!C9:L9,MS!C10:L10)</f>
        <v>MS4</v>
      </c>
      <c r="L52" s="19"/>
    </row>
    <row r="53" spans="1:14" ht="15" customHeight="1" x14ac:dyDescent="0.3">
      <c r="A53" s="236" t="str">
        <f ca="1">LOOKUP($I$4,Langue!$A$1:$C$1,Langue!A56)</f>
        <v>Maximum stopping distance- ONLY for  HYDRAULIC Damping MS</v>
      </c>
      <c r="B53" s="237">
        <f ca="1">LOOKUP($I$4,Langue!$A$1:$C$1,Langue!B56)</f>
        <v>0</v>
      </c>
      <c r="C53" s="237">
        <f ca="1">LOOKUP($I$4,Langue!$A$1:$C$1,Langue!C56)</f>
        <v>0</v>
      </c>
      <c r="D53" s="238" t="e">
        <f>LOOKUP($I$4,Langue!$A$1:$C$1,Langue!#REF!)</f>
        <v>#REF!</v>
      </c>
      <c r="E53" s="96"/>
      <c r="F53" s="4"/>
      <c r="G53" s="18"/>
      <c r="I53" s="127" t="s">
        <v>71</v>
      </c>
      <c r="J53" s="179">
        <f>LOOKUP(J49,MS!C9:L9,MS!C13:L13)</f>
        <v>63600</v>
      </c>
      <c r="K53" s="179">
        <f>LOOKUP(K49,MS!C9:L9,MS!C13:L13)</f>
        <v>40000</v>
      </c>
      <c r="L53" s="19"/>
    </row>
    <row r="54" spans="1:14" ht="15" hidden="1" customHeight="1" outlineLevel="1" x14ac:dyDescent="0.3">
      <c r="A54" s="86" t="str">
        <f ca="1">LOOKUP($I$4,Langue!$A$1:$C$1,Langue!A57)</f>
        <v>Maximum piston stroke</v>
      </c>
      <c r="B54" s="87" t="s">
        <v>72</v>
      </c>
      <c r="C54" s="98" t="str">
        <f>IF(C40="Damping",LOOKUP(-Crms*Kms*Csr/100,MS!C4:K4,MS!C24:K24),"-")</f>
        <v>-</v>
      </c>
      <c r="D54" s="87" t="s">
        <v>26</v>
      </c>
      <c r="E54" s="86" t="s">
        <v>73</v>
      </c>
      <c r="F54" s="18"/>
      <c r="G54" s="25"/>
    </row>
    <row r="55" spans="1:14" ht="15" customHeight="1" collapsed="1" x14ac:dyDescent="0.3">
      <c r="A55" s="86" t="str">
        <f ca="1">LOOKUP($I$4,Langue!$A$1:$C$1,Langue!A58)</f>
        <v>Stopping distance at load (max.)</v>
      </c>
      <c r="B55" s="87" t="s">
        <v>74</v>
      </c>
      <c r="C55" s="155" t="str">
        <f>IF(C40="Damping",Cpistmax*De/(Droue*im/itm),"-")</f>
        <v>-</v>
      </c>
      <c r="D55" s="99" t="s">
        <v>26</v>
      </c>
      <c r="E55" s="93" t="s">
        <v>75</v>
      </c>
      <c r="F55" s="23"/>
      <c r="G55" s="26"/>
      <c r="H55" s="25"/>
      <c r="I55" s="127" t="s">
        <v>55</v>
      </c>
      <c r="J55" s="179">
        <f>LOOKUP(J49,MS!C9:L9,MS!C11:L11)</f>
        <v>136350</v>
      </c>
      <c r="K55" s="179">
        <f>LOOKUP(K49,MS!C9:L9,MS!C11:L11)</f>
        <v>91350</v>
      </c>
    </row>
    <row r="56" spans="1:14" ht="15" customHeight="1" x14ac:dyDescent="0.25">
      <c r="A56" s="100"/>
      <c r="B56" s="89"/>
      <c r="C56" s="100"/>
      <c r="D56" s="39"/>
      <c r="E56" s="105"/>
      <c r="F56" s="23"/>
      <c r="G56" s="18"/>
      <c r="I56" s="127" t="s">
        <v>76</v>
      </c>
      <c r="J56" s="180">
        <f>J55/J51</f>
        <v>2.1798561151079139</v>
      </c>
      <c r="K56" s="180">
        <f>K55/J51</f>
        <v>1.460431654676259</v>
      </c>
      <c r="L56" s="123"/>
      <c r="N56" s="123"/>
    </row>
    <row r="57" spans="1:14" s="39" customFormat="1" ht="15" customHeight="1" x14ac:dyDescent="0.25">
      <c r="A57" s="227" t="str">
        <f ca="1">LOOKUP($I$4,Langue!$A$1:$C$1,Langue!A60)</f>
        <v>Torque Limiter Definition</v>
      </c>
      <c r="B57" s="228">
        <f ca="1">LOOKUP($I$4,Langue!$A$1:$C$1,Langue!B60)</f>
        <v>0</v>
      </c>
      <c r="C57" s="228">
        <f ca="1">LOOKUP($I$4,Langue!$A$1:$C$1,Langue!C60)</f>
        <v>0</v>
      </c>
      <c r="D57" s="229" t="e">
        <f>LOOKUP($I$4,Langue!$A$1:$C$1,Langue!#REF!)</f>
        <v>#REF!</v>
      </c>
      <c r="E57" s="40"/>
      <c r="F57" s="41"/>
      <c r="G57" s="42"/>
      <c r="I57" s="127" t="s">
        <v>77</v>
      </c>
      <c r="J57" s="180">
        <f>J53/J51</f>
        <v>1.0167865707434052</v>
      </c>
      <c r="K57" s="180">
        <f>K53/J51</f>
        <v>0.63948840927258188</v>
      </c>
      <c r="L57" s="124"/>
      <c r="N57" s="124"/>
    </row>
    <row r="58" spans="1:14" ht="15" customHeight="1" x14ac:dyDescent="0.3">
      <c r="A58" s="84" t="str">
        <f ca="1">A14</f>
        <v>Designation</v>
      </c>
      <c r="B58" s="85" t="str">
        <f ca="1">B14</f>
        <v>Symbol</v>
      </c>
      <c r="C58" s="85" t="str">
        <f ca="1">C14</f>
        <v>Value</v>
      </c>
      <c r="D58" s="85" t="str">
        <f ca="1">D14</f>
        <v>Unit</v>
      </c>
      <c r="E58" s="91"/>
      <c r="F58" s="4"/>
      <c r="G58" s="18"/>
    </row>
    <row r="59" spans="1:14" ht="15" customHeight="1" x14ac:dyDescent="0.3">
      <c r="A59" s="86" t="str">
        <f ca="1">LOOKUP($I$4,Langue!$A$1:$C$1,Langue!A62)</f>
        <v>Setting coefficient</v>
      </c>
      <c r="B59" s="87" t="s">
        <v>78</v>
      </c>
      <c r="C59" s="88">
        <v>125</v>
      </c>
      <c r="D59" s="87" t="s">
        <v>68</v>
      </c>
      <c r="E59" s="106"/>
      <c r="G59" s="24"/>
    </row>
    <row r="60" spans="1:14" ht="15" customHeight="1" x14ac:dyDescent="0.3">
      <c r="A60" s="101" t="str">
        <f ca="1">LOOKUP($I$4,Langue!$A$1:$C$1,Langue!A63)</f>
        <v>Corresponding torque</v>
      </c>
      <c r="B60" s="102" t="s">
        <v>79</v>
      </c>
      <c r="C60" s="90">
        <f>ROUND(Klim*Cgv/100,1)</f>
        <v>617.29999999999995</v>
      </c>
      <c r="D60" s="87" t="s">
        <v>33</v>
      </c>
      <c r="E60" s="106"/>
      <c r="G60" s="4"/>
      <c r="H60" s="28"/>
    </row>
    <row r="61" spans="1:14" ht="15" customHeight="1" x14ac:dyDescent="0.3">
      <c r="A61" s="101" t="str">
        <f ca="1">LOOKUP($I$4,Langue!$A$1:$C$1,Langue!A64)</f>
        <v>Size</v>
      </c>
      <c r="B61" s="110"/>
      <c r="C61" s="111" t="str">
        <f>VLOOKUP(C60,TL_RS_RNG_SIG!A4:D12,2)</f>
        <v>TL125-65</v>
      </c>
      <c r="D61" s="112" t="s">
        <v>24</v>
      </c>
      <c r="E61" s="106"/>
      <c r="G61" s="4"/>
      <c r="H61" s="28"/>
    </row>
    <row r="62" spans="1:14" s="82" customFormat="1" ht="11.15" customHeight="1" x14ac:dyDescent="0.25">
      <c r="A62" s="146" t="str">
        <f ca="1">LOOKUP($I$4,Langue!$A$1:$C$1,Langue!A65)</f>
        <v xml:space="preserve">Dimensions </v>
      </c>
      <c r="B62" s="202" t="s">
        <v>80</v>
      </c>
      <c r="C62" s="80">
        <f>VLOOKUP(C60,TL_RS_RNG_SIG!A5:O12,3)</f>
        <v>70</v>
      </c>
      <c r="D62" s="202" t="s">
        <v>26</v>
      </c>
      <c r="E62" s="205"/>
      <c r="F62" s="206"/>
      <c r="G62" s="81"/>
      <c r="H62" s="207"/>
      <c r="I62" s="208"/>
      <c r="J62" s="208"/>
      <c r="K62" s="208"/>
      <c r="L62" s="206"/>
      <c r="M62" s="206"/>
      <c r="N62" s="206"/>
    </row>
    <row r="63" spans="1:14" s="82" customFormat="1" ht="11.15" customHeight="1" x14ac:dyDescent="0.25">
      <c r="A63" s="114"/>
      <c r="B63" s="202" t="s">
        <v>81</v>
      </c>
      <c r="C63" s="80">
        <f>VLOOKUP(C60,TL_RS_RNG_SIG!A5:O12,4)</f>
        <v>65</v>
      </c>
      <c r="D63" s="202" t="s">
        <v>26</v>
      </c>
      <c r="E63" s="205"/>
      <c r="F63" s="206"/>
      <c r="G63" s="81"/>
      <c r="H63" s="207"/>
      <c r="I63" s="208"/>
      <c r="J63" s="208"/>
      <c r="K63" s="208"/>
      <c r="L63" s="206"/>
      <c r="M63" s="206"/>
      <c r="N63" s="206"/>
    </row>
    <row r="64" spans="1:14" s="82" customFormat="1" ht="11.15" customHeight="1" x14ac:dyDescent="0.25">
      <c r="A64" s="114"/>
      <c r="B64" s="202" t="s">
        <v>82</v>
      </c>
      <c r="C64" s="80">
        <f>VLOOKUP(C60,TL_RS_RNG_SIG!A5:O12,5)</f>
        <v>178</v>
      </c>
      <c r="D64" s="202" t="s">
        <v>26</v>
      </c>
      <c r="E64" s="205"/>
      <c r="F64" s="206"/>
      <c r="G64" s="206"/>
      <c r="H64" s="206"/>
      <c r="I64" s="208"/>
      <c r="J64" s="208"/>
      <c r="K64" s="208"/>
      <c r="L64" s="206"/>
      <c r="M64" s="206"/>
      <c r="N64" s="206"/>
    </row>
    <row r="65" spans="1:11" s="82" customFormat="1" ht="11.15" customHeight="1" x14ac:dyDescent="0.25">
      <c r="A65" s="114"/>
      <c r="B65" s="202" t="s">
        <v>83</v>
      </c>
      <c r="C65" s="80">
        <f>VLOOKUP(C60,TL_RS_RNG_SIG!A5:O12,12)</f>
        <v>215</v>
      </c>
      <c r="D65" s="202" t="s">
        <v>26</v>
      </c>
      <c r="E65" s="205"/>
      <c r="F65" s="206"/>
      <c r="G65" s="81"/>
      <c r="H65" s="207"/>
      <c r="I65" s="208"/>
      <c r="J65" s="208"/>
      <c r="K65" s="208"/>
    </row>
    <row r="66" spans="1:11" s="82" customFormat="1" ht="11.15" customHeight="1" x14ac:dyDescent="0.25">
      <c r="A66" s="114"/>
      <c r="B66" s="202" t="s">
        <v>84</v>
      </c>
      <c r="C66" s="80">
        <f>VLOOKUP(C60,TL_RS_RNG_SIG!A5:O12,8)</f>
        <v>105</v>
      </c>
      <c r="D66" s="202" t="s">
        <v>26</v>
      </c>
      <c r="E66" s="205"/>
      <c r="F66" s="206"/>
      <c r="G66" s="81"/>
      <c r="H66" s="207"/>
      <c r="I66" s="208"/>
      <c r="J66" s="208"/>
      <c r="K66" s="208"/>
    </row>
    <row r="67" spans="1:11" s="82" customFormat="1" ht="11.15" customHeight="1" x14ac:dyDescent="0.25">
      <c r="A67" s="114"/>
      <c r="B67" s="202" t="s">
        <v>85</v>
      </c>
      <c r="C67" s="80">
        <f>VLOOKUP(C60,TL_RS_RNG_SIG!A5:O12,10)</f>
        <v>75</v>
      </c>
      <c r="D67" s="202" t="s">
        <v>26</v>
      </c>
      <c r="E67" s="205"/>
      <c r="F67" s="206"/>
      <c r="G67" s="81"/>
      <c r="H67" s="207"/>
      <c r="I67" s="208"/>
      <c r="J67" s="208"/>
      <c r="K67" s="208"/>
    </row>
    <row r="68" spans="1:11" s="82" customFormat="1" ht="11.15" hidden="1" customHeight="1" outlineLevel="1" x14ac:dyDescent="0.25">
      <c r="A68" s="109"/>
      <c r="B68" s="209" t="s">
        <v>86</v>
      </c>
      <c r="C68" s="113" t="e">
        <f>VLOOKUP(C61,TL_RS_RNG_SIG!A5:O12,9)</f>
        <v>#N/A</v>
      </c>
      <c r="D68" s="210" t="s">
        <v>26</v>
      </c>
      <c r="E68" s="205"/>
      <c r="F68" s="206"/>
      <c r="G68" s="81"/>
      <c r="H68" s="207"/>
      <c r="I68" s="208"/>
      <c r="J68" s="208"/>
      <c r="K68" s="208"/>
    </row>
    <row r="69" spans="1:11" s="82" customFormat="1" ht="11.15" hidden="1" customHeight="1" outlineLevel="1" x14ac:dyDescent="0.25">
      <c r="A69" s="109"/>
      <c r="B69" s="211" t="s">
        <v>87</v>
      </c>
      <c r="C69" s="80" t="e">
        <f>VLOOKUP(C61,TL_RS_RNG_SIG!A5:O12,11)</f>
        <v>#N/A</v>
      </c>
      <c r="D69" s="202" t="s">
        <v>26</v>
      </c>
      <c r="E69" s="205"/>
      <c r="F69" s="206"/>
      <c r="G69" s="81"/>
      <c r="H69" s="207"/>
      <c r="I69" s="208"/>
      <c r="J69" s="208"/>
      <c r="K69" s="208"/>
    </row>
    <row r="70" spans="1:11" s="82" customFormat="1" ht="11.15" hidden="1" customHeight="1" outlineLevel="1" x14ac:dyDescent="0.25">
      <c r="A70" s="109"/>
      <c r="B70" s="211" t="s">
        <v>88</v>
      </c>
      <c r="C70" s="80" t="e">
        <f>VLOOKUP(C61,TL_RS_RNG_SIG!A5:O12,13)</f>
        <v>#N/A</v>
      </c>
      <c r="D70" s="202" t="s">
        <v>26</v>
      </c>
      <c r="E70" s="205"/>
      <c r="F70" s="206"/>
      <c r="G70" s="81"/>
      <c r="H70" s="207"/>
      <c r="I70" s="208"/>
      <c r="J70" s="208"/>
      <c r="K70" s="208"/>
    </row>
    <row r="71" spans="1:11" s="82" customFormat="1" ht="11.15" hidden="1" customHeight="1" outlineLevel="1" x14ac:dyDescent="0.25">
      <c r="A71" s="109"/>
      <c r="B71" s="211" t="s">
        <v>89</v>
      </c>
      <c r="C71" s="83" t="e">
        <f>VLOOKUP(C61,TL_RS_RNG_SIG!A5:O12,14)</f>
        <v>#N/A</v>
      </c>
      <c r="D71" s="202" t="s">
        <v>26</v>
      </c>
      <c r="E71" s="212"/>
      <c r="F71" s="208"/>
      <c r="G71" s="206"/>
      <c r="H71" s="206"/>
      <c r="I71" s="208"/>
      <c r="J71" s="208"/>
      <c r="K71" s="208"/>
    </row>
    <row r="72" spans="1:11" s="82" customFormat="1" ht="11.15" hidden="1" customHeight="1" outlineLevel="1" x14ac:dyDescent="0.25">
      <c r="A72" s="108"/>
      <c r="B72" s="211" t="s">
        <v>90</v>
      </c>
      <c r="C72" s="83" t="e">
        <f>VLOOKUP(C61,TL_RS_RNG_SIG!A5:O12,15)</f>
        <v>#N/A</v>
      </c>
      <c r="D72" s="202" t="s">
        <v>14</v>
      </c>
      <c r="E72" s="212"/>
      <c r="F72" s="208"/>
      <c r="G72" s="206"/>
      <c r="H72" s="206"/>
      <c r="I72" s="208"/>
      <c r="J72" s="208"/>
      <c r="K72" s="208"/>
    </row>
    <row r="73" spans="1:11" s="78" customFormat="1" ht="11.15" customHeight="1" collapsed="1" thickBot="1" x14ac:dyDescent="0.3">
      <c r="A73" s="213"/>
      <c r="B73" s="214"/>
      <c r="C73" s="79"/>
      <c r="D73" s="214"/>
      <c r="E73" s="213"/>
      <c r="F73" s="213"/>
      <c r="G73" s="215"/>
      <c r="H73" s="215"/>
      <c r="I73" s="213"/>
      <c r="J73" s="213"/>
      <c r="K73" s="213"/>
    </row>
    <row r="74" spans="1:11" ht="13" x14ac:dyDescent="0.3">
      <c r="A74" s="45"/>
      <c r="B74" s="46"/>
      <c r="C74" s="47"/>
      <c r="D74" s="46"/>
      <c r="E74" s="48"/>
      <c r="F74" s="48"/>
      <c r="G74" s="49"/>
      <c r="H74" s="50"/>
    </row>
    <row r="75" spans="1:11" ht="13" x14ac:dyDescent="0.3">
      <c r="A75" s="216" t="str">
        <f ca="1">LOOKUP($I$4,Langue!$A$1:$C$1,Langue!A74)</f>
        <v>Torque Limiter:</v>
      </c>
      <c r="B75" s="224" t="str">
        <f ca="1">LOOKUP($I$4,Langue!$A$1:$C$1,Langue!A73)</f>
        <v>Motor:</v>
      </c>
      <c r="H75" s="51"/>
    </row>
    <row r="76" spans="1:11" ht="13" x14ac:dyDescent="0.3">
      <c r="A76" s="52">
        <f xml:space="preserve">  C60</f>
        <v>617.29999999999995</v>
      </c>
      <c r="B76" s="53">
        <f>C36</f>
        <v>125</v>
      </c>
      <c r="C76" s="8"/>
      <c r="H76" s="51"/>
    </row>
    <row r="77" spans="1:11" ht="13" x14ac:dyDescent="0.3">
      <c r="A77" s="217" t="str">
        <f ca="1">LOOKUP($I$4,Langue!$A$1:$C$1,Langue!A75)</f>
        <v>HS line:</v>
      </c>
      <c r="H77" s="51"/>
    </row>
    <row r="78" spans="1:11" ht="13" x14ac:dyDescent="0.3">
      <c r="A78" s="54">
        <f>Cgv</f>
        <v>493.83455837653224</v>
      </c>
      <c r="H78" s="51"/>
    </row>
    <row r="79" spans="1:11" ht="13" x14ac:dyDescent="0.3">
      <c r="A79" s="55">
        <f>Wgv</f>
        <v>1785</v>
      </c>
      <c r="H79" s="51"/>
    </row>
    <row r="80" spans="1:11" x14ac:dyDescent="0.25">
      <c r="A80" s="56"/>
      <c r="H80" s="51"/>
    </row>
    <row r="81" spans="1:8" x14ac:dyDescent="0.25">
      <c r="A81" s="56"/>
      <c r="H81" s="51"/>
    </row>
    <row r="82" spans="1:8" ht="13" x14ac:dyDescent="0.3">
      <c r="A82" s="218" t="str">
        <f ca="1">"     "&amp;LOOKUP($I$4,Langue!$A$1:$C$1,Langue!A72)</f>
        <v xml:space="preserve">     G. box ratio :</v>
      </c>
      <c r="B82" s="224" t="str">
        <f ca="1">LOOKUP($I$4,Langue!$A$1:$C$1,Langue!A76)</f>
        <v>Ø Barrel :</v>
      </c>
      <c r="C82" s="1">
        <f>De</f>
        <v>708</v>
      </c>
      <c r="H82" s="51"/>
    </row>
    <row r="83" spans="1:8" ht="13" x14ac:dyDescent="0.3">
      <c r="A83" s="57" t="str">
        <f>"    ir: "&amp;ir</f>
        <v xml:space="preserve">    ir: 90.473</v>
      </c>
      <c r="B83" s="8"/>
      <c r="C83" s="8"/>
      <c r="F83" s="58"/>
      <c r="G83" s="21" t="s">
        <v>91</v>
      </c>
      <c r="H83" s="51"/>
    </row>
    <row r="84" spans="1:8" ht="13" x14ac:dyDescent="0.3">
      <c r="A84" s="56"/>
      <c r="B84" s="8"/>
      <c r="C84" s="8"/>
      <c r="F84" s="58"/>
      <c r="G84" s="58"/>
      <c r="H84" s="51"/>
    </row>
    <row r="85" spans="1:8" ht="13" x14ac:dyDescent="0.3">
      <c r="A85" s="56"/>
      <c r="F85" s="224"/>
      <c r="G85" s="224" t="str">
        <f ca="1">LOOKUP($I$4,Langue!$A$1:$C$1,Langue!A77)</f>
        <v>Size:</v>
      </c>
      <c r="H85" s="60" t="str">
        <f>C41</f>
        <v>MS5</v>
      </c>
    </row>
    <row r="86" spans="1:8" ht="13" x14ac:dyDescent="0.3">
      <c r="A86" s="217" t="str">
        <f ca="1">LOOKUP($I$4,Langue!$A$1:$C$1,Langue!A81)</f>
        <v>LS line:</v>
      </c>
      <c r="F86" s="224"/>
      <c r="G86" s="224" t="str">
        <f ca="1">LOOKUP($I$4,Langue!$A$1:$C$1,Langue!A78)</f>
        <v>Type:</v>
      </c>
      <c r="H86" s="61" t="str">
        <f>C40</f>
        <v>Friction</v>
      </c>
    </row>
    <row r="87" spans="1:8" ht="13" x14ac:dyDescent="0.3">
      <c r="A87" s="62">
        <f>Wpv</f>
        <v>19.729643097940823</v>
      </c>
      <c r="F87" s="239" t="str">
        <f ca="1">LOOKUP($I$4,Langue!$A$1:$C$1,Langue!A79)</f>
        <v>Br. Torque</v>
      </c>
      <c r="G87" s="239"/>
      <c r="H87" s="63">
        <f>Cms</f>
        <v>62550</v>
      </c>
    </row>
    <row r="88" spans="1:8" ht="13" x14ac:dyDescent="0.3">
      <c r="A88" s="54">
        <f>Cpv</f>
        <v>44678.694000000003</v>
      </c>
      <c r="F88" s="239" t="str">
        <f ca="1">LOOKUP($I$4,Langue!$A$1:$C$1,Langue!A80)</f>
        <v>MS speed:</v>
      </c>
      <c r="G88" s="239"/>
      <c r="H88" s="198">
        <f>Wrms</f>
        <v>19.73</v>
      </c>
    </row>
    <row r="89" spans="1:8" ht="13" x14ac:dyDescent="0.3">
      <c r="A89" s="219" t="str">
        <f ca="1">LOOKUP($I$4,Langue!$A$1:$C$1,Langue!A86)</f>
        <v>Gear box maxi torque (at LS shaft):</v>
      </c>
      <c r="B89" s="223" t="str">
        <f>C28 &amp;" Nm"</f>
        <v>55848.9829 Nm</v>
      </c>
      <c r="H89" s="51"/>
    </row>
    <row r="90" spans="1:8" x14ac:dyDescent="0.25">
      <c r="A90" s="56"/>
      <c r="H90" s="51"/>
    </row>
    <row r="91" spans="1:8" ht="13" x14ac:dyDescent="0.3">
      <c r="A91" s="216" t="str">
        <f ca="1">LOOKUP($I$4,Langue!$A$1:$C$1,Langue!A82)</f>
        <v>Reeving ratio:</v>
      </c>
      <c r="B91" s="4">
        <f>im</f>
        <v>6</v>
      </c>
      <c r="H91" s="51"/>
    </row>
    <row r="92" spans="1:8" x14ac:dyDescent="0.25">
      <c r="A92" s="56"/>
      <c r="H92" s="51"/>
    </row>
    <row r="93" spans="1:8" ht="13" x14ac:dyDescent="0.3">
      <c r="A93" s="56"/>
      <c r="C93" s="239" t="str">
        <f ca="1">LOOKUP($I$4,Langue!$A$1:$C$1,Langue!A83)</f>
        <v>Load:</v>
      </c>
      <c r="D93" s="239"/>
      <c r="E93" s="64"/>
      <c r="F93" s="65">
        <f>Mct</f>
        <v>77193</v>
      </c>
      <c r="H93" s="51"/>
    </row>
    <row r="94" spans="1:8" ht="12.75" customHeight="1" x14ac:dyDescent="0.3">
      <c r="A94" s="66" t="s">
        <v>92</v>
      </c>
      <c r="B94" s="67"/>
      <c r="C94" s="68"/>
      <c r="D94" s="224" t="str">
        <f ca="1">LOOKUP($I$4,Langue!$A$1:$C$1,Langue!A84)</f>
        <v>Rope strand force:</v>
      </c>
      <c r="E94" s="69"/>
      <c r="F94" s="2">
        <f>Fb</f>
        <v>126211</v>
      </c>
      <c r="H94" s="51"/>
    </row>
    <row r="95" spans="1:8" ht="13" x14ac:dyDescent="0.3">
      <c r="A95" s="56"/>
      <c r="C95" s="59"/>
      <c r="D95" s="224" t="str">
        <f ca="1">LOOKUP($I$4,Langue!$A$1:$C$1,Langue!A85)</f>
        <v>Load speed:</v>
      </c>
      <c r="E95" s="70"/>
      <c r="F95" s="71">
        <f>Vc</f>
        <v>7.3139352141038563</v>
      </c>
      <c r="H95" s="51"/>
    </row>
    <row r="96" spans="1:8" ht="13" thickBot="1" x14ac:dyDescent="0.3">
      <c r="A96" s="72"/>
      <c r="B96" s="73"/>
      <c r="C96" s="74"/>
      <c r="D96" s="75"/>
      <c r="E96" s="75"/>
      <c r="F96" s="75"/>
      <c r="G96" s="75"/>
      <c r="H96" s="76"/>
    </row>
    <row r="99" spans="1:6" x14ac:dyDescent="0.25">
      <c r="A99" s="8"/>
      <c r="B99" s="8"/>
      <c r="C99" s="8"/>
      <c r="E99" s="18"/>
      <c r="F99" s="18"/>
    </row>
    <row r="100" spans="1:6" ht="13" x14ac:dyDescent="0.3">
      <c r="A100" s="8"/>
      <c r="B100" s="8"/>
      <c r="D100" s="16"/>
    </row>
    <row r="101" spans="1:6" x14ac:dyDescent="0.25">
      <c r="A101" s="8"/>
      <c r="B101" s="8"/>
      <c r="C101" s="8"/>
      <c r="E101" s="29"/>
      <c r="F101" s="29"/>
    </row>
    <row r="102" spans="1:6" ht="13" x14ac:dyDescent="0.3">
      <c r="A102" s="8"/>
      <c r="B102" s="8"/>
      <c r="C102" s="8"/>
      <c r="D102" s="17"/>
      <c r="E102" s="1"/>
      <c r="F102" s="1"/>
    </row>
    <row r="103" spans="1:6" x14ac:dyDescent="0.25">
      <c r="A103" s="8"/>
      <c r="B103" s="8"/>
      <c r="C103" s="8"/>
    </row>
    <row r="104" spans="1:6" x14ac:dyDescent="0.25">
      <c r="A104" s="8"/>
      <c r="B104" s="8"/>
      <c r="C104" s="8"/>
    </row>
    <row r="105" spans="1:6" x14ac:dyDescent="0.25">
      <c r="A105" s="8"/>
      <c r="B105" s="8"/>
      <c r="C105" s="8"/>
    </row>
    <row r="106" spans="1:6" ht="13" x14ac:dyDescent="0.3">
      <c r="A106" s="8"/>
      <c r="B106" s="8"/>
      <c r="C106" s="8"/>
      <c r="E106" s="7"/>
      <c r="F106" s="7"/>
    </row>
    <row r="107" spans="1:6" x14ac:dyDescent="0.25">
      <c r="A107" s="8"/>
      <c r="B107" s="30"/>
      <c r="C107" s="8"/>
      <c r="D107" s="17"/>
    </row>
    <row r="108" spans="1:6" x14ac:dyDescent="0.25">
      <c r="A108" s="8"/>
      <c r="B108" s="8"/>
      <c r="C108" s="8"/>
      <c r="E108" s="18"/>
      <c r="F108" s="18"/>
    </row>
    <row r="109" spans="1:6" x14ac:dyDescent="0.25">
      <c r="B109" s="31"/>
      <c r="C109" s="8"/>
    </row>
    <row r="110" spans="1:6" ht="13" x14ac:dyDescent="0.3">
      <c r="A110" s="6"/>
      <c r="C110" s="8"/>
      <c r="D110" s="2"/>
    </row>
    <row r="111" spans="1:6" ht="13" x14ac:dyDescent="0.3">
      <c r="A111" s="5"/>
      <c r="C111" s="8"/>
    </row>
    <row r="112" spans="1:6" ht="13" x14ac:dyDescent="0.3">
      <c r="A112" s="8"/>
      <c r="B112" s="3"/>
      <c r="C112" s="8"/>
    </row>
    <row r="113" spans="1:3" x14ac:dyDescent="0.25">
      <c r="A113" s="8"/>
      <c r="B113" s="8"/>
      <c r="C113" s="8"/>
    </row>
    <row r="114" spans="1:3" x14ac:dyDescent="0.25">
      <c r="A114" s="8"/>
      <c r="B114" s="8"/>
      <c r="C114" s="8"/>
    </row>
    <row r="115" spans="1:3" x14ac:dyDescent="0.25">
      <c r="A115" s="8"/>
      <c r="B115" s="8"/>
      <c r="C115" s="8"/>
    </row>
    <row r="116" spans="1:3" x14ac:dyDescent="0.25">
      <c r="A116" s="8"/>
      <c r="B116" s="8"/>
      <c r="C116" s="8"/>
    </row>
  </sheetData>
  <dataConsolidate/>
  <mergeCells count="18">
    <mergeCell ref="M39:N39"/>
    <mergeCell ref="A50:D50"/>
    <mergeCell ref="A53:D53"/>
    <mergeCell ref="F87:G87"/>
    <mergeCell ref="C93:D93"/>
    <mergeCell ref="A57:D57"/>
    <mergeCell ref="J51:K51"/>
    <mergeCell ref="J50:K50"/>
    <mergeCell ref="F88:G88"/>
    <mergeCell ref="B10:C10"/>
    <mergeCell ref="A38:D38"/>
    <mergeCell ref="J38:K38"/>
    <mergeCell ref="J37:K37"/>
    <mergeCell ref="M36:N36"/>
    <mergeCell ref="J31:K31"/>
    <mergeCell ref="A13:D13"/>
    <mergeCell ref="A15:D15"/>
    <mergeCell ref="A30:D30"/>
  </mergeCells>
  <phoneticPr fontId="3" type="noConversion"/>
  <dataValidations xWindow="591" yWindow="530" count="3">
    <dataValidation allowBlank="1" showErrorMessage="1" prompt="_x000a_" sqref="C51" xr:uid="{00000000-0002-0000-0000-000000000000}"/>
    <dataValidation type="list" allowBlank="1" showInputMessage="1" showErrorMessage="1" sqref="C40" xr:uid="{00000000-0002-0000-0000-000001000000}">
      <formula1>$K$4:$K$5</formula1>
    </dataValidation>
    <dataValidation type="list" allowBlank="1" showInputMessage="1" showErrorMessage="1" sqref="F5" xr:uid="{00000000-0002-0000-0000-000002000000}">
      <formula1>$J$4:$J$6</formula1>
    </dataValidation>
  </dataValidations>
  <pageMargins left="0.62992125984251968" right="0.23622047244094491" top="0.35433070866141736" bottom="0.15748031496062992" header="0.31496062992125984" footer="0.31496062992125984"/>
  <pageSetup paperSize="9" fitToHeight="0" orientation="portrait" r:id="rId1"/>
  <headerFooter alignWithMargins="0">
    <oddFooter>&amp;L&amp;D&amp;CPage &amp;P de &amp;N&amp;R&amp;F</oddFooter>
  </headerFooter>
  <rowBreaks count="1" manualBreakCount="1">
    <brk id="36" max="6" man="1"/>
  </rowBreaks>
  <ignoredErrors>
    <ignoredError sqref="C71:C72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fitToPage="1"/>
  </sheetPr>
  <dimension ref="A1:L26"/>
  <sheetViews>
    <sheetView zoomScaleNormal="100" workbookViewId="0">
      <selection activeCell="A57" sqref="A57"/>
    </sheetView>
  </sheetViews>
  <sheetFormatPr defaultColWidth="11.453125" defaultRowHeight="12.5" outlineLevelRow="1" x14ac:dyDescent="0.25"/>
  <cols>
    <col min="1" max="1" width="44.81640625" style="159" bestFit="1" customWidth="1"/>
    <col min="2" max="2" width="8.81640625" style="157" bestFit="1" customWidth="1"/>
    <col min="3" max="12" width="9.7265625" style="157" customWidth="1"/>
    <col min="13" max="16384" width="11.453125" style="159"/>
  </cols>
  <sheetData>
    <row r="1" spans="1:12" ht="18" x14ac:dyDescent="0.4">
      <c r="A1" s="156" t="s">
        <v>93</v>
      </c>
      <c r="C1" s="158"/>
    </row>
    <row r="2" spans="1:12" ht="18" x14ac:dyDescent="0.4">
      <c r="A2" s="156"/>
      <c r="C2" s="158"/>
    </row>
    <row r="3" spans="1:12" s="162" customFormat="1" ht="14.15" hidden="1" customHeight="1" outlineLevel="1" x14ac:dyDescent="0.25">
      <c r="A3" s="241" t="s">
        <v>94</v>
      </c>
      <c r="B3" s="160"/>
      <c r="C3" s="154"/>
      <c r="D3" s="161">
        <f>-D13</f>
        <v>-225000</v>
      </c>
      <c r="E3" s="161">
        <f t="shared" ref="E3:K3" si="0">-E13</f>
        <v>-130200</v>
      </c>
      <c r="F3" s="161">
        <f t="shared" si="0"/>
        <v>-63600</v>
      </c>
      <c r="G3" s="161">
        <f t="shared" si="0"/>
        <v>-40000</v>
      </c>
      <c r="H3" s="161">
        <f t="shared" si="0"/>
        <v>-23000</v>
      </c>
      <c r="I3" s="161">
        <f t="shared" si="0"/>
        <v>-12600</v>
      </c>
      <c r="J3" s="161">
        <f t="shared" si="0"/>
        <v>-6100</v>
      </c>
      <c r="K3" s="161">
        <f t="shared" si="0"/>
        <v>-2400</v>
      </c>
      <c r="L3" s="161" t="e">
        <f>-L13</f>
        <v>#VALUE!</v>
      </c>
    </row>
    <row r="4" spans="1:12" s="162" customFormat="1" ht="14.15" hidden="1" customHeight="1" outlineLevel="1" x14ac:dyDescent="0.25">
      <c r="A4" s="241"/>
      <c r="B4" s="160"/>
      <c r="C4" s="154">
        <f t="shared" ref="C4:K4" si="1">-C11</f>
        <v>-898200</v>
      </c>
      <c r="D4" s="154">
        <f t="shared" si="1"/>
        <v>-459900</v>
      </c>
      <c r="E4" s="154">
        <f t="shared" si="1"/>
        <v>-266400</v>
      </c>
      <c r="F4" s="154">
        <f t="shared" si="1"/>
        <v>-136350</v>
      </c>
      <c r="G4" s="154">
        <f t="shared" si="1"/>
        <v>-91350</v>
      </c>
      <c r="H4" s="154">
        <f t="shared" si="1"/>
        <v>-57600</v>
      </c>
      <c r="I4" s="154">
        <f t="shared" si="1"/>
        <v>-33300</v>
      </c>
      <c r="J4" s="154">
        <f t="shared" si="1"/>
        <v>-17100</v>
      </c>
      <c r="K4" s="154">
        <f t="shared" si="1"/>
        <v>-7200</v>
      </c>
      <c r="L4" s="154">
        <f>-L11</f>
        <v>-2115</v>
      </c>
    </row>
    <row r="5" spans="1:12" s="162" customFormat="1" ht="14.15" hidden="1" customHeight="1" outlineLevel="1" x14ac:dyDescent="0.25">
      <c r="A5" s="241"/>
      <c r="B5" s="160"/>
      <c r="C5" s="154" t="str">
        <f t="shared" ref="C5:L5" si="2">D10</f>
        <v>MS7</v>
      </c>
      <c r="D5" s="154" t="str">
        <f t="shared" si="2"/>
        <v>MS6</v>
      </c>
      <c r="E5" s="154" t="str">
        <f t="shared" si="2"/>
        <v>MS5</v>
      </c>
      <c r="F5" s="154" t="str">
        <f t="shared" si="2"/>
        <v>MS4</v>
      </c>
      <c r="G5" s="154" t="str">
        <f t="shared" si="2"/>
        <v>MS3</v>
      </c>
      <c r="H5" s="154" t="str">
        <f t="shared" si="2"/>
        <v>MS2</v>
      </c>
      <c r="I5" s="154" t="str">
        <f t="shared" si="2"/>
        <v>MS1</v>
      </c>
      <c r="J5" s="154" t="str">
        <f t="shared" si="2"/>
        <v>MS0</v>
      </c>
      <c r="K5" s="154" t="str">
        <f t="shared" si="2"/>
        <v>MSA</v>
      </c>
      <c r="L5" s="154">
        <f t="shared" si="2"/>
        <v>0</v>
      </c>
    </row>
    <row r="6" spans="1:12" s="162" customFormat="1" ht="14.15" hidden="1" customHeight="1" outlineLevel="1" x14ac:dyDescent="0.25">
      <c r="A6" s="241"/>
      <c r="B6" s="160"/>
      <c r="C6" s="161">
        <f t="shared" ref="C6:L6" si="3">D11</f>
        <v>459900</v>
      </c>
      <c r="D6" s="161">
        <f t="shared" si="3"/>
        <v>266400</v>
      </c>
      <c r="E6" s="161">
        <f t="shared" si="3"/>
        <v>136350</v>
      </c>
      <c r="F6" s="161">
        <f t="shared" si="3"/>
        <v>91350</v>
      </c>
      <c r="G6" s="161">
        <f t="shared" si="3"/>
        <v>57600</v>
      </c>
      <c r="H6" s="161">
        <f t="shared" si="3"/>
        <v>33300</v>
      </c>
      <c r="I6" s="161">
        <f t="shared" si="3"/>
        <v>17100</v>
      </c>
      <c r="J6" s="161">
        <f t="shared" si="3"/>
        <v>7200</v>
      </c>
      <c r="K6" s="161">
        <f t="shared" si="3"/>
        <v>2115</v>
      </c>
      <c r="L6" s="161">
        <f t="shared" si="3"/>
        <v>0</v>
      </c>
    </row>
    <row r="7" spans="1:12" s="162" customFormat="1" ht="14.15" hidden="1" customHeight="1" outlineLevel="1" x14ac:dyDescent="0.25">
      <c r="A7" s="241"/>
      <c r="B7" s="160"/>
      <c r="C7" s="161">
        <f>D13</f>
        <v>225000</v>
      </c>
      <c r="D7" s="161">
        <f t="shared" ref="D7:K7" si="4">E13</f>
        <v>130200</v>
      </c>
      <c r="E7" s="161">
        <f t="shared" si="4"/>
        <v>63600</v>
      </c>
      <c r="F7" s="161">
        <f t="shared" si="4"/>
        <v>40000</v>
      </c>
      <c r="G7" s="161">
        <f t="shared" si="4"/>
        <v>23000</v>
      </c>
      <c r="H7" s="161">
        <f t="shared" si="4"/>
        <v>12600</v>
      </c>
      <c r="I7" s="161">
        <f t="shared" si="4"/>
        <v>6100</v>
      </c>
      <c r="J7" s="161">
        <f t="shared" si="4"/>
        <v>2400</v>
      </c>
      <c r="K7" s="161" t="str">
        <f t="shared" si="4"/>
        <v>NA</v>
      </c>
      <c r="L7" s="161">
        <f>M13</f>
        <v>0</v>
      </c>
    </row>
    <row r="8" spans="1:12" s="8" customFormat="1" ht="14.15" hidden="1" customHeight="1" outlineLevel="1" x14ac:dyDescent="0.25">
      <c r="A8" s="241"/>
      <c r="B8" s="160"/>
      <c r="C8" s="161"/>
      <c r="D8" s="161"/>
      <c r="E8" s="161"/>
      <c r="F8" s="161"/>
      <c r="G8" s="161"/>
      <c r="H8" s="161"/>
      <c r="I8" s="161"/>
      <c r="J8" s="161"/>
      <c r="K8" s="161"/>
      <c r="L8" s="161"/>
    </row>
    <row r="9" spans="1:12" ht="13" hidden="1" outlineLevel="1" x14ac:dyDescent="0.3">
      <c r="A9" s="241"/>
      <c r="B9" s="163"/>
      <c r="C9" s="164">
        <v>-8</v>
      </c>
      <c r="D9" s="164">
        <v>-7</v>
      </c>
      <c r="E9" s="164">
        <v>-6</v>
      </c>
      <c r="F9" s="164">
        <v>-5</v>
      </c>
      <c r="G9" s="164">
        <v>-4</v>
      </c>
      <c r="H9" s="164">
        <v>-3</v>
      </c>
      <c r="I9" s="164">
        <v>-2</v>
      </c>
      <c r="J9" s="164">
        <v>-1</v>
      </c>
      <c r="K9" s="164">
        <v>0</v>
      </c>
      <c r="L9" s="161">
        <v>1</v>
      </c>
    </row>
    <row r="10" spans="1:12" ht="13" collapsed="1" x14ac:dyDescent="0.3">
      <c r="A10" s="165" t="s">
        <v>3</v>
      </c>
      <c r="B10" s="152" t="s">
        <v>95</v>
      </c>
      <c r="C10" s="152" t="s">
        <v>96</v>
      </c>
      <c r="D10" s="152" t="s">
        <v>97</v>
      </c>
      <c r="E10" s="152" t="s">
        <v>98</v>
      </c>
      <c r="F10" s="152" t="s">
        <v>99</v>
      </c>
      <c r="G10" s="152" t="s">
        <v>100</v>
      </c>
      <c r="H10" s="152" t="s">
        <v>101</v>
      </c>
      <c r="I10" s="152" t="s">
        <v>102</v>
      </c>
      <c r="J10" s="152" t="s">
        <v>103</v>
      </c>
      <c r="K10" s="152" t="s">
        <v>104</v>
      </c>
      <c r="L10" s="152" t="s">
        <v>105</v>
      </c>
    </row>
    <row r="11" spans="1:12" ht="13" x14ac:dyDescent="0.3">
      <c r="A11" s="119" t="s">
        <v>106</v>
      </c>
      <c r="B11" s="166" t="s">
        <v>107</v>
      </c>
      <c r="C11" s="167">
        <f t="shared" ref="C11:L11" si="5">C12*1.8</f>
        <v>898200</v>
      </c>
      <c r="D11" s="167">
        <f t="shared" si="5"/>
        <v>459900</v>
      </c>
      <c r="E11" s="167">
        <f t="shared" si="5"/>
        <v>266400</v>
      </c>
      <c r="F11" s="167">
        <f t="shared" si="5"/>
        <v>136350</v>
      </c>
      <c r="G11" s="167">
        <f t="shared" si="5"/>
        <v>91350</v>
      </c>
      <c r="H11" s="167">
        <f t="shared" si="5"/>
        <v>57600</v>
      </c>
      <c r="I11" s="167">
        <f t="shared" si="5"/>
        <v>33300</v>
      </c>
      <c r="J11" s="167">
        <f t="shared" si="5"/>
        <v>17100</v>
      </c>
      <c r="K11" s="167">
        <f t="shared" si="5"/>
        <v>7200</v>
      </c>
      <c r="L11" s="167">
        <f t="shared" si="5"/>
        <v>2115</v>
      </c>
    </row>
    <row r="12" spans="1:12" ht="13" x14ac:dyDescent="0.3">
      <c r="A12" s="119" t="s">
        <v>108</v>
      </c>
      <c r="B12" s="13" t="s">
        <v>109</v>
      </c>
      <c r="C12" s="220">
        <v>499000</v>
      </c>
      <c r="D12" s="220">
        <v>255500</v>
      </c>
      <c r="E12" s="220">
        <v>148000</v>
      </c>
      <c r="F12" s="220">
        <v>75750</v>
      </c>
      <c r="G12" s="220">
        <v>50750</v>
      </c>
      <c r="H12" s="220">
        <v>32000</v>
      </c>
      <c r="I12" s="220">
        <v>18500</v>
      </c>
      <c r="J12" s="220">
        <v>9500</v>
      </c>
      <c r="K12" s="220">
        <v>4000</v>
      </c>
      <c r="L12" s="220">
        <v>1175</v>
      </c>
    </row>
    <row r="13" spans="1:12" ht="13" x14ac:dyDescent="0.3">
      <c r="A13" s="119" t="s">
        <v>110</v>
      </c>
      <c r="B13" s="13" t="s">
        <v>111</v>
      </c>
      <c r="C13" s="220"/>
      <c r="D13" s="221">
        <v>225000</v>
      </c>
      <c r="E13" s="221">
        <v>130200</v>
      </c>
      <c r="F13" s="221">
        <v>63600</v>
      </c>
      <c r="G13" s="221">
        <v>40000</v>
      </c>
      <c r="H13" s="221">
        <v>23000</v>
      </c>
      <c r="I13" s="221">
        <v>12600</v>
      </c>
      <c r="J13" s="221">
        <v>6100</v>
      </c>
      <c r="K13" s="221">
        <v>2400</v>
      </c>
      <c r="L13" s="168" t="s">
        <v>112</v>
      </c>
    </row>
    <row r="14" spans="1:12" x14ac:dyDescent="0.25">
      <c r="A14" s="169"/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</row>
    <row r="15" spans="1:12" x14ac:dyDescent="0.25">
      <c r="A15" s="170" t="s">
        <v>113</v>
      </c>
      <c r="B15" s="166" t="s">
        <v>114</v>
      </c>
      <c r="C15" s="171">
        <v>45</v>
      </c>
      <c r="D15" s="171">
        <v>45</v>
      </c>
      <c r="E15" s="171">
        <v>45</v>
      </c>
      <c r="F15" s="171">
        <v>45</v>
      </c>
      <c r="G15" s="171">
        <v>45</v>
      </c>
      <c r="H15" s="171">
        <v>45</v>
      </c>
      <c r="I15" s="171">
        <v>45</v>
      </c>
      <c r="J15" s="171">
        <v>45</v>
      </c>
      <c r="K15" s="171">
        <v>45</v>
      </c>
      <c r="L15" s="171">
        <v>45</v>
      </c>
    </row>
    <row r="16" spans="1:12" x14ac:dyDescent="0.25">
      <c r="A16" s="170" t="s">
        <v>115</v>
      </c>
      <c r="B16" s="166" t="s">
        <v>115</v>
      </c>
      <c r="C16" s="172">
        <v>45</v>
      </c>
      <c r="D16" s="172">
        <v>45</v>
      </c>
      <c r="E16" s="172">
        <v>45</v>
      </c>
      <c r="F16" s="172">
        <v>45</v>
      </c>
      <c r="G16" s="172">
        <v>45</v>
      </c>
      <c r="H16" s="172">
        <v>45</v>
      </c>
      <c r="I16" s="172">
        <v>45</v>
      </c>
      <c r="J16" s="172">
        <v>45</v>
      </c>
      <c r="K16" s="172">
        <v>45</v>
      </c>
      <c r="L16" s="172">
        <v>45</v>
      </c>
    </row>
    <row r="17" spans="1:12" x14ac:dyDescent="0.25">
      <c r="A17" s="170" t="s">
        <v>116</v>
      </c>
      <c r="B17" s="166" t="s">
        <v>116</v>
      </c>
      <c r="C17" s="172">
        <v>1</v>
      </c>
      <c r="D17" s="172">
        <v>1</v>
      </c>
      <c r="E17" s="172">
        <v>1</v>
      </c>
      <c r="F17" s="172">
        <v>1</v>
      </c>
      <c r="G17" s="172">
        <v>1</v>
      </c>
      <c r="H17" s="172">
        <v>1</v>
      </c>
      <c r="I17" s="172">
        <v>1</v>
      </c>
      <c r="J17" s="172">
        <v>1</v>
      </c>
      <c r="K17" s="172">
        <v>1</v>
      </c>
      <c r="L17" s="172">
        <v>1</v>
      </c>
    </row>
    <row r="18" spans="1:12" x14ac:dyDescent="0.25">
      <c r="A18" s="170" t="s">
        <v>117</v>
      </c>
      <c r="B18" s="166" t="s">
        <v>118</v>
      </c>
      <c r="C18" s="172">
        <v>412.5</v>
      </c>
      <c r="D18" s="172">
        <v>330</v>
      </c>
      <c r="E18" s="172">
        <v>275</v>
      </c>
      <c r="F18" s="172">
        <v>220</v>
      </c>
      <c r="G18" s="172">
        <v>192.5</v>
      </c>
      <c r="H18" s="172">
        <v>165</v>
      </c>
      <c r="I18" s="172">
        <v>137.5</v>
      </c>
      <c r="J18" s="172">
        <v>110</v>
      </c>
      <c r="K18" s="172">
        <v>84.5</v>
      </c>
      <c r="L18" s="172">
        <v>59.5</v>
      </c>
    </row>
    <row r="19" spans="1:12" x14ac:dyDescent="0.25">
      <c r="A19" s="170" t="s">
        <v>119</v>
      </c>
      <c r="B19" s="166" t="s">
        <v>120</v>
      </c>
      <c r="C19" s="172">
        <v>675</v>
      </c>
      <c r="D19" s="172">
        <v>540</v>
      </c>
      <c r="E19" s="172">
        <v>450</v>
      </c>
      <c r="F19" s="172">
        <v>360</v>
      </c>
      <c r="G19" s="172">
        <v>315</v>
      </c>
      <c r="H19" s="172">
        <v>270</v>
      </c>
      <c r="I19" s="172">
        <v>225</v>
      </c>
      <c r="J19" s="172">
        <v>180</v>
      </c>
      <c r="K19" s="172">
        <v>135</v>
      </c>
      <c r="L19" s="172">
        <v>90</v>
      </c>
    </row>
    <row r="20" spans="1:12" x14ac:dyDescent="0.25">
      <c r="A20" s="170" t="s">
        <v>121</v>
      </c>
      <c r="B20" s="166" t="s">
        <v>122</v>
      </c>
      <c r="C20" s="166">
        <f t="shared" ref="C20:L20" si="6">2*C18-C19</f>
        <v>150</v>
      </c>
      <c r="D20" s="166">
        <f t="shared" si="6"/>
        <v>120</v>
      </c>
      <c r="E20" s="166">
        <f t="shared" si="6"/>
        <v>100</v>
      </c>
      <c r="F20" s="166">
        <f t="shared" si="6"/>
        <v>80</v>
      </c>
      <c r="G20" s="166">
        <f t="shared" si="6"/>
        <v>70</v>
      </c>
      <c r="H20" s="166">
        <f t="shared" si="6"/>
        <v>60</v>
      </c>
      <c r="I20" s="166">
        <f t="shared" si="6"/>
        <v>50</v>
      </c>
      <c r="J20" s="166">
        <f t="shared" si="6"/>
        <v>40</v>
      </c>
      <c r="K20" s="166">
        <f t="shared" si="6"/>
        <v>34</v>
      </c>
      <c r="L20" s="166">
        <f t="shared" si="6"/>
        <v>29</v>
      </c>
    </row>
    <row r="21" spans="1:12" x14ac:dyDescent="0.25">
      <c r="A21" s="170" t="s">
        <v>123</v>
      </c>
      <c r="B21" s="166" t="s">
        <v>124</v>
      </c>
      <c r="C21" s="172">
        <v>750</v>
      </c>
      <c r="D21" s="172">
        <v>600</v>
      </c>
      <c r="E21" s="172">
        <v>500</v>
      </c>
      <c r="F21" s="172">
        <v>400</v>
      </c>
      <c r="G21" s="172">
        <v>350</v>
      </c>
      <c r="H21" s="172">
        <v>300</v>
      </c>
      <c r="I21" s="172">
        <v>250</v>
      </c>
      <c r="J21" s="172">
        <v>200</v>
      </c>
      <c r="K21" s="172">
        <v>150</v>
      </c>
      <c r="L21" s="172">
        <v>100</v>
      </c>
    </row>
    <row r="22" spans="1:12" x14ac:dyDescent="0.25">
      <c r="A22" s="170" t="s">
        <v>125</v>
      </c>
      <c r="B22" s="166" t="s">
        <v>126</v>
      </c>
      <c r="C22" s="172">
        <v>180</v>
      </c>
      <c r="D22" s="172">
        <v>144</v>
      </c>
      <c r="E22" s="172">
        <v>120</v>
      </c>
      <c r="F22" s="172">
        <v>96</v>
      </c>
      <c r="G22" s="172">
        <v>84</v>
      </c>
      <c r="H22" s="172">
        <v>72</v>
      </c>
      <c r="I22" s="172">
        <v>60</v>
      </c>
      <c r="J22" s="172">
        <v>48</v>
      </c>
      <c r="K22" s="172">
        <v>40</v>
      </c>
      <c r="L22" s="172">
        <v>33</v>
      </c>
    </row>
    <row r="23" spans="1:12" x14ac:dyDescent="0.25">
      <c r="A23" s="170" t="s">
        <v>127</v>
      </c>
      <c r="B23" s="166"/>
      <c r="C23" s="172">
        <v>210</v>
      </c>
      <c r="D23" s="172">
        <v>168</v>
      </c>
      <c r="E23" s="172">
        <v>140</v>
      </c>
      <c r="F23" s="172">
        <v>112</v>
      </c>
      <c r="G23" s="172">
        <v>98</v>
      </c>
      <c r="H23" s="172">
        <v>84</v>
      </c>
      <c r="I23" s="172">
        <v>70</v>
      </c>
      <c r="J23" s="172">
        <v>55</v>
      </c>
      <c r="K23" s="172">
        <v>42</v>
      </c>
      <c r="L23" s="172">
        <v>35</v>
      </c>
    </row>
    <row r="24" spans="1:12" x14ac:dyDescent="0.25">
      <c r="A24" s="119" t="s">
        <v>128</v>
      </c>
      <c r="B24" s="166"/>
      <c r="C24" s="166">
        <v>158</v>
      </c>
      <c r="D24" s="166">
        <v>126</v>
      </c>
      <c r="E24" s="166">
        <v>105</v>
      </c>
      <c r="F24" s="166">
        <v>84</v>
      </c>
      <c r="G24" s="166">
        <v>74</v>
      </c>
      <c r="H24" s="166">
        <v>63</v>
      </c>
      <c r="I24" s="166">
        <v>52</v>
      </c>
      <c r="J24" s="166">
        <v>42</v>
      </c>
      <c r="K24" s="166">
        <v>32</v>
      </c>
      <c r="L24" s="166">
        <v>22</v>
      </c>
    </row>
    <row r="25" spans="1:12" x14ac:dyDescent="0.25">
      <c r="A25" s="119" t="s">
        <v>129</v>
      </c>
      <c r="B25" s="166"/>
      <c r="C25" s="166">
        <f>ROUND(C24/(PI()*C19)*360,1)</f>
        <v>26.8</v>
      </c>
      <c r="D25" s="166">
        <f t="shared" ref="D25:L25" si="7">ROUND(D24/(PI()*D19)*360,1)</f>
        <v>26.7</v>
      </c>
      <c r="E25" s="166">
        <f t="shared" si="7"/>
        <v>26.7</v>
      </c>
      <c r="F25" s="166">
        <f t="shared" si="7"/>
        <v>26.7</v>
      </c>
      <c r="G25" s="166">
        <f t="shared" si="7"/>
        <v>26.9</v>
      </c>
      <c r="H25" s="166">
        <f t="shared" si="7"/>
        <v>26.7</v>
      </c>
      <c r="I25" s="166">
        <f t="shared" si="7"/>
        <v>26.5</v>
      </c>
      <c r="J25" s="166">
        <f t="shared" si="7"/>
        <v>26.7</v>
      </c>
      <c r="K25" s="166">
        <f t="shared" si="7"/>
        <v>27.2</v>
      </c>
      <c r="L25" s="166">
        <f t="shared" si="7"/>
        <v>28</v>
      </c>
    </row>
    <row r="26" spans="1:12" ht="13" x14ac:dyDescent="0.3">
      <c r="C26" s="173"/>
      <c r="D26" s="173"/>
      <c r="E26" s="173"/>
      <c r="F26" s="173"/>
      <c r="G26" s="173"/>
      <c r="H26" s="173"/>
      <c r="I26" s="173"/>
      <c r="J26" s="173"/>
      <c r="K26" s="173"/>
    </row>
  </sheetData>
  <mergeCells count="1">
    <mergeCell ref="A3:A9"/>
  </mergeCells>
  <phoneticPr fontId="3" type="noConversion"/>
  <pageMargins left="0.78740157480314965" right="0.78740157480314965" top="0.59055118110236227" bottom="0.59055118110236227" header="0.51181102362204722" footer="0.51181102362204722"/>
  <pageSetup paperSize="9" scale="87" orientation="landscape" r:id="rId1"/>
  <headerFooter alignWithMargins="0"/>
  <ignoredErrors>
    <ignoredError sqref="C5:L6" unlockedFormula="1"/>
    <ignoredError sqref="L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F91"/>
  <sheetViews>
    <sheetView topLeftCell="A7" zoomScale="110" zoomScaleNormal="110" zoomScaleSheetLayoutView="100" workbookViewId="0">
      <selection activeCell="A7" sqref="A7"/>
    </sheetView>
  </sheetViews>
  <sheetFormatPr defaultColWidth="11.453125" defaultRowHeight="12.5" outlineLevelRow="1" x14ac:dyDescent="0.25"/>
  <cols>
    <col min="1" max="2" width="30.7265625" style="133" customWidth="1"/>
    <col min="3" max="3" width="33.7265625" style="17" customWidth="1"/>
    <col min="4" max="6" width="11.453125" style="14"/>
    <col min="7" max="16384" width="11.453125" style="8"/>
  </cols>
  <sheetData>
    <row r="1" spans="1:3" s="144" customFormat="1" ht="15.5" x14ac:dyDescent="0.35">
      <c r="A1" s="147">
        <v>1</v>
      </c>
      <c r="B1" s="147">
        <v>2</v>
      </c>
      <c r="C1" s="148">
        <v>3</v>
      </c>
    </row>
    <row r="2" spans="1:3" s="144" customFormat="1" ht="15.5" x14ac:dyDescent="0.35">
      <c r="A2" s="147" t="s">
        <v>9</v>
      </c>
      <c r="B2" s="147" t="s">
        <v>6</v>
      </c>
      <c r="C2" s="148"/>
    </row>
    <row r="3" spans="1:3" s="8" customFormat="1" ht="17.5" x14ac:dyDescent="0.35">
      <c r="A3" s="135" t="s">
        <v>130</v>
      </c>
      <c r="B3" s="135" t="s">
        <v>131</v>
      </c>
      <c r="C3" s="145"/>
    </row>
    <row r="4" spans="1:3" s="8" customFormat="1" x14ac:dyDescent="0.25">
      <c r="A4" s="135"/>
      <c r="B4" s="135"/>
      <c r="C4" s="119"/>
    </row>
    <row r="5" spans="1:3" s="8" customFormat="1" ht="15.5" x14ac:dyDescent="0.35">
      <c r="A5" s="135" t="s">
        <v>132</v>
      </c>
      <c r="B5" s="135" t="s">
        <v>133</v>
      </c>
      <c r="C5" s="136"/>
    </row>
    <row r="6" spans="1:3" s="8" customFormat="1" ht="21.5" x14ac:dyDescent="0.35">
      <c r="A6" s="135" t="s">
        <v>134</v>
      </c>
      <c r="B6" s="135" t="s">
        <v>135</v>
      </c>
      <c r="C6" s="136"/>
    </row>
    <row r="7" spans="1:3" s="8" customFormat="1" ht="15.5" x14ac:dyDescent="0.35">
      <c r="A7" s="135" t="s">
        <v>136</v>
      </c>
      <c r="B7" s="135" t="s">
        <v>137</v>
      </c>
      <c r="C7" s="137"/>
    </row>
    <row r="8" spans="1:3" s="8" customFormat="1" ht="15.5" x14ac:dyDescent="0.35">
      <c r="A8" s="135" t="s">
        <v>138</v>
      </c>
      <c r="B8" s="135" t="s">
        <v>139</v>
      </c>
      <c r="C8" s="137"/>
    </row>
    <row r="9" spans="1:3" s="8" customFormat="1" ht="15.5" x14ac:dyDescent="0.35">
      <c r="A9" s="135" t="s">
        <v>140</v>
      </c>
      <c r="B9" s="135" t="s">
        <v>140</v>
      </c>
      <c r="C9" s="137"/>
    </row>
    <row r="10" spans="1:3" s="8" customFormat="1" ht="15.5" x14ac:dyDescent="0.35">
      <c r="A10" s="135"/>
      <c r="B10" s="135"/>
      <c r="C10" s="137"/>
    </row>
    <row r="11" spans="1:3" s="8" customFormat="1" x14ac:dyDescent="0.25">
      <c r="A11" s="135"/>
      <c r="B11" s="135"/>
      <c r="C11" s="119"/>
    </row>
    <row r="12" spans="1:3" s="44" customFormat="1" ht="20.149999999999999" customHeight="1" x14ac:dyDescent="0.25">
      <c r="A12" s="132" t="s">
        <v>141</v>
      </c>
      <c r="B12" s="132" t="s">
        <v>142</v>
      </c>
      <c r="C12" s="141"/>
    </row>
    <row r="13" spans="1:3" s="8" customFormat="1" ht="18" customHeight="1" x14ac:dyDescent="0.25">
      <c r="A13" s="132" t="s">
        <v>143</v>
      </c>
      <c r="B13" s="132" t="s">
        <v>144</v>
      </c>
      <c r="C13" s="134"/>
    </row>
    <row r="14" spans="1:3" s="8" customFormat="1" ht="18" customHeight="1" x14ac:dyDescent="0.25">
      <c r="A14" s="132" t="s">
        <v>145</v>
      </c>
      <c r="B14" s="132" t="s">
        <v>146</v>
      </c>
      <c r="C14" s="140"/>
    </row>
    <row r="15" spans="1:3" s="8" customFormat="1" ht="18" customHeight="1" x14ac:dyDescent="0.25">
      <c r="A15" s="132" t="s">
        <v>147</v>
      </c>
      <c r="B15" s="132" t="s">
        <v>148</v>
      </c>
      <c r="C15" s="86"/>
    </row>
    <row r="16" spans="1:3" s="8" customFormat="1" ht="18" customHeight="1" x14ac:dyDescent="0.25">
      <c r="A16" s="132" t="s">
        <v>149</v>
      </c>
      <c r="B16" s="132" t="s">
        <v>150</v>
      </c>
      <c r="C16" s="86"/>
    </row>
    <row r="17" spans="1:3" s="18" customFormat="1" ht="18" hidden="1" customHeight="1" x14ac:dyDescent="0.25">
      <c r="A17" s="132" t="s">
        <v>151</v>
      </c>
      <c r="B17" s="132" t="s">
        <v>151</v>
      </c>
      <c r="C17" s="86"/>
    </row>
    <row r="18" spans="1:3" s="18" customFormat="1" ht="18" customHeight="1" x14ac:dyDescent="0.25">
      <c r="A18" s="132" t="s">
        <v>152</v>
      </c>
      <c r="B18" s="132" t="s">
        <v>153</v>
      </c>
      <c r="C18" s="86"/>
    </row>
    <row r="19" spans="1:3" s="18" customFormat="1" ht="18" customHeight="1" x14ac:dyDescent="0.25">
      <c r="A19" s="132" t="s">
        <v>154</v>
      </c>
      <c r="B19" s="132" t="s">
        <v>155</v>
      </c>
      <c r="C19" s="86"/>
    </row>
    <row r="20" spans="1:3" s="18" customFormat="1" ht="18" customHeight="1" x14ac:dyDescent="0.25">
      <c r="A20" s="132" t="s">
        <v>156</v>
      </c>
      <c r="B20" s="132" t="s">
        <v>157</v>
      </c>
      <c r="C20" s="86"/>
    </row>
    <row r="21" spans="1:3" s="18" customFormat="1" ht="18" customHeight="1" x14ac:dyDescent="0.25">
      <c r="A21" s="132" t="s">
        <v>158</v>
      </c>
      <c r="B21" s="132" t="s">
        <v>159</v>
      </c>
      <c r="C21" s="86"/>
    </row>
    <row r="22" spans="1:3" s="18" customFormat="1" ht="18" customHeight="1" x14ac:dyDescent="0.25">
      <c r="A22" s="132" t="s">
        <v>160</v>
      </c>
      <c r="B22" s="132" t="s">
        <v>161</v>
      </c>
      <c r="C22" s="86"/>
    </row>
    <row r="23" spans="1:3" s="18" customFormat="1" ht="18" customHeight="1" x14ac:dyDescent="0.25">
      <c r="A23" s="132" t="s">
        <v>162</v>
      </c>
      <c r="B23" s="132" t="s">
        <v>163</v>
      </c>
      <c r="C23" s="86"/>
    </row>
    <row r="24" spans="1:3" s="18" customFormat="1" ht="18" customHeight="1" x14ac:dyDescent="0.25">
      <c r="A24" s="132" t="s">
        <v>164</v>
      </c>
      <c r="B24" s="132" t="s">
        <v>165</v>
      </c>
      <c r="C24" s="86"/>
    </row>
    <row r="25" spans="1:3" s="18" customFormat="1" ht="18" customHeight="1" x14ac:dyDescent="0.25">
      <c r="A25" s="132" t="s">
        <v>166</v>
      </c>
      <c r="B25" s="132" t="s">
        <v>167</v>
      </c>
      <c r="C25" s="86"/>
    </row>
    <row r="26" spans="1:3" s="18" customFormat="1" ht="18" customHeight="1" x14ac:dyDescent="0.25">
      <c r="A26" s="132" t="s">
        <v>168</v>
      </c>
      <c r="B26" s="132" t="s">
        <v>169</v>
      </c>
      <c r="C26" s="86"/>
    </row>
    <row r="27" spans="1:3" s="18" customFormat="1" ht="18" customHeight="1" x14ac:dyDescent="0.25">
      <c r="A27" s="132" t="s">
        <v>170</v>
      </c>
      <c r="B27" s="132" t="s">
        <v>171</v>
      </c>
      <c r="C27" s="86"/>
    </row>
    <row r="28" spans="1:3" s="18" customFormat="1" ht="18" customHeight="1" x14ac:dyDescent="0.25">
      <c r="A28" s="132" t="s">
        <v>172</v>
      </c>
      <c r="B28" s="132" t="s">
        <v>173</v>
      </c>
      <c r="C28" s="86"/>
    </row>
    <row r="29" spans="1:3" s="18" customFormat="1" ht="18" customHeight="1" x14ac:dyDescent="0.25">
      <c r="A29" s="132" t="s">
        <v>174</v>
      </c>
      <c r="B29" s="132" t="s">
        <v>175</v>
      </c>
      <c r="C29" s="86"/>
    </row>
    <row r="30" spans="1:3" s="18" customFormat="1" ht="18" customHeight="1" x14ac:dyDescent="0.25">
      <c r="A30" s="132" t="s">
        <v>176</v>
      </c>
      <c r="B30" s="132" t="s">
        <v>177</v>
      </c>
      <c r="C30" s="140"/>
    </row>
    <row r="31" spans="1:3" s="18" customFormat="1" ht="18" customHeight="1" x14ac:dyDescent="0.25">
      <c r="A31" s="132" t="s">
        <v>178</v>
      </c>
      <c r="B31" s="132" t="s">
        <v>179</v>
      </c>
      <c r="C31" s="86"/>
    </row>
    <row r="32" spans="1:3" s="18" customFormat="1" ht="18" customHeight="1" x14ac:dyDescent="0.25">
      <c r="A32" s="132" t="s">
        <v>180</v>
      </c>
      <c r="B32" s="132" t="s">
        <v>181</v>
      </c>
      <c r="C32" s="86"/>
    </row>
    <row r="33" spans="1:6" s="18" customFormat="1" ht="18" customHeight="1" x14ac:dyDescent="0.25">
      <c r="A33" s="132" t="s">
        <v>182</v>
      </c>
      <c r="B33" s="132" t="s">
        <v>183</v>
      </c>
      <c r="C33" s="86"/>
    </row>
    <row r="34" spans="1:6" ht="18" customHeight="1" x14ac:dyDescent="0.25">
      <c r="A34" s="132" t="s">
        <v>184</v>
      </c>
      <c r="B34" s="132" t="s">
        <v>185</v>
      </c>
      <c r="C34" s="86"/>
      <c r="D34" s="8"/>
      <c r="E34" s="8"/>
      <c r="F34" s="8"/>
    </row>
    <row r="35" spans="1:6" ht="18" customHeight="1" x14ac:dyDescent="0.25">
      <c r="A35" s="132" t="s">
        <v>186</v>
      </c>
      <c r="B35" s="132" t="s">
        <v>187</v>
      </c>
      <c r="C35" s="86"/>
      <c r="D35" s="8"/>
      <c r="E35" s="8"/>
      <c r="F35" s="8"/>
    </row>
    <row r="36" spans="1:6" ht="18" customHeight="1" x14ac:dyDescent="0.25">
      <c r="A36" s="132" t="s">
        <v>188</v>
      </c>
      <c r="B36" s="132" t="s">
        <v>189</v>
      </c>
      <c r="C36" s="86"/>
      <c r="D36" s="8"/>
      <c r="E36" s="8"/>
      <c r="F36" s="8"/>
    </row>
    <row r="37" spans="1:6" x14ac:dyDescent="0.25">
      <c r="A37" s="135"/>
      <c r="B37" s="135"/>
      <c r="C37" s="138"/>
      <c r="D37" s="8"/>
      <c r="E37" s="8"/>
      <c r="F37" s="8"/>
    </row>
    <row r="38" spans="1:6" s="39" customFormat="1" ht="20.149999999999999" customHeight="1" x14ac:dyDescent="0.25">
      <c r="A38" s="132" t="s">
        <v>190</v>
      </c>
      <c r="B38" s="132" t="s">
        <v>191</v>
      </c>
      <c r="C38" s="141"/>
    </row>
    <row r="39" spans="1:6" ht="15" customHeight="1" x14ac:dyDescent="0.25">
      <c r="A39" s="132" t="s">
        <v>143</v>
      </c>
      <c r="B39" s="132" t="s">
        <v>144</v>
      </c>
      <c r="C39" s="134"/>
      <c r="D39" s="8"/>
      <c r="E39" s="8"/>
      <c r="F39" s="8"/>
    </row>
    <row r="40" spans="1:6" ht="15" customHeight="1" x14ac:dyDescent="0.25">
      <c r="A40" s="132" t="s">
        <v>192</v>
      </c>
      <c r="B40" s="132" t="s">
        <v>192</v>
      </c>
      <c r="C40" s="86"/>
      <c r="D40" s="8"/>
      <c r="E40" s="8"/>
      <c r="F40" s="8"/>
    </row>
    <row r="41" spans="1:6" ht="15" customHeight="1" x14ac:dyDescent="0.25">
      <c r="A41" s="132" t="s">
        <v>193</v>
      </c>
      <c r="B41" s="132" t="s">
        <v>194</v>
      </c>
      <c r="C41" s="86"/>
      <c r="D41" s="8"/>
      <c r="E41" s="8"/>
      <c r="F41" s="8"/>
    </row>
    <row r="42" spans="1:6" ht="15" customHeight="1" x14ac:dyDescent="0.25">
      <c r="A42" s="132" t="s">
        <v>195</v>
      </c>
      <c r="B42" s="132" t="s">
        <v>196</v>
      </c>
      <c r="C42" s="86"/>
      <c r="D42" s="8"/>
      <c r="E42" s="8"/>
      <c r="F42" s="8"/>
    </row>
    <row r="43" spans="1:6" ht="15" customHeight="1" x14ac:dyDescent="0.25">
      <c r="A43" s="132" t="s">
        <v>197</v>
      </c>
      <c r="B43" s="132" t="s">
        <v>198</v>
      </c>
      <c r="C43" s="86"/>
      <c r="D43" s="8"/>
      <c r="E43" s="8"/>
      <c r="F43" s="8"/>
    </row>
    <row r="44" spans="1:6" ht="15" customHeight="1" outlineLevel="1" x14ac:dyDescent="0.25">
      <c r="A44" s="132" t="s">
        <v>199</v>
      </c>
      <c r="B44" s="132" t="s">
        <v>200</v>
      </c>
      <c r="C44" s="86"/>
      <c r="D44" s="8"/>
      <c r="E44" s="8"/>
      <c r="F44" s="8"/>
    </row>
    <row r="45" spans="1:6" ht="15" customHeight="1" outlineLevel="1" x14ac:dyDescent="0.25">
      <c r="A45" s="132" t="s">
        <v>201</v>
      </c>
      <c r="B45" s="132" t="s">
        <v>202</v>
      </c>
      <c r="C45" s="86"/>
      <c r="D45" s="8"/>
      <c r="E45" s="8"/>
      <c r="F45" s="8"/>
    </row>
    <row r="46" spans="1:6" ht="15" customHeight="1" outlineLevel="1" x14ac:dyDescent="0.25">
      <c r="A46" s="132" t="s">
        <v>203</v>
      </c>
      <c r="B46" s="132" t="s">
        <v>204</v>
      </c>
      <c r="C46" s="86"/>
      <c r="D46" s="8"/>
      <c r="E46" s="8"/>
      <c r="F46" s="8"/>
    </row>
    <row r="47" spans="1:6" ht="15" customHeight="1" outlineLevel="1" x14ac:dyDescent="0.25">
      <c r="A47" s="132" t="s">
        <v>205</v>
      </c>
      <c r="B47" s="132" t="s">
        <v>206</v>
      </c>
      <c r="C47" s="86"/>
      <c r="D47" s="8"/>
      <c r="E47" s="8"/>
      <c r="F47" s="8"/>
    </row>
    <row r="48" spans="1:6" ht="15" customHeight="1" x14ac:dyDescent="0.25">
      <c r="A48" s="132" t="s">
        <v>207</v>
      </c>
      <c r="B48" s="132" t="s">
        <v>208</v>
      </c>
      <c r="C48" s="86"/>
      <c r="D48" s="8"/>
      <c r="E48" s="8"/>
      <c r="F48" s="8"/>
    </row>
    <row r="49" spans="1:6" ht="15" customHeight="1" x14ac:dyDescent="0.25">
      <c r="A49" s="132" t="s">
        <v>209</v>
      </c>
      <c r="B49" s="132" t="s">
        <v>210</v>
      </c>
      <c r="C49" s="86"/>
      <c r="D49" s="8"/>
      <c r="E49" s="8"/>
      <c r="F49" s="8"/>
    </row>
    <row r="50" spans="1:6" ht="15" customHeight="1" x14ac:dyDescent="0.25">
      <c r="A50" s="132" t="s">
        <v>211</v>
      </c>
      <c r="B50" s="132" t="s">
        <v>212</v>
      </c>
      <c r="C50" s="140"/>
      <c r="D50" s="8"/>
      <c r="E50" s="8"/>
      <c r="F50" s="8"/>
    </row>
    <row r="51" spans="1:6" ht="15" customHeight="1" x14ac:dyDescent="0.25">
      <c r="A51" s="132" t="s">
        <v>213</v>
      </c>
      <c r="B51" s="132" t="s">
        <v>214</v>
      </c>
      <c r="C51" s="86"/>
      <c r="D51" s="8"/>
      <c r="E51" s="8"/>
      <c r="F51" s="8"/>
    </row>
    <row r="52" spans="1:6" ht="15" customHeight="1" x14ac:dyDescent="0.25">
      <c r="A52" s="132" t="s">
        <v>215</v>
      </c>
      <c r="B52" s="132" t="s">
        <v>216</v>
      </c>
      <c r="C52" s="86"/>
      <c r="D52" s="8"/>
      <c r="E52" s="8"/>
      <c r="F52" s="8"/>
    </row>
    <row r="53" spans="1:6" ht="15" customHeight="1" outlineLevel="1" x14ac:dyDescent="0.25">
      <c r="A53" s="132" t="s">
        <v>217</v>
      </c>
      <c r="B53" s="132" t="s">
        <v>218</v>
      </c>
      <c r="C53" s="140"/>
      <c r="D53" s="8"/>
      <c r="E53" s="8"/>
      <c r="F53" s="8"/>
    </row>
    <row r="54" spans="1:6" ht="15" customHeight="1" outlineLevel="1" x14ac:dyDescent="0.25">
      <c r="A54" s="132" t="s">
        <v>219</v>
      </c>
      <c r="B54" s="132" t="s">
        <v>214</v>
      </c>
      <c r="C54" s="86"/>
      <c r="D54" s="8"/>
      <c r="E54" s="8"/>
      <c r="F54" s="8"/>
    </row>
    <row r="55" spans="1:6" ht="15" customHeight="1" outlineLevel="1" x14ac:dyDescent="0.25">
      <c r="A55" s="132" t="s">
        <v>220</v>
      </c>
      <c r="B55" s="132" t="s">
        <v>216</v>
      </c>
      <c r="C55" s="86"/>
      <c r="D55" s="8"/>
      <c r="E55" s="8"/>
      <c r="F55" s="8"/>
    </row>
    <row r="56" spans="1:6" ht="20" x14ac:dyDescent="0.25">
      <c r="A56" s="132" t="s">
        <v>221</v>
      </c>
      <c r="B56" s="132" t="s">
        <v>222</v>
      </c>
      <c r="C56" s="140"/>
      <c r="D56" s="8"/>
      <c r="E56" s="8"/>
      <c r="F56" s="8"/>
    </row>
    <row r="57" spans="1:6" ht="15" customHeight="1" x14ac:dyDescent="0.25">
      <c r="A57" s="132" t="s">
        <v>223</v>
      </c>
      <c r="B57" s="132" t="s">
        <v>224</v>
      </c>
      <c r="C57" s="86"/>
      <c r="D57" s="8"/>
      <c r="E57" s="8"/>
      <c r="F57" s="8"/>
    </row>
    <row r="58" spans="1:6" ht="15" customHeight="1" x14ac:dyDescent="0.25">
      <c r="A58" s="132" t="s">
        <v>225</v>
      </c>
      <c r="B58" s="132" t="s">
        <v>226</v>
      </c>
      <c r="C58" s="86"/>
      <c r="D58" s="8"/>
      <c r="E58" s="8"/>
      <c r="F58" s="8"/>
    </row>
    <row r="59" spans="1:6" ht="15" customHeight="1" x14ac:dyDescent="0.25">
      <c r="A59" s="132"/>
      <c r="B59" s="132"/>
      <c r="C59" s="139"/>
      <c r="D59" s="8"/>
      <c r="E59" s="8"/>
      <c r="F59" s="8"/>
    </row>
    <row r="60" spans="1:6" s="39" customFormat="1" ht="15" customHeight="1" x14ac:dyDescent="0.25">
      <c r="A60" s="132" t="s">
        <v>227</v>
      </c>
      <c r="B60" s="132" t="s">
        <v>228</v>
      </c>
      <c r="C60" s="142"/>
    </row>
    <row r="61" spans="1:6" ht="15" customHeight="1" x14ac:dyDescent="0.25">
      <c r="A61" s="132" t="s">
        <v>143</v>
      </c>
      <c r="B61" s="132" t="s">
        <v>144</v>
      </c>
      <c r="C61" s="134"/>
      <c r="D61" s="8"/>
      <c r="E61" s="8"/>
      <c r="F61" s="8"/>
    </row>
    <row r="62" spans="1:6" ht="15" customHeight="1" x14ac:dyDescent="0.25">
      <c r="A62" s="132" t="s">
        <v>229</v>
      </c>
      <c r="B62" s="132" t="s">
        <v>230</v>
      </c>
      <c r="C62" s="86"/>
      <c r="D62" s="8"/>
      <c r="E62" s="8"/>
      <c r="F62" s="8"/>
    </row>
    <row r="63" spans="1:6" ht="15" customHeight="1" x14ac:dyDescent="0.25">
      <c r="A63" s="132" t="s">
        <v>231</v>
      </c>
      <c r="B63" s="132" t="s">
        <v>232</v>
      </c>
      <c r="C63" s="92"/>
      <c r="D63" s="8"/>
      <c r="E63" s="8"/>
      <c r="F63" s="8"/>
    </row>
    <row r="64" spans="1:6" ht="15" customHeight="1" x14ac:dyDescent="0.25">
      <c r="A64" s="132" t="s">
        <v>233</v>
      </c>
      <c r="B64" s="132" t="s">
        <v>194</v>
      </c>
      <c r="C64" s="92"/>
      <c r="D64" s="8"/>
      <c r="E64" s="8"/>
      <c r="F64" s="8"/>
    </row>
    <row r="65" spans="1:6" s="82" customFormat="1" ht="11.15" customHeight="1" x14ac:dyDescent="0.25">
      <c r="A65" s="132" t="s">
        <v>234</v>
      </c>
      <c r="B65" s="132" t="s">
        <v>234</v>
      </c>
      <c r="C65" s="92"/>
      <c r="D65" s="206"/>
      <c r="E65" s="206"/>
      <c r="F65" s="206"/>
    </row>
    <row r="66" spans="1:6" s="82" customFormat="1" ht="11.15" customHeight="1" x14ac:dyDescent="0.25">
      <c r="A66" s="132"/>
      <c r="B66" s="132"/>
      <c r="C66" s="92"/>
      <c r="D66" s="206"/>
      <c r="E66" s="206"/>
      <c r="F66" s="206"/>
    </row>
    <row r="67" spans="1:6" s="39" customFormat="1" ht="11.15" customHeight="1" x14ac:dyDescent="0.25">
      <c r="A67" s="131" t="s">
        <v>235</v>
      </c>
      <c r="B67" s="131" t="s">
        <v>236</v>
      </c>
      <c r="C67" s="92"/>
    </row>
    <row r="68" spans="1:6" s="39" customFormat="1" ht="11.15" customHeight="1" x14ac:dyDescent="0.25">
      <c r="A68" s="131" t="s">
        <v>237</v>
      </c>
      <c r="B68" s="131" t="s">
        <v>238</v>
      </c>
      <c r="C68" s="92"/>
    </row>
    <row r="69" spans="1:6" s="39" customFormat="1" ht="11.15" customHeight="1" x14ac:dyDescent="0.25">
      <c r="A69" s="131" t="s">
        <v>239</v>
      </c>
      <c r="B69" s="131" t="s">
        <v>240</v>
      </c>
      <c r="C69" s="138"/>
    </row>
    <row r="70" spans="1:6" s="39" customFormat="1" ht="11.15" customHeight="1" x14ac:dyDescent="0.25">
      <c r="A70" s="131" t="s">
        <v>241</v>
      </c>
      <c r="B70" s="131" t="s">
        <v>242</v>
      </c>
      <c r="C70" s="138"/>
    </row>
    <row r="71" spans="1:6" x14ac:dyDescent="0.25">
      <c r="A71" s="135"/>
      <c r="B71" s="135"/>
      <c r="C71" s="138"/>
      <c r="D71" s="8"/>
      <c r="E71" s="8"/>
      <c r="F71" s="8"/>
    </row>
    <row r="72" spans="1:6" s="18" customFormat="1" x14ac:dyDescent="0.25">
      <c r="A72" s="135" t="s">
        <v>243</v>
      </c>
      <c r="B72" s="135" t="s">
        <v>244</v>
      </c>
      <c r="C72" s="138"/>
    </row>
    <row r="73" spans="1:6" x14ac:dyDescent="0.25">
      <c r="A73" s="143" t="s">
        <v>245</v>
      </c>
      <c r="B73" s="135" t="s">
        <v>246</v>
      </c>
      <c r="C73" s="135"/>
      <c r="D73" s="8"/>
      <c r="E73" s="8"/>
      <c r="F73" s="8"/>
    </row>
    <row r="74" spans="1:6" x14ac:dyDescent="0.25">
      <c r="A74" s="143" t="s">
        <v>247</v>
      </c>
      <c r="B74" s="135" t="s">
        <v>248</v>
      </c>
      <c r="C74" s="135"/>
      <c r="D74" s="8"/>
      <c r="E74" s="8"/>
      <c r="F74" s="8"/>
    </row>
    <row r="75" spans="1:6" x14ac:dyDescent="0.25">
      <c r="A75" s="143" t="s">
        <v>249</v>
      </c>
      <c r="B75" s="135" t="s">
        <v>250</v>
      </c>
      <c r="C75" s="135"/>
      <c r="D75" s="8"/>
      <c r="E75" s="8"/>
      <c r="F75" s="8"/>
    </row>
    <row r="76" spans="1:6" x14ac:dyDescent="0.25">
      <c r="A76" s="143" t="s">
        <v>251</v>
      </c>
      <c r="B76" s="135" t="s">
        <v>252</v>
      </c>
      <c r="C76" s="135"/>
      <c r="D76" s="8"/>
      <c r="E76" s="8"/>
      <c r="F76" s="8"/>
    </row>
    <row r="77" spans="1:6" x14ac:dyDescent="0.25">
      <c r="A77" s="143" t="s">
        <v>253</v>
      </c>
      <c r="B77" s="135" t="s">
        <v>254</v>
      </c>
      <c r="C77" s="135"/>
      <c r="D77" s="8"/>
      <c r="E77" s="8"/>
      <c r="F77" s="8"/>
    </row>
    <row r="78" spans="1:6" x14ac:dyDescent="0.25">
      <c r="A78" s="143" t="s">
        <v>255</v>
      </c>
      <c r="B78" s="135" t="s">
        <v>256</v>
      </c>
      <c r="C78" s="135"/>
      <c r="D78" s="8"/>
      <c r="E78" s="8"/>
      <c r="F78" s="8"/>
    </row>
    <row r="79" spans="1:6" x14ac:dyDescent="0.25">
      <c r="A79" s="143" t="s">
        <v>257</v>
      </c>
      <c r="B79" s="143" t="s">
        <v>258</v>
      </c>
      <c r="C79" s="135"/>
      <c r="D79" s="8"/>
      <c r="E79" s="8"/>
      <c r="F79" s="8"/>
    </row>
    <row r="80" spans="1:6" x14ac:dyDescent="0.25">
      <c r="A80" s="143" t="s">
        <v>259</v>
      </c>
      <c r="B80" s="135" t="s">
        <v>260</v>
      </c>
      <c r="C80" s="135"/>
      <c r="D80" s="8"/>
      <c r="E80" s="8"/>
      <c r="F80" s="8"/>
    </row>
    <row r="81" spans="1:6" x14ac:dyDescent="0.25">
      <c r="A81" s="143" t="s">
        <v>261</v>
      </c>
      <c r="B81" s="135" t="s">
        <v>262</v>
      </c>
      <c r="C81" s="135"/>
      <c r="D81" s="8"/>
      <c r="E81" s="8"/>
      <c r="F81" s="8"/>
    </row>
    <row r="82" spans="1:6" x14ac:dyDescent="0.25">
      <c r="A82" s="143" t="s">
        <v>263</v>
      </c>
      <c r="B82" s="135" t="s">
        <v>264</v>
      </c>
      <c r="C82" s="135"/>
      <c r="D82" s="8"/>
      <c r="E82" s="8"/>
      <c r="F82" s="8"/>
    </row>
    <row r="83" spans="1:6" x14ac:dyDescent="0.25">
      <c r="A83" s="143" t="s">
        <v>265</v>
      </c>
      <c r="B83" s="135" t="s">
        <v>266</v>
      </c>
      <c r="C83" s="135"/>
      <c r="D83" s="8"/>
      <c r="E83" s="8"/>
      <c r="F83" s="8"/>
    </row>
    <row r="84" spans="1:6" ht="12.75" customHeight="1" x14ac:dyDescent="0.25">
      <c r="A84" s="143" t="s">
        <v>267</v>
      </c>
      <c r="B84" s="135" t="s">
        <v>268</v>
      </c>
      <c r="C84" s="135"/>
      <c r="D84" s="8"/>
      <c r="E84" s="8"/>
      <c r="F84" s="8"/>
    </row>
    <row r="85" spans="1:6" x14ac:dyDescent="0.25">
      <c r="A85" s="143" t="s">
        <v>269</v>
      </c>
      <c r="B85" s="135" t="s">
        <v>270</v>
      </c>
      <c r="C85" s="135"/>
      <c r="D85" s="8"/>
      <c r="E85" s="8"/>
      <c r="F85" s="8"/>
    </row>
    <row r="86" spans="1:6" x14ac:dyDescent="0.25">
      <c r="A86" s="132" t="s">
        <v>271</v>
      </c>
      <c r="B86" s="132" t="s">
        <v>272</v>
      </c>
      <c r="C86" s="133"/>
      <c r="D86" s="8"/>
      <c r="E86" s="8"/>
      <c r="F86" s="8"/>
    </row>
    <row r="87" spans="1:6" x14ac:dyDescent="0.25">
      <c r="C87" s="133"/>
    </row>
    <row r="88" spans="1:6" x14ac:dyDescent="0.25">
      <c r="C88" s="133"/>
    </row>
    <row r="89" spans="1:6" x14ac:dyDescent="0.25">
      <c r="C89" s="133"/>
    </row>
    <row r="90" spans="1:6" x14ac:dyDescent="0.25">
      <c r="C90" s="133"/>
    </row>
    <row r="91" spans="1:6" x14ac:dyDescent="0.25">
      <c r="C91" s="133"/>
    </row>
  </sheetData>
  <dataConsolidate/>
  <phoneticPr fontId="46" type="noConversion"/>
  <pageMargins left="0.62992125984251968" right="0.23622047244094491" top="0.35433070866141736" bottom="0.15748031496062992" header="0.31496062992125984" footer="0.31496062992125984"/>
  <pageSetup paperSize="9" orientation="portrait" r:id="rId1"/>
  <headerFooter alignWithMargins="0">
    <oddFooter>&amp;L&amp;D&amp;CPage &amp;P de &amp;N</oddFooter>
  </headerFooter>
  <rowBreaks count="1" manualBreakCount="1">
    <brk id="36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topLeftCell="C11" zoomScale="115" zoomScaleNormal="115" workbookViewId="0">
      <selection activeCell="Y20" sqref="Y20"/>
    </sheetView>
  </sheetViews>
  <sheetFormatPr defaultColWidth="11.453125" defaultRowHeight="12.5" x14ac:dyDescent="0.25"/>
  <cols>
    <col min="1" max="1" width="30.7265625" style="15" bestFit="1" customWidth="1"/>
    <col min="2" max="2" width="10.1796875" style="14" customWidth="1"/>
    <col min="3" max="3" width="6.453125" style="14" customWidth="1"/>
    <col min="4" max="5" width="5.7265625" style="14" customWidth="1"/>
    <col min="6" max="6" width="2" style="14" customWidth="1"/>
    <col min="7" max="7" width="2.26953125" style="14" customWidth="1"/>
    <col min="8" max="8" width="5.7265625" style="14" customWidth="1"/>
    <col min="9" max="9" width="1.54296875" style="14" customWidth="1"/>
    <col min="10" max="10" width="5.7265625" style="14" customWidth="1"/>
    <col min="11" max="11" width="1.453125" style="14" customWidth="1"/>
    <col min="12" max="12" width="5.7265625" style="14" customWidth="1"/>
    <col min="13" max="13" width="1.453125" style="14" customWidth="1"/>
    <col min="14" max="14" width="1.7265625" style="14" customWidth="1"/>
    <col min="15" max="15" width="5.7265625" style="14" customWidth="1"/>
    <col min="16" max="18" width="9.7265625" style="14" customWidth="1"/>
    <col min="19" max="19" width="9.26953125" style="14" customWidth="1"/>
    <col min="20" max="16384" width="11.453125" style="14"/>
  </cols>
  <sheetData>
    <row r="1" spans="1:19" ht="13" x14ac:dyDescent="0.3">
      <c r="A1" s="201" t="s">
        <v>273</v>
      </c>
      <c r="S1" s="115"/>
    </row>
    <row r="3" spans="1:19" ht="28.5" customHeight="1" x14ac:dyDescent="0.25">
      <c r="A3" s="77" t="s">
        <v>274</v>
      </c>
      <c r="B3" s="15" t="s">
        <v>275</v>
      </c>
      <c r="C3" s="10" t="s">
        <v>276</v>
      </c>
      <c r="D3" s="10" t="s">
        <v>277</v>
      </c>
      <c r="E3" s="12" t="s">
        <v>82</v>
      </c>
      <c r="F3" s="12"/>
      <c r="G3" s="12"/>
      <c r="H3" s="13" t="s">
        <v>84</v>
      </c>
      <c r="I3" s="13"/>
      <c r="J3" s="13" t="s">
        <v>85</v>
      </c>
      <c r="K3" s="13"/>
      <c r="L3" s="13" t="s">
        <v>83</v>
      </c>
      <c r="M3" s="13"/>
      <c r="N3" s="13"/>
      <c r="O3" s="13" t="s">
        <v>278</v>
      </c>
      <c r="P3" s="77" t="s">
        <v>279</v>
      </c>
      <c r="Q3" s="77" t="s">
        <v>280</v>
      </c>
      <c r="R3" s="77" t="s">
        <v>281</v>
      </c>
      <c r="S3" s="77" t="s">
        <v>282</v>
      </c>
    </row>
    <row r="4" spans="1:19" x14ac:dyDescent="0.25">
      <c r="B4" s="12"/>
      <c r="C4" s="11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1"/>
      <c r="P4" s="12"/>
      <c r="Q4" s="12"/>
      <c r="R4" s="12"/>
      <c r="S4" s="11"/>
    </row>
    <row r="5" spans="1:19" x14ac:dyDescent="0.25">
      <c r="A5" s="15">
        <v>0</v>
      </c>
      <c r="B5" s="157" t="s">
        <v>283</v>
      </c>
      <c r="C5" s="12">
        <v>18</v>
      </c>
      <c r="D5" s="12">
        <v>24</v>
      </c>
      <c r="E5" s="12">
        <v>95</v>
      </c>
      <c r="F5" s="12"/>
      <c r="G5" s="12"/>
      <c r="H5" s="12">
        <v>35.5</v>
      </c>
      <c r="I5" s="12"/>
      <c r="J5" s="12">
        <v>30</v>
      </c>
      <c r="K5" s="12"/>
      <c r="L5" s="12">
        <v>85</v>
      </c>
      <c r="M5" s="12"/>
      <c r="N5" s="12"/>
      <c r="O5" s="12">
        <v>2.7</v>
      </c>
      <c r="P5" s="12">
        <v>18</v>
      </c>
      <c r="Q5" s="200">
        <f t="shared" ref="Q5:Q12" si="0">A6/2/P5</f>
        <v>0.69444444444444442</v>
      </c>
      <c r="R5" s="200">
        <f t="shared" ref="R5:R12" si="1">A6/P5</f>
        <v>1.3888888888888888</v>
      </c>
      <c r="S5" s="12">
        <v>25</v>
      </c>
    </row>
    <row r="6" spans="1:19" x14ac:dyDescent="0.25">
      <c r="A6" s="12">
        <v>25</v>
      </c>
      <c r="B6" s="157" t="s">
        <v>284</v>
      </c>
      <c r="C6" s="12">
        <v>22</v>
      </c>
      <c r="D6" s="12">
        <v>28</v>
      </c>
      <c r="E6" s="12">
        <v>105</v>
      </c>
      <c r="F6" s="12"/>
      <c r="G6" s="12"/>
      <c r="H6" s="12">
        <v>45</v>
      </c>
      <c r="I6" s="12"/>
      <c r="J6" s="12">
        <v>35</v>
      </c>
      <c r="K6" s="12"/>
      <c r="L6" s="12">
        <v>100</v>
      </c>
      <c r="M6" s="12"/>
      <c r="N6" s="12"/>
      <c r="O6" s="12">
        <v>3.4</v>
      </c>
      <c r="P6" s="12">
        <v>18</v>
      </c>
      <c r="Q6" s="200">
        <f t="shared" si="0"/>
        <v>1.3888888888888888</v>
      </c>
      <c r="R6" s="200">
        <f t="shared" si="1"/>
        <v>2.7777777777777777</v>
      </c>
      <c r="S6" s="12">
        <v>50</v>
      </c>
    </row>
    <row r="7" spans="1:19" x14ac:dyDescent="0.25">
      <c r="A7" s="12">
        <v>50</v>
      </c>
      <c r="B7" s="157" t="s">
        <v>285</v>
      </c>
      <c r="C7" s="12">
        <v>28</v>
      </c>
      <c r="D7" s="12">
        <v>38</v>
      </c>
      <c r="E7" s="12">
        <v>120</v>
      </c>
      <c r="F7" s="12"/>
      <c r="G7" s="12"/>
      <c r="H7" s="12">
        <v>56</v>
      </c>
      <c r="I7" s="12"/>
      <c r="J7" s="12">
        <v>45</v>
      </c>
      <c r="K7" s="12"/>
      <c r="L7" s="12">
        <v>125</v>
      </c>
      <c r="M7" s="12"/>
      <c r="N7" s="12"/>
      <c r="O7" s="12">
        <v>4.9000000000000004</v>
      </c>
      <c r="P7" s="12">
        <v>18</v>
      </c>
      <c r="Q7" s="200">
        <f t="shared" si="0"/>
        <v>2.7777777777777777</v>
      </c>
      <c r="R7" s="200">
        <f t="shared" si="1"/>
        <v>5.5555555555555554</v>
      </c>
      <c r="S7" s="12">
        <v>100</v>
      </c>
    </row>
    <row r="8" spans="1:19" x14ac:dyDescent="0.25">
      <c r="A8" s="12">
        <v>100</v>
      </c>
      <c r="B8" s="157" t="s">
        <v>286</v>
      </c>
      <c r="C8" s="12">
        <v>38</v>
      </c>
      <c r="D8" s="12">
        <v>48</v>
      </c>
      <c r="E8" s="12">
        <v>134</v>
      </c>
      <c r="F8" s="12"/>
      <c r="G8" s="12"/>
      <c r="H8" s="12">
        <v>71</v>
      </c>
      <c r="I8" s="12"/>
      <c r="J8" s="12">
        <v>56</v>
      </c>
      <c r="K8" s="12"/>
      <c r="L8" s="12">
        <v>155</v>
      </c>
      <c r="M8" s="12"/>
      <c r="N8" s="12"/>
      <c r="O8" s="12">
        <v>7.2</v>
      </c>
      <c r="P8" s="12">
        <v>30</v>
      </c>
      <c r="Q8" s="200">
        <f t="shared" si="0"/>
        <v>3.3333333333333335</v>
      </c>
      <c r="R8" s="200">
        <f t="shared" si="1"/>
        <v>6.666666666666667</v>
      </c>
      <c r="S8" s="12">
        <v>200</v>
      </c>
    </row>
    <row r="9" spans="1:19" x14ac:dyDescent="0.25">
      <c r="A9" s="12">
        <v>200</v>
      </c>
      <c r="B9" s="157" t="s">
        <v>287</v>
      </c>
      <c r="C9" s="12">
        <v>46</v>
      </c>
      <c r="D9" s="12">
        <v>55</v>
      </c>
      <c r="E9" s="12">
        <v>155</v>
      </c>
      <c r="F9" s="12"/>
      <c r="G9" s="12"/>
      <c r="H9" s="12">
        <v>90</v>
      </c>
      <c r="I9" s="12"/>
      <c r="J9" s="12">
        <v>65</v>
      </c>
      <c r="K9" s="12"/>
      <c r="L9" s="12">
        <v>185</v>
      </c>
      <c r="M9" s="12"/>
      <c r="N9" s="12"/>
      <c r="O9" s="12">
        <v>11</v>
      </c>
      <c r="P9" s="12">
        <v>30</v>
      </c>
      <c r="Q9" s="200">
        <f t="shared" si="0"/>
        <v>6.25</v>
      </c>
      <c r="R9" s="200">
        <f t="shared" si="1"/>
        <v>12.5</v>
      </c>
      <c r="S9" s="12">
        <v>375</v>
      </c>
    </row>
    <row r="10" spans="1:19" x14ac:dyDescent="0.25">
      <c r="A10" s="12">
        <v>375</v>
      </c>
      <c r="B10" s="157" t="s">
        <v>288</v>
      </c>
      <c r="C10" s="12">
        <v>70</v>
      </c>
      <c r="D10" s="12">
        <v>65</v>
      </c>
      <c r="E10" s="12">
        <v>178</v>
      </c>
      <c r="F10" s="12"/>
      <c r="G10" s="12"/>
      <c r="H10" s="12">
        <v>105</v>
      </c>
      <c r="I10" s="12"/>
      <c r="J10" s="12">
        <v>75</v>
      </c>
      <c r="K10" s="12"/>
      <c r="L10" s="12">
        <v>215</v>
      </c>
      <c r="M10" s="12"/>
      <c r="N10" s="12"/>
      <c r="O10" s="12">
        <v>18.899999999999999</v>
      </c>
      <c r="P10" s="12">
        <v>30</v>
      </c>
      <c r="Q10" s="200">
        <f t="shared" si="0"/>
        <v>12.5</v>
      </c>
      <c r="R10" s="200">
        <f t="shared" si="1"/>
        <v>25</v>
      </c>
      <c r="S10" s="12">
        <v>750</v>
      </c>
    </row>
    <row r="11" spans="1:19" x14ac:dyDescent="0.25">
      <c r="A11" s="12">
        <v>750</v>
      </c>
      <c r="B11" s="15" t="s">
        <v>289</v>
      </c>
      <c r="C11" s="12">
        <v>70</v>
      </c>
      <c r="D11" s="12">
        <v>80</v>
      </c>
      <c r="E11" s="12">
        <v>205</v>
      </c>
      <c r="F11" s="12"/>
      <c r="G11" s="12"/>
      <c r="H11" s="12">
        <v>130</v>
      </c>
      <c r="I11" s="12"/>
      <c r="J11" s="12">
        <v>85</v>
      </c>
      <c r="K11" s="12"/>
      <c r="L11" s="12">
        <v>255</v>
      </c>
      <c r="M11" s="12"/>
      <c r="N11" s="12"/>
      <c r="O11" s="12">
        <v>23.9</v>
      </c>
      <c r="P11" s="12">
        <v>30</v>
      </c>
      <c r="Q11" s="200">
        <f t="shared" si="0"/>
        <v>25</v>
      </c>
      <c r="R11" s="200">
        <f t="shared" si="1"/>
        <v>50</v>
      </c>
      <c r="S11" s="12">
        <v>1500</v>
      </c>
    </row>
    <row r="12" spans="1:19" x14ac:dyDescent="0.25">
      <c r="A12" s="12">
        <v>1500</v>
      </c>
      <c r="B12" s="15" t="s">
        <v>290</v>
      </c>
      <c r="C12" s="12">
        <v>90</v>
      </c>
      <c r="D12" s="12">
        <v>97</v>
      </c>
      <c r="E12" s="12">
        <v>234</v>
      </c>
      <c r="F12" s="12"/>
      <c r="G12" s="12"/>
      <c r="H12" s="12">
        <v>160</v>
      </c>
      <c r="I12" s="12"/>
      <c r="J12" s="12">
        <v>100</v>
      </c>
      <c r="K12" s="12"/>
      <c r="L12" s="12">
        <v>305</v>
      </c>
      <c r="M12" s="12"/>
      <c r="N12" s="12"/>
      <c r="O12" s="12">
        <v>34.799999999999997</v>
      </c>
      <c r="P12" s="12">
        <v>30</v>
      </c>
      <c r="Q12" s="200">
        <f t="shared" si="0"/>
        <v>25</v>
      </c>
      <c r="R12" s="200">
        <f t="shared" si="1"/>
        <v>50</v>
      </c>
      <c r="S12" s="12">
        <v>3000</v>
      </c>
    </row>
    <row r="13" spans="1:19" x14ac:dyDescent="0.25">
      <c r="A13" s="12">
        <f t="shared" ref="A13" si="2">S12/2</f>
        <v>1500</v>
      </c>
    </row>
    <row r="24" spans="2:19" x14ac:dyDescent="0.25">
      <c r="B24" s="15"/>
      <c r="C24" s="15"/>
      <c r="D24" s="15"/>
      <c r="S24" s="15"/>
    </row>
    <row r="25" spans="2:19" x14ac:dyDescent="0.25">
      <c r="B25" s="15"/>
      <c r="C25" s="15"/>
      <c r="D25" s="15"/>
      <c r="S25" s="15"/>
    </row>
    <row r="26" spans="2:19" x14ac:dyDescent="0.25">
      <c r="B26" s="15"/>
      <c r="C26" s="15"/>
      <c r="D26" s="15"/>
      <c r="S26" s="15"/>
    </row>
    <row r="27" spans="2:19" x14ac:dyDescent="0.25">
      <c r="B27" s="15"/>
      <c r="C27" s="15"/>
      <c r="D27" s="15"/>
      <c r="S27" s="15"/>
    </row>
    <row r="28" spans="2:19" x14ac:dyDescent="0.25">
      <c r="B28" s="15"/>
      <c r="C28" s="15"/>
      <c r="D28" s="15"/>
      <c r="S28" s="15"/>
    </row>
    <row r="29" spans="2:19" x14ac:dyDescent="0.25">
      <c r="B29" s="15"/>
      <c r="C29" s="15"/>
      <c r="D29" s="15"/>
      <c r="S29" s="15"/>
    </row>
    <row r="30" spans="2:19" x14ac:dyDescent="0.25">
      <c r="B30" s="15"/>
      <c r="C30" s="15"/>
      <c r="D30" s="15"/>
      <c r="S30" s="15"/>
    </row>
    <row r="31" spans="2:19" x14ac:dyDescent="0.25">
      <c r="B31" s="15"/>
      <c r="C31" s="15"/>
      <c r="D31" s="15"/>
      <c r="S31" s="15"/>
    </row>
    <row r="32" spans="2:19" x14ac:dyDescent="0.25">
      <c r="B32" s="15"/>
      <c r="C32" s="15"/>
      <c r="D32" s="15"/>
      <c r="S32" s="15"/>
    </row>
    <row r="33" spans="2:19" x14ac:dyDescent="0.25">
      <c r="B33" s="15"/>
      <c r="C33" s="15"/>
      <c r="D33" s="15"/>
      <c r="S33" s="15"/>
    </row>
    <row r="34" spans="2:19" x14ac:dyDescent="0.25">
      <c r="B34" s="15"/>
      <c r="C34" s="15"/>
      <c r="D34" s="15"/>
      <c r="S34" s="15"/>
    </row>
  </sheetData>
  <phoneticPr fontId="46" type="noConversion"/>
  <pageMargins left="0.25" right="0.25" top="0.75" bottom="0.75" header="0.3" footer="0.3"/>
  <pageSetup paperSize="9" scale="9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e4b6e2-608b-4345-9047-a0f6279f0b48" xsi:nil="true"/>
    <lcf76f155ced4ddcb4097134ff3c332f xmlns="e157da5e-c0b1-4fc9-b453-6d70c4e6613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34FB219914C849983FF2B09BD0E298" ma:contentTypeVersion="18" ma:contentTypeDescription="Create a new document." ma:contentTypeScope="" ma:versionID="71c5274bb60e3b9e5c29da67f7661976">
  <xsd:schema xmlns:xsd="http://www.w3.org/2001/XMLSchema" xmlns:xs="http://www.w3.org/2001/XMLSchema" xmlns:p="http://schemas.microsoft.com/office/2006/metadata/properties" xmlns:ns2="e157da5e-c0b1-4fc9-b453-6d70c4e6613a" xmlns:ns3="cce4b6e2-608b-4345-9047-a0f6279f0b48" targetNamespace="http://schemas.microsoft.com/office/2006/metadata/properties" ma:root="true" ma:fieldsID="cd9dad2fcd0975c034d963bf192adf99" ns2:_="" ns3:_="">
    <xsd:import namespace="e157da5e-c0b1-4fc9-b453-6d70c4e6613a"/>
    <xsd:import namespace="cce4b6e2-608b-4345-9047-a0f6279f0b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7da5e-c0b1-4fc9-b453-6d70c4e66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86545a2-848a-477b-b6cb-3fe5c67831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4b6e2-608b-4345-9047-a0f6279f0b4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579195a-5c39-4c48-bb88-dc5931c74bba}" ma:internalName="TaxCatchAll" ma:showField="CatchAllData" ma:web="cce4b6e2-608b-4345-9047-a0f6279f0b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36DF1E-D5F2-482C-B4AC-E87EF3127CAE}">
  <ds:schemaRefs>
    <ds:schemaRef ds:uri="b066e7c6-c997-418f-9232-88e6efb2be7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6e83938-dfec-4b20-bb71-7fa2bb69a51b"/>
    <ds:schemaRef ds:uri="http://www.w3.org/XML/1998/namespace"/>
    <ds:schemaRef ds:uri="http://purl.org/dc/dcmitype/"/>
    <ds:schemaRef ds:uri="cce4b6e2-608b-4345-9047-a0f6279f0b48"/>
  </ds:schemaRefs>
</ds:datastoreItem>
</file>

<file path=customXml/itemProps2.xml><?xml version="1.0" encoding="utf-8"?>
<ds:datastoreItem xmlns:ds="http://schemas.openxmlformats.org/officeDocument/2006/customXml" ds:itemID="{C40BF810-6089-4CDB-8700-9C0D92BF2C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1E38A8-52F4-43A3-AE5E-FBC64D8B71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MS Definition</vt:lpstr>
      <vt:lpstr>MS</vt:lpstr>
      <vt:lpstr>Langue</vt:lpstr>
      <vt:lpstr>TL_RS_RNG_SIG</vt:lpstr>
      <vt:lpstr>Cgv</vt:lpstr>
      <vt:lpstr>Cms</vt:lpstr>
      <vt:lpstr>Cms_csr</vt:lpstr>
      <vt:lpstr>Cpistmax</vt:lpstr>
      <vt:lpstr>Cpv</vt:lpstr>
      <vt:lpstr>Crms</vt:lpstr>
      <vt:lpstr>Csr</vt:lpstr>
      <vt:lpstr>Dach</vt:lpstr>
      <vt:lpstr>date</vt:lpstr>
      <vt:lpstr>De</vt:lpstr>
      <vt:lpstr>Dpist</vt:lpstr>
      <vt:lpstr>Droue</vt:lpstr>
      <vt:lpstr>Dvis</vt:lpstr>
      <vt:lpstr>Fb</vt:lpstr>
      <vt:lpstr>Fpist</vt:lpstr>
      <vt:lpstr>Ftot</vt:lpstr>
      <vt:lpstr>g</vt:lpstr>
      <vt:lpstr>im</vt:lpstr>
      <vt:lpstr>ir</vt:lpstr>
      <vt:lpstr>is</vt:lpstr>
      <vt:lpstr>itm</vt:lpstr>
      <vt:lpstr>Klim</vt:lpstr>
      <vt:lpstr>Kms</vt:lpstr>
      <vt:lpstr>Mc</vt:lpstr>
      <vt:lpstr>Mct</vt:lpstr>
      <vt:lpstr>Mt</vt:lpstr>
      <vt:lpstr>Langue!Print_Area</vt:lpstr>
      <vt:lpstr>'MS Definition'!Print_Area</vt:lpstr>
      <vt:lpstr>'MS Definition'!Print_Titles</vt:lpstr>
      <vt:lpstr>projet</vt:lpstr>
      <vt:lpstr>ref</vt:lpstr>
      <vt:lpstr>Vc</vt:lpstr>
      <vt:lpstr>Wgv</vt:lpstr>
      <vt:lpstr>Wpv</vt:lpstr>
      <vt:lpstr>Wrms</vt:lpstr>
      <vt:lpstr>Wv</vt:lpstr>
    </vt:vector>
  </TitlesOfParts>
  <Manager/>
  <Company>Siguren Ingénierie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PACHOV</dc:creator>
  <cp:keywords/>
  <dc:description/>
  <cp:lastModifiedBy>Yavor Pachov</cp:lastModifiedBy>
  <cp:revision/>
  <cp:lastPrinted>2021-03-04T08:12:16Z</cp:lastPrinted>
  <dcterms:created xsi:type="dcterms:W3CDTF">2004-06-05T10:56:02Z</dcterms:created>
  <dcterms:modified xsi:type="dcterms:W3CDTF">2023-03-29T13:37:46Z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0x010100AD34FB219914C849983FF2B09BD0E298</vt:lpwstr>
  </property>
</Properties>
</file>