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phankien/google_api/"/>
    </mc:Choice>
  </mc:AlternateContent>
  <xr:revisionPtr revIDLastSave="0" documentId="13_ncr:1_{52484AA1-6E1A-8B4C-8469-4F6968B91AA9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Top 400" sheetId="1" r:id="rId1"/>
    <sheet name="Trang tính2" sheetId="2" r:id="rId2"/>
    <sheet name="FDDs" sheetId="3" r:id="rId3"/>
    <sheet name="Trang tính3" sheetId="4" r:id="rId4"/>
    <sheet name="Trang tính4" sheetId="5" r:id="rId5"/>
    <sheet name="Nháp" sheetId="6" r:id="rId6"/>
  </sheets>
  <definedNames>
    <definedName name="_xlnm._FilterDatabase" localSheetId="0" hidden="1">'Top 400'!$F$1:$F$1001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6" l="1"/>
  <c r="AE1" i="6"/>
  <c r="AD1" i="6"/>
  <c r="AB1" i="6"/>
  <c r="AA1" i="6"/>
  <c r="Y1" i="6"/>
  <c r="W1" i="6"/>
  <c r="U1" i="6"/>
  <c r="S1" i="6"/>
  <c r="Q1" i="6"/>
  <c r="P1" i="6"/>
  <c r="N1" i="6"/>
  <c r="L1" i="6"/>
  <c r="J1" i="6"/>
  <c r="I1" i="6"/>
  <c r="H1" i="6"/>
  <c r="F1" i="6"/>
  <c r="E1" i="6"/>
  <c r="D1" i="6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AG401" i="1"/>
  <c r="AF401" i="1"/>
  <c r="AE401" i="1"/>
  <c r="AD401" i="1"/>
  <c r="AB401" i="1"/>
  <c r="AA401" i="1"/>
  <c r="Y401" i="1"/>
  <c r="W401" i="1"/>
  <c r="U401" i="1"/>
  <c r="S401" i="1"/>
  <c r="Q401" i="1"/>
  <c r="P401" i="1"/>
  <c r="N401" i="1"/>
  <c r="L401" i="1"/>
  <c r="J401" i="1"/>
  <c r="I401" i="1"/>
  <c r="H401" i="1"/>
  <c r="G401" i="1"/>
  <c r="F401" i="1"/>
  <c r="E401" i="1"/>
  <c r="D401" i="1"/>
  <c r="AG400" i="1"/>
  <c r="AE400" i="1"/>
  <c r="AD400" i="1"/>
  <c r="AB400" i="1"/>
  <c r="AA400" i="1"/>
  <c r="Y400" i="1"/>
  <c r="W400" i="1"/>
  <c r="U400" i="1"/>
  <c r="S400" i="1"/>
  <c r="Q400" i="1"/>
  <c r="P400" i="1"/>
  <c r="N400" i="1"/>
  <c r="L400" i="1"/>
  <c r="J400" i="1"/>
  <c r="I400" i="1"/>
  <c r="H400" i="1"/>
  <c r="G400" i="1"/>
  <c r="F400" i="1"/>
  <c r="E400" i="1"/>
  <c r="D400" i="1"/>
  <c r="AG399" i="1"/>
  <c r="AE399" i="1"/>
  <c r="AD399" i="1"/>
  <c r="AB399" i="1"/>
  <c r="AA399" i="1"/>
  <c r="Y399" i="1"/>
  <c r="W399" i="1"/>
  <c r="U399" i="1"/>
  <c r="T399" i="1"/>
  <c r="S399" i="1"/>
  <c r="Q399" i="1"/>
  <c r="P399" i="1"/>
  <c r="N399" i="1"/>
  <c r="L399" i="1"/>
  <c r="J399" i="1"/>
  <c r="I399" i="1"/>
  <c r="H399" i="1"/>
  <c r="G399" i="1"/>
  <c r="F399" i="1"/>
  <c r="E399" i="1"/>
  <c r="D399" i="1"/>
  <c r="AG398" i="1"/>
  <c r="AF398" i="1"/>
  <c r="AE398" i="1"/>
  <c r="AD398" i="1"/>
  <c r="AB398" i="1"/>
  <c r="AA398" i="1"/>
  <c r="Y398" i="1"/>
  <c r="W398" i="1"/>
  <c r="U398" i="1"/>
  <c r="S398" i="1"/>
  <c r="Q398" i="1"/>
  <c r="P398" i="1"/>
  <c r="N398" i="1"/>
  <c r="L398" i="1"/>
  <c r="J398" i="1"/>
  <c r="I398" i="1"/>
  <c r="H398" i="1"/>
  <c r="G398" i="1"/>
  <c r="F398" i="1"/>
  <c r="E398" i="1"/>
  <c r="D398" i="1"/>
  <c r="AG397" i="1"/>
  <c r="AE397" i="1"/>
  <c r="AD397" i="1"/>
  <c r="AB397" i="1"/>
  <c r="AA397" i="1"/>
  <c r="Y397" i="1"/>
  <c r="W397" i="1"/>
  <c r="U397" i="1"/>
  <c r="S397" i="1"/>
  <c r="Q397" i="1"/>
  <c r="P397" i="1"/>
  <c r="N397" i="1"/>
  <c r="L397" i="1"/>
  <c r="J397" i="1"/>
  <c r="I397" i="1"/>
  <c r="H397" i="1"/>
  <c r="G397" i="1"/>
  <c r="F397" i="1"/>
  <c r="E397" i="1"/>
  <c r="D397" i="1"/>
  <c r="AG396" i="1"/>
  <c r="AE396" i="1"/>
  <c r="AD396" i="1"/>
  <c r="AB396" i="1"/>
  <c r="AA396" i="1"/>
  <c r="Y396" i="1"/>
  <c r="W396" i="1"/>
  <c r="V396" i="1"/>
  <c r="U396" i="1"/>
  <c r="S396" i="1"/>
  <c r="Q396" i="1"/>
  <c r="P396" i="1"/>
  <c r="N396" i="1"/>
  <c r="L396" i="1"/>
  <c r="J396" i="1"/>
  <c r="I396" i="1"/>
  <c r="H396" i="1"/>
  <c r="G396" i="1"/>
  <c r="F396" i="1"/>
  <c r="E396" i="1"/>
  <c r="D396" i="1"/>
  <c r="AG395" i="1"/>
  <c r="AE395" i="1"/>
  <c r="AD395" i="1"/>
  <c r="AB395" i="1"/>
  <c r="AA395" i="1"/>
  <c r="Y395" i="1"/>
  <c r="W395" i="1"/>
  <c r="U395" i="1"/>
  <c r="S395" i="1"/>
  <c r="Q395" i="1"/>
  <c r="P395" i="1"/>
  <c r="N395" i="1"/>
  <c r="L395" i="1"/>
  <c r="J395" i="1"/>
  <c r="I395" i="1"/>
  <c r="H395" i="1"/>
  <c r="G395" i="1"/>
  <c r="F395" i="1"/>
  <c r="E395" i="1"/>
  <c r="D395" i="1"/>
  <c r="AG394" i="1"/>
  <c r="AE394" i="1"/>
  <c r="AD394" i="1"/>
  <c r="AB394" i="1"/>
  <c r="AA394" i="1"/>
  <c r="Y394" i="1"/>
  <c r="W394" i="1"/>
  <c r="U394" i="1"/>
  <c r="S394" i="1"/>
  <c r="Q394" i="1"/>
  <c r="P394" i="1"/>
  <c r="N394" i="1"/>
  <c r="L394" i="1"/>
  <c r="J394" i="1"/>
  <c r="I394" i="1"/>
  <c r="H394" i="1"/>
  <c r="G394" i="1"/>
  <c r="F394" i="1"/>
  <c r="E394" i="1"/>
  <c r="D394" i="1"/>
  <c r="AG393" i="1"/>
  <c r="AE393" i="1"/>
  <c r="AD393" i="1"/>
  <c r="AB393" i="1"/>
  <c r="AA393" i="1"/>
  <c r="Y393" i="1"/>
  <c r="W393" i="1"/>
  <c r="U393" i="1"/>
  <c r="S393" i="1"/>
  <c r="Q393" i="1"/>
  <c r="P393" i="1"/>
  <c r="N393" i="1"/>
  <c r="L393" i="1"/>
  <c r="J393" i="1"/>
  <c r="I393" i="1"/>
  <c r="H393" i="1"/>
  <c r="F393" i="1"/>
  <c r="E393" i="1"/>
  <c r="D393" i="1"/>
  <c r="AG392" i="1"/>
  <c r="AE392" i="1"/>
  <c r="AD392" i="1"/>
  <c r="AB392" i="1"/>
  <c r="AA392" i="1"/>
  <c r="Y392" i="1"/>
  <c r="W392" i="1"/>
  <c r="U392" i="1"/>
  <c r="S392" i="1"/>
  <c r="Q392" i="1"/>
  <c r="P392" i="1"/>
  <c r="N392" i="1"/>
  <c r="L392" i="1"/>
  <c r="J392" i="1"/>
  <c r="I392" i="1"/>
  <c r="H392" i="1"/>
  <c r="G392" i="1"/>
  <c r="F392" i="1"/>
  <c r="E392" i="1"/>
  <c r="D392" i="1"/>
  <c r="AG391" i="1"/>
  <c r="AE391" i="1"/>
  <c r="AD391" i="1"/>
  <c r="AB391" i="1"/>
  <c r="AA391" i="1"/>
  <c r="Y391" i="1"/>
  <c r="W391" i="1"/>
  <c r="U391" i="1"/>
  <c r="S391" i="1"/>
  <c r="Q391" i="1"/>
  <c r="P391" i="1"/>
  <c r="N391" i="1"/>
  <c r="L391" i="1"/>
  <c r="J391" i="1"/>
  <c r="I391" i="1"/>
  <c r="H391" i="1"/>
  <c r="G391" i="1"/>
  <c r="F391" i="1"/>
  <c r="E391" i="1"/>
  <c r="D391" i="1"/>
  <c r="AG390" i="1"/>
  <c r="AE390" i="1"/>
  <c r="AC390" i="1"/>
  <c r="AD390" i="1" s="1"/>
  <c r="AB390" i="1"/>
  <c r="AA390" i="1"/>
  <c r="Y390" i="1"/>
  <c r="W390" i="1"/>
  <c r="U390" i="1"/>
  <c r="S390" i="1"/>
  <c r="Q390" i="1"/>
  <c r="P390" i="1"/>
  <c r="N390" i="1"/>
  <c r="L390" i="1"/>
  <c r="K390" i="1"/>
  <c r="J390" i="1"/>
  <c r="I390" i="1"/>
  <c r="H390" i="1"/>
  <c r="G390" i="1"/>
  <c r="F390" i="1"/>
  <c r="E390" i="1"/>
  <c r="D390" i="1"/>
  <c r="AG389" i="1"/>
  <c r="AE389" i="1"/>
  <c r="AD389" i="1"/>
  <c r="AB389" i="1"/>
  <c r="AA389" i="1"/>
  <c r="Y389" i="1"/>
  <c r="W389" i="1"/>
  <c r="U389" i="1"/>
  <c r="S389" i="1"/>
  <c r="Q389" i="1"/>
  <c r="P389" i="1"/>
  <c r="N389" i="1"/>
  <c r="L389" i="1"/>
  <c r="J389" i="1"/>
  <c r="I389" i="1"/>
  <c r="H389" i="1"/>
  <c r="G389" i="1"/>
  <c r="F389" i="1"/>
  <c r="E389" i="1"/>
  <c r="D389" i="1"/>
  <c r="AG388" i="1"/>
  <c r="AE388" i="1"/>
  <c r="AD388" i="1"/>
  <c r="AB388" i="1"/>
  <c r="AA388" i="1"/>
  <c r="Y388" i="1"/>
  <c r="W388" i="1"/>
  <c r="U388" i="1"/>
  <c r="S388" i="1"/>
  <c r="Q388" i="1"/>
  <c r="P388" i="1"/>
  <c r="N388" i="1"/>
  <c r="L388" i="1"/>
  <c r="J388" i="1"/>
  <c r="I388" i="1"/>
  <c r="H388" i="1"/>
  <c r="G388" i="1"/>
  <c r="F388" i="1"/>
  <c r="E388" i="1"/>
  <c r="D388" i="1"/>
  <c r="AG387" i="1"/>
  <c r="AE387" i="1"/>
  <c r="AD387" i="1"/>
  <c r="AB387" i="1"/>
  <c r="AA387" i="1"/>
  <c r="Y387" i="1"/>
  <c r="W387" i="1"/>
  <c r="U387" i="1"/>
  <c r="S387" i="1"/>
  <c r="Q387" i="1"/>
  <c r="P387" i="1"/>
  <c r="N387" i="1"/>
  <c r="L387" i="1"/>
  <c r="J387" i="1"/>
  <c r="I387" i="1"/>
  <c r="H387" i="1"/>
  <c r="F387" i="1"/>
  <c r="E387" i="1"/>
  <c r="D387" i="1"/>
  <c r="AG386" i="1"/>
  <c r="AE386" i="1"/>
  <c r="AD386" i="1"/>
  <c r="AB386" i="1"/>
  <c r="AA386" i="1"/>
  <c r="Y386" i="1"/>
  <c r="W386" i="1"/>
  <c r="U386" i="1"/>
  <c r="S386" i="1"/>
  <c r="Q386" i="1"/>
  <c r="P386" i="1"/>
  <c r="N386" i="1"/>
  <c r="L386" i="1"/>
  <c r="J386" i="1"/>
  <c r="I386" i="1"/>
  <c r="H386" i="1"/>
  <c r="G386" i="1"/>
  <c r="F386" i="1"/>
  <c r="E386" i="1"/>
  <c r="D386" i="1"/>
  <c r="AG385" i="1"/>
  <c r="AE385" i="1"/>
  <c r="AD385" i="1"/>
  <c r="AB385" i="1"/>
  <c r="AA385" i="1"/>
  <c r="Y385" i="1"/>
  <c r="W385" i="1"/>
  <c r="U385" i="1"/>
  <c r="S385" i="1"/>
  <c r="Q385" i="1"/>
  <c r="P385" i="1"/>
  <c r="N385" i="1"/>
  <c r="L385" i="1"/>
  <c r="J385" i="1"/>
  <c r="I385" i="1"/>
  <c r="H385" i="1"/>
  <c r="F385" i="1"/>
  <c r="E385" i="1"/>
  <c r="D385" i="1"/>
  <c r="AG384" i="1"/>
  <c r="AE384" i="1"/>
  <c r="AD384" i="1"/>
  <c r="AB384" i="1"/>
  <c r="AA384" i="1"/>
  <c r="Y384" i="1"/>
  <c r="W384" i="1"/>
  <c r="U384" i="1"/>
  <c r="S384" i="1"/>
  <c r="Q384" i="1"/>
  <c r="P384" i="1"/>
  <c r="N384" i="1"/>
  <c r="L384" i="1"/>
  <c r="J384" i="1"/>
  <c r="I384" i="1"/>
  <c r="H384" i="1"/>
  <c r="G384" i="1"/>
  <c r="F384" i="1"/>
  <c r="E384" i="1"/>
  <c r="D384" i="1"/>
  <c r="AG383" i="1"/>
  <c r="AE383" i="1"/>
  <c r="AD383" i="1"/>
  <c r="AB383" i="1"/>
  <c r="Z383" i="1"/>
  <c r="AA383" i="1" s="1"/>
  <c r="Y383" i="1"/>
  <c r="W383" i="1"/>
  <c r="U383" i="1"/>
  <c r="S383" i="1"/>
  <c r="Q383" i="1"/>
  <c r="P383" i="1"/>
  <c r="N383" i="1"/>
  <c r="L383" i="1"/>
  <c r="J383" i="1"/>
  <c r="I383" i="1"/>
  <c r="H383" i="1"/>
  <c r="G383" i="1"/>
  <c r="F383" i="1"/>
  <c r="E383" i="1"/>
  <c r="D383" i="1"/>
  <c r="AG382" i="1"/>
  <c r="AE382" i="1"/>
  <c r="AD382" i="1"/>
  <c r="AB382" i="1"/>
  <c r="Z382" i="1"/>
  <c r="AA382" i="1" s="1"/>
  <c r="Y382" i="1"/>
  <c r="W382" i="1"/>
  <c r="U382" i="1"/>
  <c r="S382" i="1"/>
  <c r="Q382" i="1"/>
  <c r="P382" i="1"/>
  <c r="N382" i="1"/>
  <c r="L382" i="1"/>
  <c r="J382" i="1"/>
  <c r="I382" i="1"/>
  <c r="H382" i="1"/>
  <c r="G382" i="1"/>
  <c r="F382" i="1"/>
  <c r="E382" i="1"/>
  <c r="D382" i="1"/>
  <c r="AG381" i="1"/>
  <c r="AE381" i="1"/>
  <c r="AD381" i="1"/>
  <c r="AB381" i="1"/>
  <c r="AA381" i="1"/>
  <c r="Y381" i="1"/>
  <c r="W381" i="1"/>
  <c r="U381" i="1"/>
  <c r="S381" i="1"/>
  <c r="Q381" i="1"/>
  <c r="P381" i="1"/>
  <c r="N381" i="1"/>
  <c r="L381" i="1"/>
  <c r="J381" i="1"/>
  <c r="I381" i="1"/>
  <c r="H381" i="1"/>
  <c r="F381" i="1"/>
  <c r="E381" i="1"/>
  <c r="D381" i="1"/>
  <c r="AG380" i="1"/>
  <c r="AE380" i="1"/>
  <c r="AD380" i="1"/>
  <c r="AB380" i="1"/>
  <c r="AA380" i="1"/>
  <c r="Y380" i="1"/>
  <c r="W380" i="1"/>
  <c r="U380" i="1"/>
  <c r="S380" i="1"/>
  <c r="Q380" i="1"/>
  <c r="P380" i="1"/>
  <c r="N380" i="1"/>
  <c r="L380" i="1"/>
  <c r="J380" i="1"/>
  <c r="I380" i="1"/>
  <c r="H380" i="1"/>
  <c r="G380" i="1"/>
  <c r="F380" i="1"/>
  <c r="E380" i="1"/>
  <c r="D380" i="1"/>
  <c r="AG379" i="1"/>
  <c r="AE379" i="1"/>
  <c r="AD379" i="1"/>
  <c r="AB379" i="1"/>
  <c r="AA379" i="1"/>
  <c r="Y379" i="1"/>
  <c r="W379" i="1"/>
  <c r="U379" i="1"/>
  <c r="S379" i="1"/>
  <c r="Q379" i="1"/>
  <c r="P379" i="1"/>
  <c r="N379" i="1"/>
  <c r="L379" i="1"/>
  <c r="J379" i="1"/>
  <c r="I379" i="1"/>
  <c r="H379" i="1"/>
  <c r="G379" i="1"/>
  <c r="F379" i="1"/>
  <c r="E379" i="1"/>
  <c r="D379" i="1"/>
  <c r="AG378" i="1"/>
  <c r="AE378" i="1"/>
  <c r="AD378" i="1"/>
  <c r="AB378" i="1"/>
  <c r="AA378" i="1"/>
  <c r="Y378" i="1"/>
  <c r="W378" i="1"/>
  <c r="U378" i="1"/>
  <c r="S378" i="1"/>
  <c r="Q378" i="1"/>
  <c r="P378" i="1"/>
  <c r="N378" i="1"/>
  <c r="L378" i="1"/>
  <c r="J378" i="1"/>
  <c r="I378" i="1"/>
  <c r="H378" i="1"/>
  <c r="G378" i="1"/>
  <c r="F378" i="1"/>
  <c r="E378" i="1"/>
  <c r="D378" i="1"/>
  <c r="AG377" i="1"/>
  <c r="AE377" i="1"/>
  <c r="AD377" i="1"/>
  <c r="AB377" i="1"/>
  <c r="AA377" i="1"/>
  <c r="Y377" i="1"/>
  <c r="W377" i="1"/>
  <c r="U377" i="1"/>
  <c r="S377" i="1"/>
  <c r="Q377" i="1"/>
  <c r="P377" i="1"/>
  <c r="N377" i="1"/>
  <c r="L377" i="1"/>
  <c r="J377" i="1"/>
  <c r="I377" i="1"/>
  <c r="H377" i="1"/>
  <c r="G377" i="1"/>
  <c r="F377" i="1"/>
  <c r="E377" i="1"/>
  <c r="D377" i="1"/>
  <c r="AG376" i="1"/>
  <c r="AE376" i="1"/>
  <c r="AD376" i="1"/>
  <c r="AB376" i="1"/>
  <c r="AA376" i="1"/>
  <c r="Y376" i="1"/>
  <c r="W376" i="1"/>
  <c r="U376" i="1"/>
  <c r="S376" i="1"/>
  <c r="Q376" i="1"/>
  <c r="P376" i="1"/>
  <c r="N376" i="1"/>
  <c r="L376" i="1"/>
  <c r="J376" i="1"/>
  <c r="I376" i="1"/>
  <c r="H376" i="1"/>
  <c r="G376" i="1"/>
  <c r="F376" i="1"/>
  <c r="E376" i="1"/>
  <c r="D376" i="1"/>
  <c r="AG375" i="1"/>
  <c r="AE375" i="1"/>
  <c r="AD375" i="1"/>
  <c r="AB375" i="1"/>
  <c r="AA375" i="1"/>
  <c r="Y375" i="1"/>
  <c r="W375" i="1"/>
  <c r="U375" i="1"/>
  <c r="S375" i="1"/>
  <c r="Q375" i="1"/>
  <c r="P375" i="1"/>
  <c r="N375" i="1"/>
  <c r="L375" i="1"/>
  <c r="J375" i="1"/>
  <c r="I375" i="1"/>
  <c r="H375" i="1"/>
  <c r="G375" i="1"/>
  <c r="F375" i="1"/>
  <c r="E375" i="1"/>
  <c r="D375" i="1"/>
  <c r="AG374" i="1"/>
  <c r="AE374" i="1"/>
  <c r="AD374" i="1"/>
  <c r="AB374" i="1"/>
  <c r="AA374" i="1"/>
  <c r="Y374" i="1"/>
  <c r="W374" i="1"/>
  <c r="U374" i="1"/>
  <c r="S374" i="1"/>
  <c r="Q374" i="1"/>
  <c r="P374" i="1"/>
  <c r="N374" i="1"/>
  <c r="L374" i="1"/>
  <c r="J374" i="1"/>
  <c r="I374" i="1"/>
  <c r="H374" i="1"/>
  <c r="F374" i="1"/>
  <c r="E374" i="1"/>
  <c r="D374" i="1"/>
  <c r="AG373" i="1"/>
  <c r="AE373" i="1"/>
  <c r="AD373" i="1"/>
  <c r="AB373" i="1"/>
  <c r="AA373" i="1"/>
  <c r="Y373" i="1"/>
  <c r="W373" i="1"/>
  <c r="U373" i="1"/>
  <c r="S373" i="1"/>
  <c r="Q373" i="1"/>
  <c r="P373" i="1"/>
  <c r="N373" i="1"/>
  <c r="L373" i="1"/>
  <c r="J373" i="1"/>
  <c r="I373" i="1"/>
  <c r="H373" i="1"/>
  <c r="F373" i="1"/>
  <c r="E373" i="1"/>
  <c r="D373" i="1"/>
  <c r="AG372" i="1"/>
  <c r="AE372" i="1"/>
  <c r="AD372" i="1"/>
  <c r="AB372" i="1"/>
  <c r="AA372" i="1"/>
  <c r="Y372" i="1"/>
  <c r="W372" i="1"/>
  <c r="U372" i="1"/>
  <c r="S372" i="1"/>
  <c r="Q372" i="1"/>
  <c r="P372" i="1"/>
  <c r="N372" i="1"/>
  <c r="L372" i="1"/>
  <c r="J372" i="1"/>
  <c r="I372" i="1"/>
  <c r="H372" i="1"/>
  <c r="G372" i="1"/>
  <c r="F372" i="1"/>
  <c r="E372" i="1"/>
  <c r="D372" i="1"/>
  <c r="AG371" i="1"/>
  <c r="AE371" i="1"/>
  <c r="AD371" i="1"/>
  <c r="AB371" i="1"/>
  <c r="AA371" i="1"/>
  <c r="Y371" i="1"/>
  <c r="W371" i="1"/>
  <c r="V371" i="1"/>
  <c r="U371" i="1"/>
  <c r="S371" i="1"/>
  <c r="Q371" i="1"/>
  <c r="P371" i="1"/>
  <c r="N371" i="1"/>
  <c r="L371" i="1"/>
  <c r="J371" i="1"/>
  <c r="I371" i="1"/>
  <c r="H371" i="1"/>
  <c r="G371" i="1"/>
  <c r="F371" i="1"/>
  <c r="E371" i="1"/>
  <c r="D371" i="1"/>
  <c r="AG370" i="1"/>
  <c r="AE370" i="1"/>
  <c r="AD370" i="1"/>
  <c r="AB370" i="1"/>
  <c r="AA370" i="1"/>
  <c r="Y370" i="1"/>
  <c r="W370" i="1"/>
  <c r="U370" i="1"/>
  <c r="S370" i="1"/>
  <c r="Q370" i="1"/>
  <c r="O370" i="1"/>
  <c r="P370" i="1" s="1"/>
  <c r="N370" i="1"/>
  <c r="L370" i="1"/>
  <c r="J370" i="1"/>
  <c r="I370" i="1"/>
  <c r="H370" i="1"/>
  <c r="G370" i="1"/>
  <c r="F370" i="1"/>
  <c r="E370" i="1"/>
  <c r="D370" i="1"/>
  <c r="AG369" i="1"/>
  <c r="AE369" i="1"/>
  <c r="AD369" i="1"/>
  <c r="AB369" i="1"/>
  <c r="AA369" i="1"/>
  <c r="Y369" i="1"/>
  <c r="W369" i="1"/>
  <c r="U369" i="1"/>
  <c r="T369" i="1"/>
  <c r="S369" i="1"/>
  <c r="Q369" i="1"/>
  <c r="P369" i="1"/>
  <c r="N369" i="1"/>
  <c r="L369" i="1"/>
  <c r="J369" i="1"/>
  <c r="I369" i="1"/>
  <c r="H369" i="1"/>
  <c r="G369" i="1"/>
  <c r="F369" i="1"/>
  <c r="E369" i="1"/>
  <c r="D369" i="1"/>
  <c r="AG368" i="1"/>
  <c r="AE368" i="1"/>
  <c r="AD368" i="1"/>
  <c r="AB368" i="1"/>
  <c r="Z368" i="1"/>
  <c r="AA368" i="1" s="1"/>
  <c r="Y368" i="1"/>
  <c r="W368" i="1"/>
  <c r="U368" i="1"/>
  <c r="S368" i="1"/>
  <c r="Q368" i="1"/>
  <c r="O368" i="1"/>
  <c r="P368" i="1" s="1"/>
  <c r="N368" i="1"/>
  <c r="L368" i="1"/>
  <c r="J368" i="1"/>
  <c r="I368" i="1"/>
  <c r="H368" i="1"/>
  <c r="G368" i="1"/>
  <c r="F368" i="1"/>
  <c r="E368" i="1"/>
  <c r="D368" i="1"/>
  <c r="AH367" i="1"/>
  <c r="AG367" i="1"/>
  <c r="AE367" i="1"/>
  <c r="AD367" i="1"/>
  <c r="AB367" i="1"/>
  <c r="AA367" i="1"/>
  <c r="Y367" i="1"/>
  <c r="W367" i="1"/>
  <c r="U367" i="1"/>
  <c r="S367" i="1"/>
  <c r="Q367" i="1"/>
  <c r="P367" i="1"/>
  <c r="N367" i="1"/>
  <c r="L367" i="1"/>
  <c r="J367" i="1"/>
  <c r="I367" i="1"/>
  <c r="H367" i="1"/>
  <c r="G367" i="1"/>
  <c r="F367" i="1"/>
  <c r="E367" i="1"/>
  <c r="D367" i="1"/>
  <c r="AG366" i="1"/>
  <c r="AE366" i="1"/>
  <c r="AD366" i="1"/>
  <c r="AB366" i="1"/>
  <c r="AA366" i="1"/>
  <c r="Y366" i="1"/>
  <c r="W366" i="1"/>
  <c r="U366" i="1"/>
  <c r="S366" i="1"/>
  <c r="Q366" i="1"/>
  <c r="P366" i="1"/>
  <c r="N366" i="1"/>
  <c r="L366" i="1"/>
  <c r="J366" i="1"/>
  <c r="I366" i="1"/>
  <c r="H366" i="1"/>
  <c r="G366" i="1"/>
  <c r="F366" i="1"/>
  <c r="E366" i="1"/>
  <c r="D366" i="1"/>
  <c r="AG365" i="1"/>
  <c r="AE365" i="1"/>
  <c r="AD365" i="1"/>
  <c r="AB365" i="1"/>
  <c r="AA365" i="1"/>
  <c r="Y365" i="1"/>
  <c r="W365" i="1"/>
  <c r="U365" i="1"/>
  <c r="S365" i="1"/>
  <c r="Q365" i="1"/>
  <c r="P365" i="1"/>
  <c r="N365" i="1"/>
  <c r="L365" i="1"/>
  <c r="J365" i="1"/>
  <c r="I365" i="1"/>
  <c r="H365" i="1"/>
  <c r="G365" i="1"/>
  <c r="F365" i="1"/>
  <c r="E365" i="1"/>
  <c r="D365" i="1"/>
  <c r="AG364" i="1"/>
  <c r="AE364" i="1"/>
  <c r="AD364" i="1"/>
  <c r="AB364" i="1"/>
  <c r="AA364" i="1"/>
  <c r="Y364" i="1"/>
  <c r="W364" i="1"/>
  <c r="U364" i="1"/>
  <c r="S364" i="1"/>
  <c r="Q364" i="1"/>
  <c r="P364" i="1"/>
  <c r="N364" i="1"/>
  <c r="L364" i="1"/>
  <c r="J364" i="1"/>
  <c r="I364" i="1"/>
  <c r="H364" i="1"/>
  <c r="G364" i="1"/>
  <c r="F364" i="1"/>
  <c r="E364" i="1"/>
  <c r="D364" i="1"/>
  <c r="AG363" i="1"/>
  <c r="AE363" i="1"/>
  <c r="AD363" i="1"/>
  <c r="AB363" i="1"/>
  <c r="Z363" i="1"/>
  <c r="AA363" i="1" s="1"/>
  <c r="Y363" i="1"/>
  <c r="W363" i="1"/>
  <c r="U363" i="1"/>
  <c r="S363" i="1"/>
  <c r="Q363" i="1"/>
  <c r="P363" i="1"/>
  <c r="N363" i="1"/>
  <c r="L363" i="1"/>
  <c r="J363" i="1"/>
  <c r="I363" i="1"/>
  <c r="H363" i="1"/>
  <c r="G363" i="1"/>
  <c r="F363" i="1"/>
  <c r="E363" i="1"/>
  <c r="D363" i="1"/>
  <c r="AG362" i="1"/>
  <c r="AE362" i="1"/>
  <c r="AD362" i="1"/>
  <c r="AB362" i="1"/>
  <c r="AA362" i="1"/>
  <c r="Y362" i="1"/>
  <c r="W362" i="1"/>
  <c r="U362" i="1"/>
  <c r="S362" i="1"/>
  <c r="Q362" i="1"/>
  <c r="P362" i="1"/>
  <c r="N362" i="1"/>
  <c r="L362" i="1"/>
  <c r="J362" i="1"/>
  <c r="I362" i="1"/>
  <c r="H362" i="1"/>
  <c r="G362" i="1"/>
  <c r="F362" i="1"/>
  <c r="E362" i="1"/>
  <c r="D362" i="1"/>
  <c r="AG361" i="1"/>
  <c r="AE361" i="1"/>
  <c r="AD361" i="1"/>
  <c r="AB361" i="1"/>
  <c r="AA361" i="1"/>
  <c r="Y361" i="1"/>
  <c r="W361" i="1"/>
  <c r="U361" i="1"/>
  <c r="S361" i="1"/>
  <c r="Q361" i="1"/>
  <c r="P361" i="1"/>
  <c r="N361" i="1"/>
  <c r="L361" i="1"/>
  <c r="J361" i="1"/>
  <c r="I361" i="1"/>
  <c r="H361" i="1"/>
  <c r="G361" i="1"/>
  <c r="F361" i="1"/>
  <c r="E361" i="1"/>
  <c r="D361" i="1"/>
  <c r="AG360" i="1"/>
  <c r="AF360" i="1"/>
  <c r="AE360" i="1"/>
  <c r="AD360" i="1"/>
  <c r="AB360" i="1"/>
  <c r="AA360" i="1"/>
  <c r="Y360" i="1"/>
  <c r="W360" i="1"/>
  <c r="U360" i="1"/>
  <c r="S360" i="1"/>
  <c r="Q360" i="1"/>
  <c r="P360" i="1"/>
  <c r="N360" i="1"/>
  <c r="L360" i="1"/>
  <c r="J360" i="1"/>
  <c r="I360" i="1"/>
  <c r="H360" i="1"/>
  <c r="G360" i="1"/>
  <c r="F360" i="1"/>
  <c r="E360" i="1"/>
  <c r="D360" i="1"/>
  <c r="AG359" i="1"/>
  <c r="AE359" i="1"/>
  <c r="AD359" i="1"/>
  <c r="AB359" i="1"/>
  <c r="AA359" i="1"/>
  <c r="Y359" i="1"/>
  <c r="W359" i="1"/>
  <c r="U359" i="1"/>
  <c r="S359" i="1"/>
  <c r="Q359" i="1"/>
  <c r="P359" i="1"/>
  <c r="N359" i="1"/>
  <c r="L359" i="1"/>
  <c r="J359" i="1"/>
  <c r="I359" i="1"/>
  <c r="H359" i="1"/>
  <c r="G359" i="1"/>
  <c r="F359" i="1"/>
  <c r="E359" i="1"/>
  <c r="D359" i="1"/>
  <c r="AG358" i="1"/>
  <c r="AE358" i="1"/>
  <c r="AD358" i="1"/>
  <c r="AB358" i="1"/>
  <c r="AA358" i="1"/>
  <c r="Y358" i="1"/>
  <c r="W358" i="1"/>
  <c r="U358" i="1"/>
  <c r="S358" i="1"/>
  <c r="Q358" i="1"/>
  <c r="P358" i="1"/>
  <c r="N358" i="1"/>
  <c r="L358" i="1"/>
  <c r="J358" i="1"/>
  <c r="I358" i="1"/>
  <c r="H358" i="1"/>
  <c r="G358" i="1"/>
  <c r="F358" i="1"/>
  <c r="E358" i="1"/>
  <c r="D358" i="1"/>
  <c r="AG357" i="1"/>
  <c r="AE357" i="1"/>
  <c r="AD357" i="1"/>
  <c r="AB357" i="1"/>
  <c r="AA357" i="1"/>
  <c r="Y357" i="1"/>
  <c r="W357" i="1"/>
  <c r="U357" i="1"/>
  <c r="S357" i="1"/>
  <c r="Q357" i="1"/>
  <c r="P357" i="1"/>
  <c r="N357" i="1"/>
  <c r="L357" i="1"/>
  <c r="J357" i="1"/>
  <c r="I357" i="1"/>
  <c r="H357" i="1"/>
  <c r="F357" i="1"/>
  <c r="E357" i="1"/>
  <c r="D357" i="1"/>
  <c r="AG356" i="1"/>
  <c r="AE356" i="1"/>
  <c r="AD356" i="1"/>
  <c r="AB356" i="1"/>
  <c r="AA356" i="1"/>
  <c r="Y356" i="1"/>
  <c r="W356" i="1"/>
  <c r="U356" i="1"/>
  <c r="S356" i="1"/>
  <c r="Q356" i="1"/>
  <c r="P356" i="1"/>
  <c r="N356" i="1"/>
  <c r="L356" i="1"/>
  <c r="J356" i="1"/>
  <c r="I356" i="1"/>
  <c r="H356" i="1"/>
  <c r="G356" i="1"/>
  <c r="F356" i="1"/>
  <c r="E356" i="1"/>
  <c r="D356" i="1"/>
  <c r="AG355" i="1"/>
  <c r="AE355" i="1"/>
  <c r="AD355" i="1"/>
  <c r="AB355" i="1"/>
  <c r="AA355" i="1"/>
  <c r="Y355" i="1"/>
  <c r="W355" i="1"/>
  <c r="U355" i="1"/>
  <c r="S355" i="1"/>
  <c r="Q355" i="1"/>
  <c r="P355" i="1"/>
  <c r="N355" i="1"/>
  <c r="L355" i="1"/>
  <c r="J355" i="1"/>
  <c r="I355" i="1"/>
  <c r="H355" i="1"/>
  <c r="F355" i="1"/>
  <c r="E355" i="1"/>
  <c r="D355" i="1"/>
  <c r="AG354" i="1"/>
  <c r="AE354" i="1"/>
  <c r="AD354" i="1"/>
  <c r="AB354" i="1"/>
  <c r="AA354" i="1"/>
  <c r="Y354" i="1"/>
  <c r="W354" i="1"/>
  <c r="U354" i="1"/>
  <c r="S354" i="1"/>
  <c r="Q354" i="1"/>
  <c r="P354" i="1"/>
  <c r="N354" i="1"/>
  <c r="L354" i="1"/>
  <c r="J354" i="1"/>
  <c r="I354" i="1"/>
  <c r="H354" i="1"/>
  <c r="F354" i="1"/>
  <c r="E354" i="1"/>
  <c r="D354" i="1"/>
  <c r="AG353" i="1"/>
  <c r="AE353" i="1"/>
  <c r="AD353" i="1"/>
  <c r="AB353" i="1"/>
  <c r="AA353" i="1"/>
  <c r="Y353" i="1"/>
  <c r="W353" i="1"/>
  <c r="U353" i="1"/>
  <c r="S353" i="1"/>
  <c r="Q353" i="1"/>
  <c r="P353" i="1"/>
  <c r="N353" i="1"/>
  <c r="L353" i="1"/>
  <c r="J353" i="1"/>
  <c r="I353" i="1"/>
  <c r="H353" i="1"/>
  <c r="G353" i="1"/>
  <c r="F353" i="1"/>
  <c r="E353" i="1"/>
  <c r="D353" i="1"/>
  <c r="AG352" i="1"/>
  <c r="AE352" i="1"/>
  <c r="AD352" i="1"/>
  <c r="AB352" i="1"/>
  <c r="AA352" i="1"/>
  <c r="Y352" i="1"/>
  <c r="W352" i="1"/>
  <c r="U352" i="1"/>
  <c r="S352" i="1"/>
  <c r="Q352" i="1"/>
  <c r="P352" i="1"/>
  <c r="N352" i="1"/>
  <c r="L352" i="1"/>
  <c r="J352" i="1"/>
  <c r="I352" i="1"/>
  <c r="H352" i="1"/>
  <c r="G352" i="1"/>
  <c r="F352" i="1"/>
  <c r="E352" i="1"/>
  <c r="D352" i="1"/>
  <c r="AG351" i="1"/>
  <c r="AE351" i="1"/>
  <c r="AD351" i="1"/>
  <c r="AB351" i="1"/>
  <c r="Z351" i="1"/>
  <c r="AA351" i="1" s="1"/>
  <c r="Y351" i="1"/>
  <c r="W351" i="1"/>
  <c r="U351" i="1"/>
  <c r="S351" i="1"/>
  <c r="Q351" i="1"/>
  <c r="P351" i="1"/>
  <c r="N351" i="1"/>
  <c r="L351" i="1"/>
  <c r="J351" i="1"/>
  <c r="I351" i="1"/>
  <c r="H351" i="1"/>
  <c r="G351" i="1"/>
  <c r="F351" i="1"/>
  <c r="E351" i="1"/>
  <c r="D351" i="1"/>
  <c r="AG350" i="1"/>
  <c r="AE350" i="1"/>
  <c r="AD350" i="1"/>
  <c r="AB350" i="1"/>
  <c r="AA350" i="1"/>
  <c r="Y350" i="1"/>
  <c r="W350" i="1"/>
  <c r="V350" i="1"/>
  <c r="U350" i="1"/>
  <c r="S350" i="1"/>
  <c r="Q350" i="1"/>
  <c r="P350" i="1"/>
  <c r="N350" i="1"/>
  <c r="L350" i="1"/>
  <c r="J350" i="1"/>
  <c r="I350" i="1"/>
  <c r="H350" i="1"/>
  <c r="G350" i="1"/>
  <c r="F350" i="1"/>
  <c r="E350" i="1"/>
  <c r="D350" i="1"/>
  <c r="AG349" i="1"/>
  <c r="AE349" i="1"/>
  <c r="AD349" i="1"/>
  <c r="AB349" i="1"/>
  <c r="AA349" i="1"/>
  <c r="Y349" i="1"/>
  <c r="W349" i="1"/>
  <c r="U349" i="1"/>
  <c r="S349" i="1"/>
  <c r="Q349" i="1"/>
  <c r="P349" i="1"/>
  <c r="N349" i="1"/>
  <c r="L349" i="1"/>
  <c r="J349" i="1"/>
  <c r="I349" i="1"/>
  <c r="H349" i="1"/>
  <c r="G349" i="1"/>
  <c r="F349" i="1"/>
  <c r="E349" i="1"/>
  <c r="D349" i="1"/>
  <c r="AG348" i="1"/>
  <c r="AE348" i="1"/>
  <c r="AD348" i="1"/>
  <c r="AB348" i="1"/>
  <c r="AA348" i="1"/>
  <c r="Y348" i="1"/>
  <c r="W348" i="1"/>
  <c r="U348" i="1"/>
  <c r="S348" i="1"/>
  <c r="Q348" i="1"/>
  <c r="P348" i="1"/>
  <c r="N348" i="1"/>
  <c r="L348" i="1"/>
  <c r="J348" i="1"/>
  <c r="I348" i="1"/>
  <c r="H348" i="1"/>
  <c r="G348" i="1"/>
  <c r="F348" i="1"/>
  <c r="E348" i="1"/>
  <c r="D348" i="1"/>
  <c r="AG347" i="1"/>
  <c r="AE347" i="1"/>
  <c r="AD347" i="1"/>
  <c r="AB347" i="1"/>
  <c r="AA347" i="1"/>
  <c r="Y347" i="1"/>
  <c r="W347" i="1"/>
  <c r="U347" i="1"/>
  <c r="S347" i="1"/>
  <c r="Q347" i="1"/>
  <c r="P347" i="1"/>
  <c r="N347" i="1"/>
  <c r="L347" i="1"/>
  <c r="J347" i="1"/>
  <c r="I347" i="1"/>
  <c r="H347" i="1"/>
  <c r="G347" i="1"/>
  <c r="F347" i="1"/>
  <c r="E347" i="1"/>
  <c r="D347" i="1"/>
  <c r="AH346" i="1"/>
  <c r="AG346" i="1"/>
  <c r="AE346" i="1"/>
  <c r="AD346" i="1"/>
  <c r="AB346" i="1"/>
  <c r="AA346" i="1"/>
  <c r="Y346" i="1"/>
  <c r="W346" i="1"/>
  <c r="U346" i="1"/>
  <c r="T346" i="1"/>
  <c r="S346" i="1"/>
  <c r="Q346" i="1"/>
  <c r="P346" i="1"/>
  <c r="N346" i="1"/>
  <c r="L346" i="1"/>
  <c r="J346" i="1"/>
  <c r="I346" i="1"/>
  <c r="H346" i="1"/>
  <c r="G346" i="1"/>
  <c r="F346" i="1"/>
  <c r="E346" i="1"/>
  <c r="D346" i="1"/>
  <c r="AG345" i="1"/>
  <c r="AE345" i="1"/>
  <c r="AD345" i="1"/>
  <c r="AB345" i="1"/>
  <c r="AA345" i="1"/>
  <c r="Y345" i="1"/>
  <c r="W345" i="1"/>
  <c r="U345" i="1"/>
  <c r="S345" i="1"/>
  <c r="Q345" i="1"/>
  <c r="P345" i="1"/>
  <c r="N345" i="1"/>
  <c r="L345" i="1"/>
  <c r="J345" i="1"/>
  <c r="I345" i="1"/>
  <c r="H345" i="1"/>
  <c r="G345" i="1"/>
  <c r="F345" i="1"/>
  <c r="E345" i="1"/>
  <c r="D345" i="1"/>
  <c r="AG344" i="1"/>
  <c r="AE344" i="1"/>
  <c r="AD344" i="1"/>
  <c r="AB344" i="1"/>
  <c r="AA344" i="1"/>
  <c r="Y344" i="1"/>
  <c r="W344" i="1"/>
  <c r="U344" i="1"/>
  <c r="T344" i="1"/>
  <c r="S344" i="1"/>
  <c r="Q344" i="1"/>
  <c r="P344" i="1"/>
  <c r="N344" i="1"/>
  <c r="L344" i="1"/>
  <c r="J344" i="1"/>
  <c r="I344" i="1"/>
  <c r="H344" i="1"/>
  <c r="F344" i="1"/>
  <c r="E344" i="1"/>
  <c r="D344" i="1"/>
  <c r="AG343" i="1"/>
  <c r="AE343" i="1"/>
  <c r="AD343" i="1"/>
  <c r="AB343" i="1"/>
  <c r="AA343" i="1"/>
  <c r="Y343" i="1"/>
  <c r="W343" i="1"/>
  <c r="U343" i="1"/>
  <c r="S343" i="1"/>
  <c r="R343" i="1"/>
  <c r="Q343" i="1"/>
  <c r="P343" i="1"/>
  <c r="N343" i="1"/>
  <c r="L343" i="1"/>
  <c r="J343" i="1"/>
  <c r="I343" i="1"/>
  <c r="H343" i="1"/>
  <c r="G343" i="1"/>
  <c r="F343" i="1"/>
  <c r="E343" i="1"/>
  <c r="D343" i="1"/>
  <c r="AG342" i="1"/>
  <c r="AE342" i="1"/>
  <c r="AD342" i="1"/>
  <c r="AB342" i="1"/>
  <c r="AA342" i="1"/>
  <c r="Y342" i="1"/>
  <c r="W342" i="1"/>
  <c r="U342" i="1"/>
  <c r="S342" i="1"/>
  <c r="Q342" i="1"/>
  <c r="P342" i="1"/>
  <c r="N342" i="1"/>
  <c r="L342" i="1"/>
  <c r="J342" i="1"/>
  <c r="I342" i="1"/>
  <c r="H342" i="1"/>
  <c r="G342" i="1"/>
  <c r="F342" i="1"/>
  <c r="E342" i="1"/>
  <c r="D342" i="1"/>
  <c r="AG341" i="1"/>
  <c r="AE341" i="1"/>
  <c r="AD341" i="1"/>
  <c r="AB341" i="1"/>
  <c r="AA341" i="1"/>
  <c r="Y341" i="1"/>
  <c r="W341" i="1"/>
  <c r="U341" i="1"/>
  <c r="S341" i="1"/>
  <c r="Q341" i="1"/>
  <c r="P341" i="1"/>
  <c r="N341" i="1"/>
  <c r="L341" i="1"/>
  <c r="J341" i="1"/>
  <c r="I341" i="1"/>
  <c r="H341" i="1"/>
  <c r="F341" i="1"/>
  <c r="E341" i="1"/>
  <c r="D341" i="1"/>
  <c r="AG340" i="1"/>
  <c r="AE340" i="1"/>
  <c r="AD340" i="1"/>
  <c r="AB340" i="1"/>
  <c r="AA340" i="1"/>
  <c r="Y340" i="1"/>
  <c r="W340" i="1"/>
  <c r="U340" i="1"/>
  <c r="S340" i="1"/>
  <c r="Q340" i="1"/>
  <c r="P340" i="1"/>
  <c r="N340" i="1"/>
  <c r="L340" i="1"/>
  <c r="J340" i="1"/>
  <c r="I340" i="1"/>
  <c r="H340" i="1"/>
  <c r="G340" i="1"/>
  <c r="F340" i="1"/>
  <c r="E340" i="1"/>
  <c r="D340" i="1"/>
  <c r="AG339" i="1"/>
  <c r="AF339" i="1"/>
  <c r="AE339" i="1"/>
  <c r="AD339" i="1"/>
  <c r="AB339" i="1"/>
  <c r="AA339" i="1"/>
  <c r="Y339" i="1"/>
  <c r="W339" i="1"/>
  <c r="U339" i="1"/>
  <c r="S339" i="1"/>
  <c r="Q339" i="1"/>
  <c r="O339" i="1"/>
  <c r="P339" i="1" s="1"/>
  <c r="N339" i="1"/>
  <c r="L339" i="1"/>
  <c r="J339" i="1"/>
  <c r="I339" i="1"/>
  <c r="H339" i="1"/>
  <c r="G339" i="1"/>
  <c r="F339" i="1"/>
  <c r="E339" i="1"/>
  <c r="D339" i="1"/>
  <c r="AG338" i="1"/>
  <c r="AF338" i="1"/>
  <c r="AE338" i="1"/>
  <c r="AC338" i="1"/>
  <c r="AD338" i="1" s="1"/>
  <c r="AB338" i="1"/>
  <c r="AA338" i="1"/>
  <c r="Y338" i="1"/>
  <c r="W338" i="1"/>
  <c r="U338" i="1"/>
  <c r="S338" i="1"/>
  <c r="Q338" i="1"/>
  <c r="P338" i="1"/>
  <c r="N338" i="1"/>
  <c r="L338" i="1"/>
  <c r="J338" i="1"/>
  <c r="I338" i="1"/>
  <c r="H338" i="1"/>
  <c r="G338" i="1"/>
  <c r="F338" i="1"/>
  <c r="E338" i="1"/>
  <c r="D338" i="1"/>
  <c r="AG337" i="1"/>
  <c r="AE337" i="1"/>
  <c r="AD337" i="1"/>
  <c r="AB337" i="1"/>
  <c r="AA337" i="1"/>
  <c r="Y337" i="1"/>
  <c r="W337" i="1"/>
  <c r="U337" i="1"/>
  <c r="S337" i="1"/>
  <c r="Q337" i="1"/>
  <c r="P337" i="1"/>
  <c r="N337" i="1"/>
  <c r="L337" i="1"/>
  <c r="J337" i="1"/>
  <c r="I337" i="1"/>
  <c r="H337" i="1"/>
  <c r="F337" i="1"/>
  <c r="E337" i="1"/>
  <c r="D337" i="1"/>
  <c r="AH336" i="1"/>
  <c r="AG336" i="1"/>
  <c r="AE336" i="1"/>
  <c r="AD336" i="1"/>
  <c r="AB336" i="1"/>
  <c r="AA336" i="1"/>
  <c r="Y336" i="1"/>
  <c r="W336" i="1"/>
  <c r="U336" i="1"/>
  <c r="S336" i="1"/>
  <c r="Q336" i="1"/>
  <c r="P336" i="1"/>
  <c r="N336" i="1"/>
  <c r="L336" i="1"/>
  <c r="J336" i="1"/>
  <c r="I336" i="1"/>
  <c r="H336" i="1"/>
  <c r="G336" i="1"/>
  <c r="F336" i="1"/>
  <c r="E336" i="1"/>
  <c r="D336" i="1"/>
  <c r="AG335" i="1"/>
  <c r="AE335" i="1"/>
  <c r="AD335" i="1"/>
  <c r="AB335" i="1"/>
  <c r="AA335" i="1"/>
  <c r="Y335" i="1"/>
  <c r="W335" i="1"/>
  <c r="U335" i="1"/>
  <c r="S335" i="1"/>
  <c r="Q335" i="1"/>
  <c r="P335" i="1"/>
  <c r="N335" i="1"/>
  <c r="L335" i="1"/>
  <c r="J335" i="1"/>
  <c r="I335" i="1"/>
  <c r="H335" i="1"/>
  <c r="G335" i="1"/>
  <c r="F335" i="1"/>
  <c r="E335" i="1"/>
  <c r="D335" i="1"/>
  <c r="AG334" i="1"/>
  <c r="AE334" i="1"/>
  <c r="AD334" i="1"/>
  <c r="AB334" i="1"/>
  <c r="AA334" i="1"/>
  <c r="Y334" i="1"/>
  <c r="W334" i="1"/>
  <c r="U334" i="1"/>
  <c r="S334" i="1"/>
  <c r="Q334" i="1"/>
  <c r="P334" i="1"/>
  <c r="N334" i="1"/>
  <c r="L334" i="1"/>
  <c r="J334" i="1"/>
  <c r="I334" i="1"/>
  <c r="H334" i="1"/>
  <c r="G334" i="1"/>
  <c r="F334" i="1"/>
  <c r="E334" i="1"/>
  <c r="D334" i="1"/>
  <c r="AG333" i="1"/>
  <c r="AE333" i="1"/>
  <c r="AD333" i="1"/>
  <c r="AB333" i="1"/>
  <c r="AA333" i="1"/>
  <c r="Y333" i="1"/>
  <c r="W333" i="1"/>
  <c r="U333" i="1"/>
  <c r="S333" i="1"/>
  <c r="Q333" i="1"/>
  <c r="P333" i="1"/>
  <c r="N333" i="1"/>
  <c r="M333" i="1"/>
  <c r="L333" i="1"/>
  <c r="J333" i="1"/>
  <c r="I333" i="1"/>
  <c r="H333" i="1"/>
  <c r="G333" i="1"/>
  <c r="F333" i="1"/>
  <c r="E333" i="1"/>
  <c r="D333" i="1"/>
  <c r="AG332" i="1"/>
  <c r="AE332" i="1"/>
  <c r="AD332" i="1"/>
  <c r="AB332" i="1"/>
  <c r="AA332" i="1"/>
  <c r="Y332" i="1"/>
  <c r="W332" i="1"/>
  <c r="U332" i="1"/>
  <c r="S332" i="1"/>
  <c r="R332" i="1"/>
  <c r="Q332" i="1"/>
  <c r="P332" i="1"/>
  <c r="N332" i="1"/>
  <c r="L332" i="1"/>
  <c r="J332" i="1"/>
  <c r="I332" i="1"/>
  <c r="H332" i="1"/>
  <c r="F332" i="1"/>
  <c r="E332" i="1"/>
  <c r="D332" i="1"/>
  <c r="AG331" i="1"/>
  <c r="AE331" i="1"/>
  <c r="AD331" i="1"/>
  <c r="AB331" i="1"/>
  <c r="AA331" i="1"/>
  <c r="Y331" i="1"/>
  <c r="W331" i="1"/>
  <c r="U331" i="1"/>
  <c r="S331" i="1"/>
  <c r="Q331" i="1"/>
  <c r="P331" i="1"/>
  <c r="N331" i="1"/>
  <c r="L331" i="1"/>
  <c r="J331" i="1"/>
  <c r="I331" i="1"/>
  <c r="H331" i="1"/>
  <c r="G331" i="1"/>
  <c r="F331" i="1"/>
  <c r="E331" i="1"/>
  <c r="D331" i="1"/>
  <c r="AG330" i="1"/>
  <c r="AE330" i="1"/>
  <c r="AD330" i="1"/>
  <c r="AB330" i="1"/>
  <c r="AA330" i="1"/>
  <c r="Y330" i="1"/>
  <c r="W330" i="1"/>
  <c r="U330" i="1"/>
  <c r="S330" i="1"/>
  <c r="Q330" i="1"/>
  <c r="P330" i="1"/>
  <c r="N330" i="1"/>
  <c r="L330" i="1"/>
  <c r="J330" i="1"/>
  <c r="I330" i="1"/>
  <c r="H330" i="1"/>
  <c r="G330" i="1"/>
  <c r="F330" i="1"/>
  <c r="E330" i="1"/>
  <c r="D330" i="1"/>
  <c r="AG329" i="1"/>
  <c r="AE329" i="1"/>
  <c r="AD329" i="1"/>
  <c r="AB329" i="1"/>
  <c r="AA329" i="1"/>
  <c r="Y329" i="1"/>
  <c r="X329" i="1"/>
  <c r="W329" i="1"/>
  <c r="U329" i="1"/>
  <c r="S329" i="1"/>
  <c r="Q329" i="1"/>
  <c r="P329" i="1"/>
  <c r="N329" i="1"/>
  <c r="L329" i="1"/>
  <c r="J329" i="1"/>
  <c r="I329" i="1"/>
  <c r="H329" i="1"/>
  <c r="G329" i="1"/>
  <c r="F329" i="1"/>
  <c r="E329" i="1"/>
  <c r="D329" i="1"/>
  <c r="AG328" i="1"/>
  <c r="AE328" i="1"/>
  <c r="AD328" i="1"/>
  <c r="AB328" i="1"/>
  <c r="AA328" i="1"/>
  <c r="Y328" i="1"/>
  <c r="W328" i="1"/>
  <c r="U328" i="1"/>
  <c r="S328" i="1"/>
  <c r="Q328" i="1"/>
  <c r="P328" i="1"/>
  <c r="N328" i="1"/>
  <c r="L328" i="1"/>
  <c r="J328" i="1"/>
  <c r="I328" i="1"/>
  <c r="H328" i="1"/>
  <c r="G328" i="1"/>
  <c r="F328" i="1"/>
  <c r="E328" i="1"/>
  <c r="D328" i="1"/>
  <c r="AG327" i="1"/>
  <c r="AE327" i="1"/>
  <c r="AD327" i="1"/>
  <c r="AB327" i="1"/>
  <c r="AA327" i="1"/>
  <c r="Y327" i="1"/>
  <c r="W327" i="1"/>
  <c r="U327" i="1"/>
  <c r="S327" i="1"/>
  <c r="Q327" i="1"/>
  <c r="P327" i="1"/>
  <c r="N327" i="1"/>
  <c r="L327" i="1"/>
  <c r="J327" i="1"/>
  <c r="I327" i="1"/>
  <c r="H327" i="1"/>
  <c r="G327" i="1"/>
  <c r="F327" i="1"/>
  <c r="E327" i="1"/>
  <c r="D327" i="1"/>
  <c r="AG326" i="1"/>
  <c r="AE326" i="1"/>
  <c r="AD326" i="1"/>
  <c r="AB326" i="1"/>
  <c r="AA326" i="1"/>
  <c r="Y326" i="1"/>
  <c r="W326" i="1"/>
  <c r="U326" i="1"/>
  <c r="S326" i="1"/>
  <c r="Q326" i="1"/>
  <c r="P326" i="1"/>
  <c r="N326" i="1"/>
  <c r="L326" i="1"/>
  <c r="J326" i="1"/>
  <c r="I326" i="1"/>
  <c r="H326" i="1"/>
  <c r="G326" i="1"/>
  <c r="F326" i="1"/>
  <c r="E326" i="1"/>
  <c r="D326" i="1"/>
  <c r="AG325" i="1"/>
  <c r="AE325" i="1"/>
  <c r="AD325" i="1"/>
  <c r="AB325" i="1"/>
  <c r="Z325" i="1"/>
  <c r="AA325" i="1" s="1"/>
  <c r="Y325" i="1"/>
  <c r="W325" i="1"/>
  <c r="U325" i="1"/>
  <c r="S325" i="1"/>
  <c r="Q325" i="1"/>
  <c r="P325" i="1"/>
  <c r="N325" i="1"/>
  <c r="L325" i="1"/>
  <c r="J325" i="1"/>
  <c r="I325" i="1"/>
  <c r="H325" i="1"/>
  <c r="G325" i="1"/>
  <c r="F325" i="1"/>
  <c r="E325" i="1"/>
  <c r="D325" i="1"/>
  <c r="AG324" i="1"/>
  <c r="AE324" i="1"/>
  <c r="AD324" i="1"/>
  <c r="AB324" i="1"/>
  <c r="AA324" i="1"/>
  <c r="Y324" i="1"/>
  <c r="W324" i="1"/>
  <c r="U324" i="1"/>
  <c r="S324" i="1"/>
  <c r="Q324" i="1"/>
  <c r="P324" i="1"/>
  <c r="N324" i="1"/>
  <c r="L324" i="1"/>
  <c r="J324" i="1"/>
  <c r="I324" i="1"/>
  <c r="H324" i="1"/>
  <c r="G324" i="1"/>
  <c r="F324" i="1"/>
  <c r="E324" i="1"/>
  <c r="D324" i="1"/>
  <c r="AG323" i="1"/>
  <c r="AE323" i="1"/>
  <c r="AD323" i="1"/>
  <c r="AB323" i="1"/>
  <c r="AA323" i="1"/>
  <c r="Y323" i="1"/>
  <c r="W323" i="1"/>
  <c r="U323" i="1"/>
  <c r="S323" i="1"/>
  <c r="Q323" i="1"/>
  <c r="P323" i="1"/>
  <c r="N323" i="1"/>
  <c r="L323" i="1"/>
  <c r="J323" i="1"/>
  <c r="I323" i="1"/>
  <c r="H323" i="1"/>
  <c r="G323" i="1"/>
  <c r="F323" i="1"/>
  <c r="E323" i="1"/>
  <c r="D323" i="1"/>
  <c r="AG322" i="1"/>
  <c r="AE322" i="1"/>
  <c r="AD322" i="1"/>
  <c r="AB322" i="1"/>
  <c r="AA322" i="1"/>
  <c r="Y322" i="1"/>
  <c r="W322" i="1"/>
  <c r="U322" i="1"/>
  <c r="S322" i="1"/>
  <c r="Q322" i="1"/>
  <c r="O322" i="1"/>
  <c r="P322" i="1" s="1"/>
  <c r="N322" i="1"/>
  <c r="L322" i="1"/>
  <c r="J322" i="1"/>
  <c r="I322" i="1"/>
  <c r="H322" i="1"/>
  <c r="G322" i="1"/>
  <c r="F322" i="1"/>
  <c r="E322" i="1"/>
  <c r="D322" i="1"/>
  <c r="AG321" i="1"/>
  <c r="AE321" i="1"/>
  <c r="AD321" i="1"/>
  <c r="AB321" i="1"/>
  <c r="AA321" i="1"/>
  <c r="Y321" i="1"/>
  <c r="W321" i="1"/>
  <c r="U321" i="1"/>
  <c r="S321" i="1"/>
  <c r="Q321" i="1"/>
  <c r="P321" i="1"/>
  <c r="N321" i="1"/>
  <c r="L321" i="1"/>
  <c r="J321" i="1"/>
  <c r="I321" i="1"/>
  <c r="H321" i="1"/>
  <c r="G321" i="1"/>
  <c r="F321" i="1"/>
  <c r="E321" i="1"/>
  <c r="D321" i="1"/>
  <c r="AG320" i="1"/>
  <c r="AF320" i="1"/>
  <c r="AE320" i="1"/>
  <c r="AD320" i="1"/>
  <c r="AB320" i="1"/>
  <c r="AA320" i="1"/>
  <c r="Y320" i="1"/>
  <c r="W320" i="1"/>
  <c r="U320" i="1"/>
  <c r="S320" i="1"/>
  <c r="Q320" i="1"/>
  <c r="P320" i="1"/>
  <c r="N320" i="1"/>
  <c r="L320" i="1"/>
  <c r="J320" i="1"/>
  <c r="I320" i="1"/>
  <c r="H320" i="1"/>
  <c r="G320" i="1"/>
  <c r="F320" i="1"/>
  <c r="E320" i="1"/>
  <c r="D320" i="1"/>
  <c r="AG319" i="1"/>
  <c r="AE319" i="1"/>
  <c r="AD319" i="1"/>
  <c r="AB319" i="1"/>
  <c r="AA319" i="1"/>
  <c r="Y319" i="1"/>
  <c r="W319" i="1"/>
  <c r="U319" i="1"/>
  <c r="S319" i="1"/>
  <c r="Q319" i="1"/>
  <c r="P319" i="1"/>
  <c r="N319" i="1"/>
  <c r="L319" i="1"/>
  <c r="K319" i="1"/>
  <c r="J319" i="1"/>
  <c r="I319" i="1"/>
  <c r="H319" i="1"/>
  <c r="G319" i="1"/>
  <c r="F319" i="1"/>
  <c r="E319" i="1"/>
  <c r="D319" i="1"/>
  <c r="AG318" i="1"/>
  <c r="AE318" i="1"/>
  <c r="AD318" i="1"/>
  <c r="AB318" i="1"/>
  <c r="AA318" i="1"/>
  <c r="Y318" i="1"/>
  <c r="W318" i="1"/>
  <c r="U318" i="1"/>
  <c r="S318" i="1"/>
  <c r="Q318" i="1"/>
  <c r="P318" i="1"/>
  <c r="N318" i="1"/>
  <c r="L318" i="1"/>
  <c r="J318" i="1"/>
  <c r="I318" i="1"/>
  <c r="H318" i="1"/>
  <c r="F318" i="1"/>
  <c r="E318" i="1"/>
  <c r="D318" i="1"/>
  <c r="AG317" i="1"/>
  <c r="AE317" i="1"/>
  <c r="AD317" i="1"/>
  <c r="AB317" i="1"/>
  <c r="AA317" i="1"/>
  <c r="Y317" i="1"/>
  <c r="W317" i="1"/>
  <c r="U317" i="1"/>
  <c r="S317" i="1"/>
  <c r="Q317" i="1"/>
  <c r="P317" i="1"/>
  <c r="N317" i="1"/>
  <c r="L317" i="1"/>
  <c r="J317" i="1"/>
  <c r="I317" i="1"/>
  <c r="H317" i="1"/>
  <c r="F317" i="1"/>
  <c r="E317" i="1"/>
  <c r="D317" i="1"/>
  <c r="AG316" i="1"/>
  <c r="AE316" i="1"/>
  <c r="AD316" i="1"/>
  <c r="AB316" i="1"/>
  <c r="AA316" i="1"/>
  <c r="Y316" i="1"/>
  <c r="W316" i="1"/>
  <c r="U316" i="1"/>
  <c r="S316" i="1"/>
  <c r="Q316" i="1"/>
  <c r="P316" i="1"/>
  <c r="N316" i="1"/>
  <c r="L316" i="1"/>
  <c r="J316" i="1"/>
  <c r="I316" i="1"/>
  <c r="H316" i="1"/>
  <c r="F316" i="1"/>
  <c r="E316" i="1"/>
  <c r="D316" i="1"/>
  <c r="AG315" i="1"/>
  <c r="AE315" i="1"/>
  <c r="AD315" i="1"/>
  <c r="AB315" i="1"/>
  <c r="AA315" i="1"/>
  <c r="Y315" i="1"/>
  <c r="W315" i="1"/>
  <c r="U315" i="1"/>
  <c r="S315" i="1"/>
  <c r="Q315" i="1"/>
  <c r="P315" i="1"/>
  <c r="N315" i="1"/>
  <c r="L315" i="1"/>
  <c r="J315" i="1"/>
  <c r="I315" i="1"/>
  <c r="H315" i="1"/>
  <c r="G315" i="1"/>
  <c r="F315" i="1"/>
  <c r="E315" i="1"/>
  <c r="D315" i="1"/>
  <c r="AG314" i="1"/>
  <c r="AE314" i="1"/>
  <c r="AD314" i="1"/>
  <c r="AB314" i="1"/>
  <c r="AA314" i="1"/>
  <c r="Y314" i="1"/>
  <c r="W314" i="1"/>
  <c r="U314" i="1"/>
  <c r="S314" i="1"/>
  <c r="Q314" i="1"/>
  <c r="P314" i="1"/>
  <c r="N314" i="1"/>
  <c r="L314" i="1"/>
  <c r="J314" i="1"/>
  <c r="I314" i="1"/>
  <c r="H314" i="1"/>
  <c r="G314" i="1"/>
  <c r="F314" i="1"/>
  <c r="E314" i="1"/>
  <c r="D314" i="1"/>
  <c r="AG313" i="1"/>
  <c r="AE313" i="1"/>
  <c r="AD313" i="1"/>
  <c r="AB313" i="1"/>
  <c r="AA313" i="1"/>
  <c r="Y313" i="1"/>
  <c r="W313" i="1"/>
  <c r="U313" i="1"/>
  <c r="S313" i="1"/>
  <c r="Q313" i="1"/>
  <c r="P313" i="1"/>
  <c r="N313" i="1"/>
  <c r="L313" i="1"/>
  <c r="J313" i="1"/>
  <c r="I313" i="1"/>
  <c r="H313" i="1"/>
  <c r="G313" i="1"/>
  <c r="F313" i="1"/>
  <c r="E313" i="1"/>
  <c r="D313" i="1"/>
  <c r="AG312" i="1"/>
  <c r="AE312" i="1"/>
  <c r="AD312" i="1"/>
  <c r="AB312" i="1"/>
  <c r="AA312" i="1"/>
  <c r="Y312" i="1"/>
  <c r="W312" i="1"/>
  <c r="U312" i="1"/>
  <c r="S312" i="1"/>
  <c r="Q312" i="1"/>
  <c r="P312" i="1"/>
  <c r="N312" i="1"/>
  <c r="L312" i="1"/>
  <c r="J312" i="1"/>
  <c r="I312" i="1"/>
  <c r="H312" i="1"/>
  <c r="F312" i="1"/>
  <c r="E312" i="1"/>
  <c r="D312" i="1"/>
  <c r="AG311" i="1"/>
  <c r="AE311" i="1"/>
  <c r="AD311" i="1"/>
  <c r="AB311" i="1"/>
  <c r="AA311" i="1"/>
  <c r="Y311" i="1"/>
  <c r="W311" i="1"/>
  <c r="U311" i="1"/>
  <c r="S311" i="1"/>
  <c r="Q311" i="1"/>
  <c r="P311" i="1"/>
  <c r="N311" i="1"/>
  <c r="L311" i="1"/>
  <c r="J311" i="1"/>
  <c r="I311" i="1"/>
  <c r="H311" i="1"/>
  <c r="F311" i="1"/>
  <c r="E311" i="1"/>
  <c r="D311" i="1"/>
  <c r="AG310" i="1"/>
  <c r="AE310" i="1"/>
  <c r="AD310" i="1"/>
  <c r="AB310" i="1"/>
  <c r="AA310" i="1"/>
  <c r="Y310" i="1"/>
  <c r="W310" i="1"/>
  <c r="U310" i="1"/>
  <c r="S310" i="1"/>
  <c r="Q310" i="1"/>
  <c r="P310" i="1"/>
  <c r="N310" i="1"/>
  <c r="L310" i="1"/>
  <c r="J310" i="1"/>
  <c r="I310" i="1"/>
  <c r="H310" i="1"/>
  <c r="F310" i="1"/>
  <c r="E310" i="1"/>
  <c r="D310" i="1"/>
  <c r="AG309" i="1"/>
  <c r="AE309" i="1"/>
  <c r="AD309" i="1"/>
  <c r="AB309" i="1"/>
  <c r="AA309" i="1"/>
  <c r="Y309" i="1"/>
  <c r="X309" i="1"/>
  <c r="W309" i="1"/>
  <c r="U309" i="1"/>
  <c r="S309" i="1"/>
  <c r="Q309" i="1"/>
  <c r="O309" i="1"/>
  <c r="P309" i="1" s="1"/>
  <c r="N309" i="1"/>
  <c r="L309" i="1"/>
  <c r="J309" i="1"/>
  <c r="I309" i="1"/>
  <c r="H309" i="1"/>
  <c r="G309" i="1"/>
  <c r="F309" i="1"/>
  <c r="E309" i="1"/>
  <c r="D309" i="1"/>
  <c r="AG308" i="1"/>
  <c r="AE308" i="1"/>
  <c r="AD308" i="1"/>
  <c r="AB308" i="1"/>
  <c r="AA308" i="1"/>
  <c r="Y308" i="1"/>
  <c r="W308" i="1"/>
  <c r="U308" i="1"/>
  <c r="S308" i="1"/>
  <c r="Q308" i="1"/>
  <c r="P308" i="1"/>
  <c r="N308" i="1"/>
  <c r="L308" i="1"/>
  <c r="J308" i="1"/>
  <c r="I308" i="1"/>
  <c r="H308" i="1"/>
  <c r="G308" i="1"/>
  <c r="F308" i="1"/>
  <c r="E308" i="1"/>
  <c r="D308" i="1"/>
  <c r="AG307" i="1"/>
  <c r="AE307" i="1"/>
  <c r="AD307" i="1"/>
  <c r="AB307" i="1"/>
  <c r="AA307" i="1"/>
  <c r="Y307" i="1"/>
  <c r="W307" i="1"/>
  <c r="U307" i="1"/>
  <c r="S307" i="1"/>
  <c r="Q307" i="1"/>
  <c r="P307" i="1"/>
  <c r="N307" i="1"/>
  <c r="L307" i="1"/>
  <c r="J307" i="1"/>
  <c r="I307" i="1"/>
  <c r="H307" i="1"/>
  <c r="G307" i="1"/>
  <c r="F307" i="1"/>
  <c r="E307" i="1"/>
  <c r="D307" i="1"/>
  <c r="AG306" i="1"/>
  <c r="AE306" i="1"/>
  <c r="AD306" i="1"/>
  <c r="AB306" i="1"/>
  <c r="AA306" i="1"/>
  <c r="Y306" i="1"/>
  <c r="W306" i="1"/>
  <c r="U306" i="1"/>
  <c r="S306" i="1"/>
  <c r="Q306" i="1"/>
  <c r="P306" i="1"/>
  <c r="N306" i="1"/>
  <c r="L306" i="1"/>
  <c r="J306" i="1"/>
  <c r="I306" i="1"/>
  <c r="H306" i="1"/>
  <c r="G306" i="1"/>
  <c r="F306" i="1"/>
  <c r="E306" i="1"/>
  <c r="D306" i="1"/>
  <c r="AG305" i="1"/>
  <c r="AE305" i="1"/>
  <c r="AD305" i="1"/>
  <c r="AB305" i="1"/>
  <c r="AA305" i="1"/>
  <c r="Y305" i="1"/>
  <c r="W305" i="1"/>
  <c r="U305" i="1"/>
  <c r="S305" i="1"/>
  <c r="Q305" i="1"/>
  <c r="P305" i="1"/>
  <c r="N305" i="1"/>
  <c r="L305" i="1"/>
  <c r="J305" i="1"/>
  <c r="I305" i="1"/>
  <c r="H305" i="1"/>
  <c r="G305" i="1"/>
  <c r="F305" i="1"/>
  <c r="E305" i="1"/>
  <c r="D305" i="1"/>
  <c r="AG304" i="1"/>
  <c r="AE304" i="1"/>
  <c r="AD304" i="1"/>
  <c r="AB304" i="1"/>
  <c r="AA304" i="1"/>
  <c r="Y304" i="1"/>
  <c r="W304" i="1"/>
  <c r="U304" i="1"/>
  <c r="S304" i="1"/>
  <c r="Q304" i="1"/>
  <c r="O304" i="1"/>
  <c r="P304" i="1" s="1"/>
  <c r="N304" i="1"/>
  <c r="L304" i="1"/>
  <c r="J304" i="1"/>
  <c r="I304" i="1"/>
  <c r="H304" i="1"/>
  <c r="G304" i="1"/>
  <c r="F304" i="1"/>
  <c r="E304" i="1"/>
  <c r="D304" i="1"/>
  <c r="AG303" i="1"/>
  <c r="AE303" i="1"/>
  <c r="AD303" i="1"/>
  <c r="AB303" i="1"/>
  <c r="AA303" i="1"/>
  <c r="Y303" i="1"/>
  <c r="W303" i="1"/>
  <c r="U303" i="1"/>
  <c r="S303" i="1"/>
  <c r="Q303" i="1"/>
  <c r="P303" i="1"/>
  <c r="N303" i="1"/>
  <c r="L303" i="1"/>
  <c r="J303" i="1"/>
  <c r="I303" i="1"/>
  <c r="H303" i="1"/>
  <c r="G303" i="1"/>
  <c r="F303" i="1"/>
  <c r="E303" i="1"/>
  <c r="D303" i="1"/>
  <c r="AG302" i="1"/>
  <c r="AE302" i="1"/>
  <c r="AD302" i="1"/>
  <c r="AB302" i="1"/>
  <c r="AA302" i="1"/>
  <c r="Y302" i="1"/>
  <c r="W302" i="1"/>
  <c r="U302" i="1"/>
  <c r="S302" i="1"/>
  <c r="Q302" i="1"/>
  <c r="P302" i="1"/>
  <c r="N302" i="1"/>
  <c r="L302" i="1"/>
  <c r="J302" i="1"/>
  <c r="I302" i="1"/>
  <c r="H302" i="1"/>
  <c r="F302" i="1"/>
  <c r="E302" i="1"/>
  <c r="D302" i="1"/>
  <c r="AG301" i="1"/>
  <c r="AE301" i="1"/>
  <c r="AD301" i="1"/>
  <c r="AB301" i="1"/>
  <c r="AA301" i="1"/>
  <c r="Y301" i="1"/>
  <c r="W301" i="1"/>
  <c r="U301" i="1"/>
  <c r="S301" i="1"/>
  <c r="Q301" i="1"/>
  <c r="P301" i="1"/>
  <c r="N301" i="1"/>
  <c r="L301" i="1"/>
  <c r="J301" i="1"/>
  <c r="I301" i="1"/>
  <c r="H301" i="1"/>
  <c r="G301" i="1"/>
  <c r="F301" i="1"/>
  <c r="E301" i="1"/>
  <c r="D301" i="1"/>
  <c r="AG300" i="1"/>
  <c r="AE300" i="1"/>
  <c r="AD300" i="1"/>
  <c r="AB300" i="1"/>
  <c r="AA300" i="1"/>
  <c r="Y300" i="1"/>
  <c r="W300" i="1"/>
  <c r="U300" i="1"/>
  <c r="S300" i="1"/>
  <c r="Q300" i="1"/>
  <c r="P300" i="1"/>
  <c r="N300" i="1"/>
  <c r="L300" i="1"/>
  <c r="J300" i="1"/>
  <c r="I300" i="1"/>
  <c r="H300" i="1"/>
  <c r="G300" i="1"/>
  <c r="F300" i="1"/>
  <c r="E300" i="1"/>
  <c r="D300" i="1"/>
  <c r="AG299" i="1"/>
  <c r="AE299" i="1"/>
  <c r="AD299" i="1"/>
  <c r="AB299" i="1"/>
  <c r="AA299" i="1"/>
  <c r="Y299" i="1"/>
  <c r="W299" i="1"/>
  <c r="U299" i="1"/>
  <c r="S299" i="1"/>
  <c r="Q299" i="1"/>
  <c r="P299" i="1"/>
  <c r="N299" i="1"/>
  <c r="L299" i="1"/>
  <c r="J299" i="1"/>
  <c r="I299" i="1"/>
  <c r="H299" i="1"/>
  <c r="G299" i="1"/>
  <c r="F299" i="1"/>
  <c r="E299" i="1"/>
  <c r="D299" i="1"/>
  <c r="AG298" i="1"/>
  <c r="AE298" i="1"/>
  <c r="AD298" i="1"/>
  <c r="AB298" i="1"/>
  <c r="AA298" i="1"/>
  <c r="Y298" i="1"/>
  <c r="W298" i="1"/>
  <c r="U298" i="1"/>
  <c r="S298" i="1"/>
  <c r="Q298" i="1"/>
  <c r="P298" i="1"/>
  <c r="N298" i="1"/>
  <c r="L298" i="1"/>
  <c r="J298" i="1"/>
  <c r="I298" i="1"/>
  <c r="H298" i="1"/>
  <c r="G298" i="1"/>
  <c r="F298" i="1"/>
  <c r="E298" i="1"/>
  <c r="D298" i="1"/>
  <c r="AG297" i="1"/>
  <c r="AE297" i="1"/>
  <c r="AC297" i="1"/>
  <c r="AD297" i="1" s="1"/>
  <c r="AB297" i="1"/>
  <c r="AA297" i="1"/>
  <c r="Y297" i="1"/>
  <c r="W297" i="1"/>
  <c r="U297" i="1"/>
  <c r="S297" i="1"/>
  <c r="Q297" i="1"/>
  <c r="P297" i="1"/>
  <c r="N297" i="1"/>
  <c r="L297" i="1"/>
  <c r="J297" i="1"/>
  <c r="I297" i="1"/>
  <c r="H297" i="1"/>
  <c r="G297" i="1"/>
  <c r="F297" i="1"/>
  <c r="E297" i="1"/>
  <c r="D297" i="1"/>
  <c r="AG296" i="1"/>
  <c r="AE296" i="1"/>
  <c r="AD296" i="1"/>
  <c r="AB296" i="1"/>
  <c r="AA296" i="1"/>
  <c r="Y296" i="1"/>
  <c r="W296" i="1"/>
  <c r="U296" i="1"/>
  <c r="S296" i="1"/>
  <c r="Q296" i="1"/>
  <c r="P296" i="1"/>
  <c r="N296" i="1"/>
  <c r="L296" i="1"/>
  <c r="J296" i="1"/>
  <c r="I296" i="1"/>
  <c r="H296" i="1"/>
  <c r="G296" i="1"/>
  <c r="F296" i="1"/>
  <c r="E296" i="1"/>
  <c r="D296" i="1"/>
  <c r="AG295" i="1"/>
  <c r="AE295" i="1"/>
  <c r="AD295" i="1"/>
  <c r="AB295" i="1"/>
  <c r="AA295" i="1"/>
  <c r="Y295" i="1"/>
  <c r="W295" i="1"/>
  <c r="U295" i="1"/>
  <c r="S295" i="1"/>
  <c r="Q295" i="1"/>
  <c r="P295" i="1"/>
  <c r="N295" i="1"/>
  <c r="L295" i="1"/>
  <c r="J295" i="1"/>
  <c r="I295" i="1"/>
  <c r="H295" i="1"/>
  <c r="G295" i="1"/>
  <c r="F295" i="1"/>
  <c r="E295" i="1"/>
  <c r="D295" i="1"/>
  <c r="AG294" i="1"/>
  <c r="AE294" i="1"/>
  <c r="AD294" i="1"/>
  <c r="AB294" i="1"/>
  <c r="AA294" i="1"/>
  <c r="Y294" i="1"/>
  <c r="W294" i="1"/>
  <c r="U294" i="1"/>
  <c r="S294" i="1"/>
  <c r="Q294" i="1"/>
  <c r="P294" i="1"/>
  <c r="N294" i="1"/>
  <c r="L294" i="1"/>
  <c r="J294" i="1"/>
  <c r="I294" i="1"/>
  <c r="H294" i="1"/>
  <c r="G294" i="1"/>
  <c r="F294" i="1"/>
  <c r="E294" i="1"/>
  <c r="D294" i="1"/>
  <c r="AG293" i="1"/>
  <c r="AE293" i="1"/>
  <c r="AD293" i="1"/>
  <c r="AB293" i="1"/>
  <c r="AA293" i="1"/>
  <c r="Y293" i="1"/>
  <c r="W293" i="1"/>
  <c r="U293" i="1"/>
  <c r="S293" i="1"/>
  <c r="Q293" i="1"/>
  <c r="P293" i="1"/>
  <c r="N293" i="1"/>
  <c r="L293" i="1"/>
  <c r="J293" i="1"/>
  <c r="I293" i="1"/>
  <c r="H293" i="1"/>
  <c r="G293" i="1"/>
  <c r="F293" i="1"/>
  <c r="E293" i="1"/>
  <c r="D293" i="1"/>
  <c r="AG292" i="1"/>
  <c r="AE292" i="1"/>
  <c r="AD292" i="1"/>
  <c r="AB292" i="1"/>
  <c r="AA292" i="1"/>
  <c r="Y292" i="1"/>
  <c r="W292" i="1"/>
  <c r="U292" i="1"/>
  <c r="S292" i="1"/>
  <c r="Q292" i="1"/>
  <c r="P292" i="1"/>
  <c r="N292" i="1"/>
  <c r="L292" i="1"/>
  <c r="J292" i="1"/>
  <c r="I292" i="1"/>
  <c r="H292" i="1"/>
  <c r="G292" i="1"/>
  <c r="F292" i="1"/>
  <c r="E292" i="1"/>
  <c r="D292" i="1"/>
  <c r="AG291" i="1"/>
  <c r="AE291" i="1"/>
  <c r="AD291" i="1"/>
  <c r="AB291" i="1"/>
  <c r="AA291" i="1"/>
  <c r="Y291" i="1"/>
  <c r="X291" i="1"/>
  <c r="W291" i="1"/>
  <c r="U291" i="1"/>
  <c r="S291" i="1"/>
  <c r="Q291" i="1"/>
  <c r="P291" i="1"/>
  <c r="N291" i="1"/>
  <c r="L291" i="1"/>
  <c r="J291" i="1"/>
  <c r="I291" i="1"/>
  <c r="H291" i="1"/>
  <c r="G291" i="1"/>
  <c r="F291" i="1"/>
  <c r="E291" i="1"/>
  <c r="D291" i="1"/>
  <c r="AG290" i="1"/>
  <c r="AE290" i="1"/>
  <c r="AD290" i="1"/>
  <c r="AB290" i="1"/>
  <c r="AA290" i="1"/>
  <c r="Y290" i="1"/>
  <c r="W290" i="1"/>
  <c r="U290" i="1"/>
  <c r="S290" i="1"/>
  <c r="Q290" i="1"/>
  <c r="P290" i="1"/>
  <c r="N290" i="1"/>
  <c r="L290" i="1"/>
  <c r="J290" i="1"/>
  <c r="I290" i="1"/>
  <c r="H290" i="1"/>
  <c r="G290" i="1"/>
  <c r="F290" i="1"/>
  <c r="E290" i="1"/>
  <c r="D290" i="1"/>
  <c r="AG289" i="1"/>
  <c r="AE289" i="1"/>
  <c r="AD289" i="1"/>
  <c r="AB289" i="1"/>
  <c r="AA289" i="1"/>
  <c r="Y289" i="1"/>
  <c r="W289" i="1"/>
  <c r="U289" i="1"/>
  <c r="T289" i="1"/>
  <c r="S289" i="1"/>
  <c r="Q289" i="1"/>
  <c r="P289" i="1"/>
  <c r="N289" i="1"/>
  <c r="L289" i="1"/>
  <c r="J289" i="1"/>
  <c r="I289" i="1"/>
  <c r="H289" i="1"/>
  <c r="G289" i="1"/>
  <c r="F289" i="1"/>
  <c r="E289" i="1"/>
  <c r="D289" i="1"/>
  <c r="AG288" i="1"/>
  <c r="AE288" i="1"/>
  <c r="AD288" i="1"/>
  <c r="AB288" i="1"/>
  <c r="AA288" i="1"/>
  <c r="Y288" i="1"/>
  <c r="W288" i="1"/>
  <c r="U288" i="1"/>
  <c r="S288" i="1"/>
  <c r="Q288" i="1"/>
  <c r="P288" i="1"/>
  <c r="N288" i="1"/>
  <c r="L288" i="1"/>
  <c r="J288" i="1"/>
  <c r="I288" i="1"/>
  <c r="H288" i="1"/>
  <c r="F288" i="1"/>
  <c r="E288" i="1"/>
  <c r="D288" i="1"/>
  <c r="AH287" i="1"/>
  <c r="AG287" i="1"/>
  <c r="AE287" i="1"/>
  <c r="AD287" i="1"/>
  <c r="AB287" i="1"/>
  <c r="AA287" i="1"/>
  <c r="Y287" i="1"/>
  <c r="W287" i="1"/>
  <c r="U287" i="1"/>
  <c r="S287" i="1"/>
  <c r="Q287" i="1"/>
  <c r="P287" i="1"/>
  <c r="N287" i="1"/>
  <c r="L287" i="1"/>
  <c r="J287" i="1"/>
  <c r="I287" i="1"/>
  <c r="H287" i="1"/>
  <c r="G287" i="1"/>
  <c r="F287" i="1"/>
  <c r="E287" i="1"/>
  <c r="D287" i="1"/>
  <c r="AG286" i="1"/>
  <c r="AE286" i="1"/>
  <c r="AD286" i="1"/>
  <c r="AB286" i="1"/>
  <c r="AA286" i="1"/>
  <c r="Y286" i="1"/>
  <c r="W286" i="1"/>
  <c r="V286" i="1"/>
  <c r="U286" i="1"/>
  <c r="S286" i="1"/>
  <c r="Q286" i="1"/>
  <c r="P286" i="1"/>
  <c r="N286" i="1"/>
  <c r="L286" i="1"/>
  <c r="J286" i="1"/>
  <c r="I286" i="1"/>
  <c r="H286" i="1"/>
  <c r="G286" i="1"/>
  <c r="F286" i="1"/>
  <c r="E286" i="1"/>
  <c r="D286" i="1"/>
  <c r="AG285" i="1"/>
  <c r="AE285" i="1"/>
  <c r="AD285" i="1"/>
  <c r="AB285" i="1"/>
  <c r="AA285" i="1"/>
  <c r="Y285" i="1"/>
  <c r="W285" i="1"/>
  <c r="U285" i="1"/>
  <c r="S285" i="1"/>
  <c r="Q285" i="1"/>
  <c r="P285" i="1"/>
  <c r="N285" i="1"/>
  <c r="L285" i="1"/>
  <c r="J285" i="1"/>
  <c r="I285" i="1"/>
  <c r="H285" i="1"/>
  <c r="G285" i="1"/>
  <c r="F285" i="1"/>
  <c r="E285" i="1"/>
  <c r="D285" i="1"/>
  <c r="AG284" i="1"/>
  <c r="AE284" i="1"/>
  <c r="AD284" i="1"/>
  <c r="AB284" i="1"/>
  <c r="AA284" i="1"/>
  <c r="Y284" i="1"/>
  <c r="W284" i="1"/>
  <c r="U284" i="1"/>
  <c r="S284" i="1"/>
  <c r="Q284" i="1"/>
  <c r="P284" i="1"/>
  <c r="N284" i="1"/>
  <c r="L284" i="1"/>
  <c r="J284" i="1"/>
  <c r="I284" i="1"/>
  <c r="H284" i="1"/>
  <c r="G284" i="1"/>
  <c r="F284" i="1"/>
  <c r="E284" i="1"/>
  <c r="D284" i="1"/>
  <c r="AG283" i="1"/>
  <c r="AE283" i="1"/>
  <c r="AD283" i="1"/>
  <c r="AB283" i="1"/>
  <c r="AA283" i="1"/>
  <c r="Y283" i="1"/>
  <c r="W283" i="1"/>
  <c r="U283" i="1"/>
  <c r="S283" i="1"/>
  <c r="Q283" i="1"/>
  <c r="P283" i="1"/>
  <c r="N283" i="1"/>
  <c r="L283" i="1"/>
  <c r="J283" i="1"/>
  <c r="I283" i="1"/>
  <c r="H283" i="1"/>
  <c r="G283" i="1"/>
  <c r="F283" i="1"/>
  <c r="E283" i="1"/>
  <c r="D283" i="1"/>
  <c r="AG282" i="1"/>
  <c r="AE282" i="1"/>
  <c r="AD282" i="1"/>
  <c r="AB282" i="1"/>
  <c r="AA282" i="1"/>
  <c r="Y282" i="1"/>
  <c r="W282" i="1"/>
  <c r="U282" i="1"/>
  <c r="S282" i="1"/>
  <c r="Q282" i="1"/>
  <c r="P282" i="1"/>
  <c r="N282" i="1"/>
  <c r="L282" i="1"/>
  <c r="J282" i="1"/>
  <c r="I282" i="1"/>
  <c r="H282" i="1"/>
  <c r="G282" i="1"/>
  <c r="F282" i="1"/>
  <c r="E282" i="1"/>
  <c r="D282" i="1"/>
  <c r="AG281" i="1"/>
  <c r="AE281" i="1"/>
  <c r="AD281" i="1"/>
  <c r="AB281" i="1"/>
  <c r="AA281" i="1"/>
  <c r="Y281" i="1"/>
  <c r="W281" i="1"/>
  <c r="U281" i="1"/>
  <c r="S281" i="1"/>
  <c r="Q281" i="1"/>
  <c r="P281" i="1"/>
  <c r="N281" i="1"/>
  <c r="L281" i="1"/>
  <c r="J281" i="1"/>
  <c r="I281" i="1"/>
  <c r="H281" i="1"/>
  <c r="G281" i="1"/>
  <c r="F281" i="1"/>
  <c r="E281" i="1"/>
  <c r="D281" i="1"/>
  <c r="AG280" i="1"/>
  <c r="AE280" i="1"/>
  <c r="AD280" i="1"/>
  <c r="AB280" i="1"/>
  <c r="AA280" i="1"/>
  <c r="Y280" i="1"/>
  <c r="W280" i="1"/>
  <c r="U280" i="1"/>
  <c r="S280" i="1"/>
  <c r="Q280" i="1"/>
  <c r="P280" i="1"/>
  <c r="N280" i="1"/>
  <c r="L280" i="1"/>
  <c r="J280" i="1"/>
  <c r="I280" i="1"/>
  <c r="H280" i="1"/>
  <c r="G280" i="1"/>
  <c r="F280" i="1"/>
  <c r="E280" i="1"/>
  <c r="D280" i="1"/>
  <c r="AG279" i="1"/>
  <c r="AE279" i="1"/>
  <c r="AD279" i="1"/>
  <c r="AB279" i="1"/>
  <c r="AA279" i="1"/>
  <c r="Y279" i="1"/>
  <c r="W279" i="1"/>
  <c r="U279" i="1"/>
  <c r="S279" i="1"/>
  <c r="Q279" i="1"/>
  <c r="P279" i="1"/>
  <c r="N279" i="1"/>
  <c r="L279" i="1"/>
  <c r="J279" i="1"/>
  <c r="I279" i="1"/>
  <c r="H279" i="1"/>
  <c r="F279" i="1"/>
  <c r="E279" i="1"/>
  <c r="D279" i="1"/>
  <c r="AG278" i="1"/>
  <c r="AE278" i="1"/>
  <c r="AD278" i="1"/>
  <c r="AB278" i="1"/>
  <c r="AA278" i="1"/>
  <c r="Y278" i="1"/>
  <c r="X278" i="1"/>
  <c r="W278" i="1"/>
  <c r="U278" i="1"/>
  <c r="S278" i="1"/>
  <c r="Q278" i="1"/>
  <c r="P278" i="1"/>
  <c r="N278" i="1"/>
  <c r="L278" i="1"/>
  <c r="K278" i="1"/>
  <c r="J278" i="1"/>
  <c r="I278" i="1"/>
  <c r="H278" i="1"/>
  <c r="G278" i="1"/>
  <c r="F278" i="1"/>
  <c r="E278" i="1"/>
  <c r="D278" i="1"/>
  <c r="AG277" i="1"/>
  <c r="AF277" i="1"/>
  <c r="AE277" i="1"/>
  <c r="AD277" i="1"/>
  <c r="AB277" i="1"/>
  <c r="Z277" i="1"/>
  <c r="AA277" i="1" s="1"/>
  <c r="Y277" i="1"/>
  <c r="W277" i="1"/>
  <c r="U277" i="1"/>
  <c r="S277" i="1"/>
  <c r="Q277" i="1"/>
  <c r="P277" i="1"/>
  <c r="N277" i="1"/>
  <c r="L277" i="1"/>
  <c r="J277" i="1"/>
  <c r="I277" i="1"/>
  <c r="H277" i="1"/>
  <c r="G277" i="1"/>
  <c r="F277" i="1"/>
  <c r="E277" i="1"/>
  <c r="D277" i="1"/>
  <c r="AG276" i="1"/>
  <c r="AE276" i="1"/>
  <c r="AD276" i="1"/>
  <c r="AB276" i="1"/>
  <c r="Z276" i="1"/>
  <c r="AA276" i="1" s="1"/>
  <c r="Y276" i="1"/>
  <c r="W276" i="1"/>
  <c r="U276" i="1"/>
  <c r="S276" i="1"/>
  <c r="Q276" i="1"/>
  <c r="P276" i="1"/>
  <c r="N276" i="1"/>
  <c r="L276" i="1"/>
  <c r="J276" i="1"/>
  <c r="I276" i="1"/>
  <c r="H276" i="1"/>
  <c r="G276" i="1"/>
  <c r="F276" i="1"/>
  <c r="E276" i="1"/>
  <c r="D276" i="1"/>
  <c r="AG275" i="1"/>
  <c r="AE275" i="1"/>
  <c r="AD275" i="1"/>
  <c r="AB275" i="1"/>
  <c r="AA275" i="1"/>
  <c r="Y275" i="1"/>
  <c r="W275" i="1"/>
  <c r="V275" i="1"/>
  <c r="U275" i="1"/>
  <c r="S275" i="1"/>
  <c r="Q275" i="1"/>
  <c r="P275" i="1"/>
  <c r="N275" i="1"/>
  <c r="L275" i="1"/>
  <c r="J275" i="1"/>
  <c r="I275" i="1"/>
  <c r="H275" i="1"/>
  <c r="G275" i="1"/>
  <c r="F275" i="1"/>
  <c r="E275" i="1"/>
  <c r="D275" i="1"/>
  <c r="AG274" i="1"/>
  <c r="AE274" i="1"/>
  <c r="AD274" i="1"/>
  <c r="AB274" i="1"/>
  <c r="AA274" i="1"/>
  <c r="Y274" i="1"/>
  <c r="W274" i="1"/>
  <c r="U274" i="1"/>
  <c r="S274" i="1"/>
  <c r="Q274" i="1"/>
  <c r="P274" i="1"/>
  <c r="N274" i="1"/>
  <c r="L274" i="1"/>
  <c r="J274" i="1"/>
  <c r="I274" i="1"/>
  <c r="H274" i="1"/>
  <c r="G274" i="1"/>
  <c r="F274" i="1"/>
  <c r="E274" i="1"/>
  <c r="D274" i="1"/>
  <c r="AG273" i="1"/>
  <c r="AE273" i="1"/>
  <c r="AD273" i="1"/>
  <c r="AB273" i="1"/>
  <c r="AA273" i="1"/>
  <c r="Y273" i="1"/>
  <c r="W273" i="1"/>
  <c r="U273" i="1"/>
  <c r="S273" i="1"/>
  <c r="Q273" i="1"/>
  <c r="O273" i="1"/>
  <c r="P273" i="1" s="1"/>
  <c r="N273" i="1"/>
  <c r="L273" i="1"/>
  <c r="J273" i="1"/>
  <c r="I273" i="1"/>
  <c r="H273" i="1"/>
  <c r="G273" i="1"/>
  <c r="F273" i="1"/>
  <c r="E273" i="1"/>
  <c r="D273" i="1"/>
  <c r="AG272" i="1"/>
  <c r="AE272" i="1"/>
  <c r="AD272" i="1"/>
  <c r="AB272" i="1"/>
  <c r="AA272" i="1"/>
  <c r="Y272" i="1"/>
  <c r="W272" i="1"/>
  <c r="V272" i="1"/>
  <c r="U272" i="1"/>
  <c r="S272" i="1"/>
  <c r="Q272" i="1"/>
  <c r="P272" i="1"/>
  <c r="N272" i="1"/>
  <c r="L272" i="1"/>
  <c r="K272" i="1"/>
  <c r="J272" i="1"/>
  <c r="I272" i="1"/>
  <c r="H272" i="1"/>
  <c r="G272" i="1"/>
  <c r="F272" i="1"/>
  <c r="E272" i="1"/>
  <c r="D272" i="1"/>
  <c r="AG271" i="1"/>
  <c r="AE271" i="1"/>
  <c r="AD271" i="1"/>
  <c r="AB271" i="1"/>
  <c r="AA271" i="1"/>
  <c r="Y271" i="1"/>
  <c r="W271" i="1"/>
  <c r="U271" i="1"/>
  <c r="S271" i="1"/>
  <c r="Q271" i="1"/>
  <c r="P271" i="1"/>
  <c r="N271" i="1"/>
  <c r="L271" i="1"/>
  <c r="J271" i="1"/>
  <c r="I271" i="1"/>
  <c r="H271" i="1"/>
  <c r="G271" i="1"/>
  <c r="F271" i="1"/>
  <c r="E271" i="1"/>
  <c r="D271" i="1"/>
  <c r="AG270" i="1"/>
  <c r="AE270" i="1"/>
  <c r="AD270" i="1"/>
  <c r="AB270" i="1"/>
  <c r="AA270" i="1"/>
  <c r="Y270" i="1"/>
  <c r="W270" i="1"/>
  <c r="U270" i="1"/>
  <c r="S270" i="1"/>
  <c r="Q270" i="1"/>
  <c r="P270" i="1"/>
  <c r="N270" i="1"/>
  <c r="L270" i="1"/>
  <c r="J270" i="1"/>
  <c r="I270" i="1"/>
  <c r="H270" i="1"/>
  <c r="G270" i="1"/>
  <c r="F270" i="1"/>
  <c r="E270" i="1"/>
  <c r="D270" i="1"/>
  <c r="AG269" i="1"/>
  <c r="AE269" i="1"/>
  <c r="AD269" i="1"/>
  <c r="AB269" i="1"/>
  <c r="AA269" i="1"/>
  <c r="Y269" i="1"/>
  <c r="W269" i="1"/>
  <c r="U269" i="1"/>
  <c r="S269" i="1"/>
  <c r="Q269" i="1"/>
  <c r="P269" i="1"/>
  <c r="N269" i="1"/>
  <c r="L269" i="1"/>
  <c r="J269" i="1"/>
  <c r="I269" i="1"/>
  <c r="H269" i="1"/>
  <c r="G269" i="1"/>
  <c r="F269" i="1"/>
  <c r="E269" i="1"/>
  <c r="D269" i="1"/>
  <c r="AG268" i="1"/>
  <c r="AE268" i="1"/>
  <c r="AD268" i="1"/>
  <c r="AB268" i="1"/>
  <c r="AA268" i="1"/>
  <c r="Y268" i="1"/>
  <c r="W268" i="1"/>
  <c r="U268" i="1"/>
  <c r="S268" i="1"/>
  <c r="Q268" i="1"/>
  <c r="P268" i="1"/>
  <c r="N268" i="1"/>
  <c r="L268" i="1"/>
  <c r="J268" i="1"/>
  <c r="I268" i="1"/>
  <c r="H268" i="1"/>
  <c r="G268" i="1"/>
  <c r="F268" i="1"/>
  <c r="E268" i="1"/>
  <c r="D268" i="1"/>
  <c r="AG267" i="1"/>
  <c r="AF267" i="1"/>
  <c r="AE267" i="1"/>
  <c r="AD267" i="1"/>
  <c r="AB267" i="1"/>
  <c r="AA267" i="1"/>
  <c r="Y267" i="1"/>
  <c r="W267" i="1"/>
  <c r="U267" i="1"/>
  <c r="S267" i="1"/>
  <c r="Q267" i="1"/>
  <c r="P267" i="1"/>
  <c r="N267" i="1"/>
  <c r="L267" i="1"/>
  <c r="J267" i="1"/>
  <c r="I267" i="1"/>
  <c r="H267" i="1"/>
  <c r="F267" i="1"/>
  <c r="E267" i="1"/>
  <c r="D267" i="1"/>
  <c r="AG266" i="1"/>
  <c r="AE266" i="1"/>
  <c r="AD266" i="1"/>
  <c r="AB266" i="1"/>
  <c r="AA266" i="1"/>
  <c r="Y266" i="1"/>
  <c r="W266" i="1"/>
  <c r="U266" i="1"/>
  <c r="S266" i="1"/>
  <c r="Q266" i="1"/>
  <c r="P266" i="1"/>
  <c r="N266" i="1"/>
  <c r="L266" i="1"/>
  <c r="J266" i="1"/>
  <c r="I266" i="1"/>
  <c r="H266" i="1"/>
  <c r="G266" i="1"/>
  <c r="F266" i="1"/>
  <c r="E266" i="1"/>
  <c r="D266" i="1"/>
  <c r="AG265" i="1"/>
  <c r="AE265" i="1"/>
  <c r="AD265" i="1"/>
  <c r="AB265" i="1"/>
  <c r="AA265" i="1"/>
  <c r="Y265" i="1"/>
  <c r="W265" i="1"/>
  <c r="U265" i="1"/>
  <c r="S265" i="1"/>
  <c r="Q265" i="1"/>
  <c r="P265" i="1"/>
  <c r="N265" i="1"/>
  <c r="L265" i="1"/>
  <c r="J265" i="1"/>
  <c r="I265" i="1"/>
  <c r="H265" i="1"/>
  <c r="G265" i="1"/>
  <c r="F265" i="1"/>
  <c r="E265" i="1"/>
  <c r="D265" i="1"/>
  <c r="AG264" i="1"/>
  <c r="AE264" i="1"/>
  <c r="AD264" i="1"/>
  <c r="AB264" i="1"/>
  <c r="AA264" i="1"/>
  <c r="Y264" i="1"/>
  <c r="W264" i="1"/>
  <c r="U264" i="1"/>
  <c r="S264" i="1"/>
  <c r="R264" i="1"/>
  <c r="Q264" i="1"/>
  <c r="P264" i="1"/>
  <c r="N264" i="1"/>
  <c r="L264" i="1"/>
  <c r="J264" i="1"/>
  <c r="I264" i="1"/>
  <c r="H264" i="1"/>
  <c r="G264" i="1"/>
  <c r="F264" i="1"/>
  <c r="E264" i="1"/>
  <c r="D264" i="1"/>
  <c r="AG263" i="1"/>
  <c r="AE263" i="1"/>
  <c r="AD263" i="1"/>
  <c r="AB263" i="1"/>
  <c r="AA263" i="1"/>
  <c r="Y263" i="1"/>
  <c r="W263" i="1"/>
  <c r="U263" i="1"/>
  <c r="S263" i="1"/>
  <c r="Q263" i="1"/>
  <c r="P263" i="1"/>
  <c r="N263" i="1"/>
  <c r="L263" i="1"/>
  <c r="J263" i="1"/>
  <c r="I263" i="1"/>
  <c r="H263" i="1"/>
  <c r="G263" i="1"/>
  <c r="F263" i="1"/>
  <c r="E263" i="1"/>
  <c r="D263" i="1"/>
  <c r="AG262" i="1"/>
  <c r="AE262" i="1"/>
  <c r="AD262" i="1"/>
  <c r="AB262" i="1"/>
  <c r="AA262" i="1"/>
  <c r="Y262" i="1"/>
  <c r="X262" i="1"/>
  <c r="W262" i="1"/>
  <c r="U262" i="1"/>
  <c r="S262" i="1"/>
  <c r="Q262" i="1"/>
  <c r="P262" i="1"/>
  <c r="N262" i="1"/>
  <c r="L262" i="1"/>
  <c r="J262" i="1"/>
  <c r="I262" i="1"/>
  <c r="H262" i="1"/>
  <c r="G262" i="1"/>
  <c r="F262" i="1"/>
  <c r="E262" i="1"/>
  <c r="D262" i="1"/>
  <c r="AG261" i="1"/>
  <c r="AE261" i="1"/>
  <c r="AD261" i="1"/>
  <c r="AB261" i="1"/>
  <c r="AA261" i="1"/>
  <c r="Y261" i="1"/>
  <c r="W261" i="1"/>
  <c r="U261" i="1"/>
  <c r="S261" i="1"/>
  <c r="Q261" i="1"/>
  <c r="P261" i="1"/>
  <c r="N261" i="1"/>
  <c r="L261" i="1"/>
  <c r="J261" i="1"/>
  <c r="I261" i="1"/>
  <c r="H261" i="1"/>
  <c r="G261" i="1"/>
  <c r="F261" i="1"/>
  <c r="E261" i="1"/>
  <c r="D261" i="1"/>
  <c r="AG260" i="1"/>
  <c r="AE260" i="1"/>
  <c r="AD260" i="1"/>
  <c r="AB260" i="1"/>
  <c r="AA260" i="1"/>
  <c r="Y260" i="1"/>
  <c r="W260" i="1"/>
  <c r="U260" i="1"/>
  <c r="S260" i="1"/>
  <c r="Q260" i="1"/>
  <c r="P260" i="1"/>
  <c r="N260" i="1"/>
  <c r="L260" i="1"/>
  <c r="J260" i="1"/>
  <c r="I260" i="1"/>
  <c r="H260" i="1"/>
  <c r="F260" i="1"/>
  <c r="E260" i="1"/>
  <c r="D260" i="1"/>
  <c r="AG259" i="1"/>
  <c r="AE259" i="1"/>
  <c r="AD259" i="1"/>
  <c r="AB259" i="1"/>
  <c r="AA259" i="1"/>
  <c r="Y259" i="1"/>
  <c r="W259" i="1"/>
  <c r="U259" i="1"/>
  <c r="S259" i="1"/>
  <c r="Q259" i="1"/>
  <c r="P259" i="1"/>
  <c r="N259" i="1"/>
  <c r="L259" i="1"/>
  <c r="J259" i="1"/>
  <c r="I259" i="1"/>
  <c r="H259" i="1"/>
  <c r="G259" i="1"/>
  <c r="F259" i="1"/>
  <c r="E259" i="1"/>
  <c r="D259" i="1"/>
  <c r="AG258" i="1"/>
  <c r="AE258" i="1"/>
  <c r="AD258" i="1"/>
  <c r="AB258" i="1"/>
  <c r="AA258" i="1"/>
  <c r="Y258" i="1"/>
  <c r="W258" i="1"/>
  <c r="U258" i="1"/>
  <c r="S258" i="1"/>
  <c r="Q258" i="1"/>
  <c r="P258" i="1"/>
  <c r="N258" i="1"/>
  <c r="L258" i="1"/>
  <c r="J258" i="1"/>
  <c r="I258" i="1"/>
  <c r="H258" i="1"/>
  <c r="G258" i="1"/>
  <c r="F258" i="1"/>
  <c r="E258" i="1"/>
  <c r="D258" i="1"/>
  <c r="AG257" i="1"/>
  <c r="AE257" i="1"/>
  <c r="AD257" i="1"/>
  <c r="AB257" i="1"/>
  <c r="AA257" i="1"/>
  <c r="Y257" i="1"/>
  <c r="W257" i="1"/>
  <c r="U257" i="1"/>
  <c r="S257" i="1"/>
  <c r="Q257" i="1"/>
  <c r="P257" i="1"/>
  <c r="N257" i="1"/>
  <c r="L257" i="1"/>
  <c r="J257" i="1"/>
  <c r="I257" i="1"/>
  <c r="H257" i="1"/>
  <c r="G257" i="1"/>
  <c r="F257" i="1"/>
  <c r="E257" i="1"/>
  <c r="D257" i="1"/>
  <c r="AH256" i="1"/>
  <c r="AG256" i="1"/>
  <c r="AE256" i="1"/>
  <c r="AD256" i="1"/>
  <c r="AB256" i="1"/>
  <c r="AA256" i="1"/>
  <c r="Y256" i="1"/>
  <c r="W256" i="1"/>
  <c r="U256" i="1"/>
  <c r="S256" i="1"/>
  <c r="Q256" i="1"/>
  <c r="P256" i="1"/>
  <c r="N256" i="1"/>
  <c r="L256" i="1"/>
  <c r="J256" i="1"/>
  <c r="I256" i="1"/>
  <c r="H256" i="1"/>
  <c r="G256" i="1"/>
  <c r="F256" i="1"/>
  <c r="E256" i="1"/>
  <c r="D256" i="1"/>
  <c r="AG255" i="1"/>
  <c r="AE255" i="1"/>
  <c r="AD255" i="1"/>
  <c r="AB255" i="1"/>
  <c r="AA255" i="1"/>
  <c r="Y255" i="1"/>
  <c r="W255" i="1"/>
  <c r="U255" i="1"/>
  <c r="S255" i="1"/>
  <c r="Q255" i="1"/>
  <c r="P255" i="1"/>
  <c r="N255" i="1"/>
  <c r="L255" i="1"/>
  <c r="J255" i="1"/>
  <c r="I255" i="1"/>
  <c r="H255" i="1"/>
  <c r="G255" i="1"/>
  <c r="F255" i="1"/>
  <c r="E255" i="1"/>
  <c r="D255" i="1"/>
  <c r="AG254" i="1"/>
  <c r="AE254" i="1"/>
  <c r="AD254" i="1"/>
  <c r="AB254" i="1"/>
  <c r="AA254" i="1"/>
  <c r="Y254" i="1"/>
  <c r="W254" i="1"/>
  <c r="U254" i="1"/>
  <c r="S254" i="1"/>
  <c r="Q254" i="1"/>
  <c r="O254" i="1"/>
  <c r="P254" i="1" s="1"/>
  <c r="N254" i="1"/>
  <c r="L254" i="1"/>
  <c r="J254" i="1"/>
  <c r="I254" i="1"/>
  <c r="H254" i="1"/>
  <c r="G254" i="1"/>
  <c r="F254" i="1"/>
  <c r="E254" i="1"/>
  <c r="D254" i="1"/>
  <c r="AG253" i="1"/>
  <c r="AE253" i="1"/>
  <c r="AC253" i="1"/>
  <c r="AD253" i="1" s="1"/>
  <c r="AB253" i="1"/>
  <c r="AA253" i="1"/>
  <c r="Y253" i="1"/>
  <c r="W253" i="1"/>
  <c r="U253" i="1"/>
  <c r="S253" i="1"/>
  <c r="Q253" i="1"/>
  <c r="P253" i="1"/>
  <c r="N253" i="1"/>
  <c r="L253" i="1"/>
  <c r="J253" i="1"/>
  <c r="I253" i="1"/>
  <c r="H253" i="1"/>
  <c r="F253" i="1"/>
  <c r="E253" i="1"/>
  <c r="D253" i="1"/>
  <c r="AG252" i="1"/>
  <c r="AE252" i="1"/>
  <c r="AD252" i="1"/>
  <c r="AB252" i="1"/>
  <c r="AA252" i="1"/>
  <c r="Y252" i="1"/>
  <c r="W252" i="1"/>
  <c r="U252" i="1"/>
  <c r="S252" i="1"/>
  <c r="Q252" i="1"/>
  <c r="P252" i="1"/>
  <c r="N252" i="1"/>
  <c r="L252" i="1"/>
  <c r="J252" i="1"/>
  <c r="I252" i="1"/>
  <c r="H252" i="1"/>
  <c r="F252" i="1"/>
  <c r="E252" i="1"/>
  <c r="D252" i="1"/>
  <c r="AG251" i="1"/>
  <c r="AF251" i="1"/>
  <c r="AE251" i="1"/>
  <c r="AD251" i="1"/>
  <c r="AB251" i="1"/>
  <c r="AA251" i="1"/>
  <c r="Y251" i="1"/>
  <c r="W251" i="1"/>
  <c r="U251" i="1"/>
  <c r="S251" i="1"/>
  <c r="Q251" i="1"/>
  <c r="P251" i="1"/>
  <c r="N251" i="1"/>
  <c r="L251" i="1"/>
  <c r="J251" i="1"/>
  <c r="I251" i="1"/>
  <c r="H251" i="1"/>
  <c r="G251" i="1"/>
  <c r="F251" i="1"/>
  <c r="E251" i="1"/>
  <c r="D251" i="1"/>
  <c r="AG250" i="1"/>
  <c r="AE250" i="1"/>
  <c r="AD250" i="1"/>
  <c r="AB250" i="1"/>
  <c r="AA250" i="1"/>
  <c r="Y250" i="1"/>
  <c r="W250" i="1"/>
  <c r="U250" i="1"/>
  <c r="S250" i="1"/>
  <c r="R250" i="1"/>
  <c r="Q250" i="1"/>
  <c r="P250" i="1"/>
  <c r="N250" i="1"/>
  <c r="L250" i="1"/>
  <c r="J250" i="1"/>
  <c r="I250" i="1"/>
  <c r="H250" i="1"/>
  <c r="G250" i="1"/>
  <c r="F250" i="1"/>
  <c r="E250" i="1"/>
  <c r="D250" i="1"/>
  <c r="AG249" i="1"/>
  <c r="AE249" i="1"/>
  <c r="AD249" i="1"/>
  <c r="AB249" i="1"/>
  <c r="AA249" i="1"/>
  <c r="Y249" i="1"/>
  <c r="W249" i="1"/>
  <c r="U249" i="1"/>
  <c r="S249" i="1"/>
  <c r="R249" i="1"/>
  <c r="Q249" i="1"/>
  <c r="P249" i="1"/>
  <c r="N249" i="1"/>
  <c r="L249" i="1"/>
  <c r="J249" i="1"/>
  <c r="I249" i="1"/>
  <c r="H249" i="1"/>
  <c r="G249" i="1"/>
  <c r="F249" i="1"/>
  <c r="E249" i="1"/>
  <c r="D249" i="1"/>
  <c r="AG248" i="1"/>
  <c r="AE248" i="1"/>
  <c r="AD248" i="1"/>
  <c r="AB248" i="1"/>
  <c r="AA248" i="1"/>
  <c r="Y248" i="1"/>
  <c r="W248" i="1"/>
  <c r="U248" i="1"/>
  <c r="S248" i="1"/>
  <c r="Q248" i="1"/>
  <c r="P248" i="1"/>
  <c r="N248" i="1"/>
  <c r="L248" i="1"/>
  <c r="J248" i="1"/>
  <c r="I248" i="1"/>
  <c r="H248" i="1"/>
  <c r="G248" i="1"/>
  <c r="F248" i="1"/>
  <c r="E248" i="1"/>
  <c r="D248" i="1"/>
  <c r="AG247" i="1"/>
  <c r="AE247" i="1"/>
  <c r="AD247" i="1"/>
  <c r="AB247" i="1"/>
  <c r="AA247" i="1"/>
  <c r="Y247" i="1"/>
  <c r="W247" i="1"/>
  <c r="U247" i="1"/>
  <c r="S247" i="1"/>
  <c r="Q247" i="1"/>
  <c r="P247" i="1"/>
  <c r="N247" i="1"/>
  <c r="L247" i="1"/>
  <c r="J247" i="1"/>
  <c r="I247" i="1"/>
  <c r="H247" i="1"/>
  <c r="G247" i="1"/>
  <c r="F247" i="1"/>
  <c r="E247" i="1"/>
  <c r="D247" i="1"/>
  <c r="AG246" i="1"/>
  <c r="AE246" i="1"/>
  <c r="AD246" i="1"/>
  <c r="AB246" i="1"/>
  <c r="AA246" i="1"/>
  <c r="Y246" i="1"/>
  <c r="W246" i="1"/>
  <c r="U246" i="1"/>
  <c r="S246" i="1"/>
  <c r="Q246" i="1"/>
  <c r="P246" i="1"/>
  <c r="N246" i="1"/>
  <c r="L246" i="1"/>
  <c r="J246" i="1"/>
  <c r="I246" i="1"/>
  <c r="H246" i="1"/>
  <c r="F246" i="1"/>
  <c r="E246" i="1"/>
  <c r="D246" i="1"/>
  <c r="AG245" i="1"/>
  <c r="AE245" i="1"/>
  <c r="AD245" i="1"/>
  <c r="AB245" i="1"/>
  <c r="AA245" i="1"/>
  <c r="Y245" i="1"/>
  <c r="W245" i="1"/>
  <c r="U245" i="1"/>
  <c r="S245" i="1"/>
  <c r="Q245" i="1"/>
  <c r="P245" i="1"/>
  <c r="N245" i="1"/>
  <c r="L245" i="1"/>
  <c r="K245" i="1"/>
  <c r="J245" i="1"/>
  <c r="I245" i="1"/>
  <c r="H245" i="1"/>
  <c r="G245" i="1"/>
  <c r="F245" i="1"/>
  <c r="E245" i="1"/>
  <c r="D245" i="1"/>
  <c r="AG244" i="1"/>
  <c r="AE244" i="1"/>
  <c r="AD244" i="1"/>
  <c r="AB244" i="1"/>
  <c r="AA244" i="1"/>
  <c r="Y244" i="1"/>
  <c r="X244" i="1"/>
  <c r="W244" i="1"/>
  <c r="U244" i="1"/>
  <c r="S244" i="1"/>
  <c r="Q244" i="1"/>
  <c r="P244" i="1"/>
  <c r="N244" i="1"/>
  <c r="L244" i="1"/>
  <c r="J244" i="1"/>
  <c r="I244" i="1"/>
  <c r="H244" i="1"/>
  <c r="G244" i="1"/>
  <c r="F244" i="1"/>
  <c r="E244" i="1"/>
  <c r="D244" i="1"/>
  <c r="AG243" i="1"/>
  <c r="AF243" i="1"/>
  <c r="AE243" i="1"/>
  <c r="AD243" i="1"/>
  <c r="AB243" i="1"/>
  <c r="AA243" i="1"/>
  <c r="Y243" i="1"/>
  <c r="W243" i="1"/>
  <c r="U243" i="1"/>
  <c r="S243" i="1"/>
  <c r="Q243" i="1"/>
  <c r="P243" i="1"/>
  <c r="N243" i="1"/>
  <c r="L243" i="1"/>
  <c r="J243" i="1"/>
  <c r="I243" i="1"/>
  <c r="H243" i="1"/>
  <c r="G243" i="1"/>
  <c r="F243" i="1"/>
  <c r="E243" i="1"/>
  <c r="D243" i="1"/>
  <c r="AG242" i="1"/>
  <c r="AE242" i="1"/>
  <c r="AD242" i="1"/>
  <c r="AB242" i="1"/>
  <c r="AA242" i="1"/>
  <c r="Y242" i="1"/>
  <c r="W242" i="1"/>
  <c r="U242" i="1"/>
  <c r="S242" i="1"/>
  <c r="Q242" i="1"/>
  <c r="P242" i="1"/>
  <c r="N242" i="1"/>
  <c r="L242" i="1"/>
  <c r="J242" i="1"/>
  <c r="I242" i="1"/>
  <c r="H242" i="1"/>
  <c r="G242" i="1"/>
  <c r="F242" i="1"/>
  <c r="E242" i="1"/>
  <c r="D242" i="1"/>
  <c r="AG241" i="1"/>
  <c r="AE241" i="1"/>
  <c r="AD241" i="1"/>
  <c r="AB241" i="1"/>
  <c r="AA241" i="1"/>
  <c r="Y241" i="1"/>
  <c r="W241" i="1"/>
  <c r="U241" i="1"/>
  <c r="S241" i="1"/>
  <c r="Q241" i="1"/>
  <c r="P241" i="1"/>
  <c r="N241" i="1"/>
  <c r="L241" i="1"/>
  <c r="J241" i="1"/>
  <c r="I241" i="1"/>
  <c r="H241" i="1"/>
  <c r="G241" i="1"/>
  <c r="F241" i="1"/>
  <c r="E241" i="1"/>
  <c r="D241" i="1"/>
  <c r="AG240" i="1"/>
  <c r="AE240" i="1"/>
  <c r="AD240" i="1"/>
  <c r="AB240" i="1"/>
  <c r="AA240" i="1"/>
  <c r="Y240" i="1"/>
  <c r="W240" i="1"/>
  <c r="U240" i="1"/>
  <c r="S240" i="1"/>
  <c r="Q240" i="1"/>
  <c r="P240" i="1"/>
  <c r="N240" i="1"/>
  <c r="L240" i="1"/>
  <c r="J240" i="1"/>
  <c r="I240" i="1"/>
  <c r="H240" i="1"/>
  <c r="F240" i="1"/>
  <c r="E240" i="1"/>
  <c r="D240" i="1"/>
  <c r="AG239" i="1"/>
  <c r="AE239" i="1"/>
  <c r="AD239" i="1"/>
  <c r="AB239" i="1"/>
  <c r="AA239" i="1"/>
  <c r="Y239" i="1"/>
  <c r="W239" i="1"/>
  <c r="U239" i="1"/>
  <c r="S239" i="1"/>
  <c r="Q239" i="1"/>
  <c r="P239" i="1"/>
  <c r="N239" i="1"/>
  <c r="L239" i="1"/>
  <c r="J239" i="1"/>
  <c r="I239" i="1"/>
  <c r="H239" i="1"/>
  <c r="G239" i="1"/>
  <c r="F239" i="1"/>
  <c r="E239" i="1"/>
  <c r="D239" i="1"/>
  <c r="AG238" i="1"/>
  <c r="AE238" i="1"/>
  <c r="AD238" i="1"/>
  <c r="AB238" i="1"/>
  <c r="AA238" i="1"/>
  <c r="Y238" i="1"/>
  <c r="W238" i="1"/>
  <c r="U238" i="1"/>
  <c r="T238" i="1"/>
  <c r="S238" i="1"/>
  <c r="Q238" i="1"/>
  <c r="P238" i="1"/>
  <c r="N238" i="1"/>
  <c r="L238" i="1"/>
  <c r="J238" i="1"/>
  <c r="I238" i="1"/>
  <c r="H238" i="1"/>
  <c r="G238" i="1"/>
  <c r="F238" i="1"/>
  <c r="E238" i="1"/>
  <c r="D238" i="1"/>
  <c r="AG237" i="1"/>
  <c r="AE237" i="1"/>
  <c r="AD237" i="1"/>
  <c r="AB237" i="1"/>
  <c r="AA237" i="1"/>
  <c r="Y237" i="1"/>
  <c r="W237" i="1"/>
  <c r="U237" i="1"/>
  <c r="T237" i="1"/>
  <c r="S237" i="1"/>
  <c r="Q237" i="1"/>
  <c r="P237" i="1"/>
  <c r="N237" i="1"/>
  <c r="L237" i="1"/>
  <c r="J237" i="1"/>
  <c r="I237" i="1"/>
  <c r="H237" i="1"/>
  <c r="F237" i="1"/>
  <c r="E237" i="1"/>
  <c r="D237" i="1"/>
  <c r="AG236" i="1"/>
  <c r="AE236" i="1"/>
  <c r="AD236" i="1"/>
  <c r="AB236" i="1"/>
  <c r="AA236" i="1"/>
  <c r="Y236" i="1"/>
  <c r="W236" i="1"/>
  <c r="U236" i="1"/>
  <c r="S236" i="1"/>
  <c r="Q236" i="1"/>
  <c r="P236" i="1"/>
  <c r="N236" i="1"/>
  <c r="L236" i="1"/>
  <c r="J236" i="1"/>
  <c r="I236" i="1"/>
  <c r="H236" i="1"/>
  <c r="F236" i="1"/>
  <c r="E236" i="1"/>
  <c r="D236" i="1"/>
  <c r="AG235" i="1"/>
  <c r="AE235" i="1"/>
  <c r="AD235" i="1"/>
  <c r="AB235" i="1"/>
  <c r="AA235" i="1"/>
  <c r="Y235" i="1"/>
  <c r="W235" i="1"/>
  <c r="U235" i="1"/>
  <c r="S235" i="1"/>
  <c r="Q235" i="1"/>
  <c r="P235" i="1"/>
  <c r="N235" i="1"/>
  <c r="L235" i="1"/>
  <c r="K235" i="1"/>
  <c r="J235" i="1"/>
  <c r="I235" i="1"/>
  <c r="H235" i="1"/>
  <c r="G235" i="1"/>
  <c r="F235" i="1"/>
  <c r="E235" i="1"/>
  <c r="D235" i="1"/>
  <c r="AG234" i="1"/>
  <c r="AE234" i="1"/>
  <c r="AD234" i="1"/>
  <c r="AB234" i="1"/>
  <c r="AA234" i="1"/>
  <c r="Y234" i="1"/>
  <c r="W234" i="1"/>
  <c r="U234" i="1"/>
  <c r="S234" i="1"/>
  <c r="Q234" i="1"/>
  <c r="P234" i="1"/>
  <c r="N234" i="1"/>
  <c r="M234" i="1"/>
  <c r="L234" i="1"/>
  <c r="K234" i="1"/>
  <c r="J234" i="1"/>
  <c r="I234" i="1"/>
  <c r="H234" i="1"/>
  <c r="G234" i="1"/>
  <c r="F234" i="1"/>
  <c r="E234" i="1"/>
  <c r="D234" i="1"/>
  <c r="AG233" i="1"/>
  <c r="AE233" i="1"/>
  <c r="AD233" i="1"/>
  <c r="AB233" i="1"/>
  <c r="AA233" i="1"/>
  <c r="Y233" i="1"/>
  <c r="W233" i="1"/>
  <c r="U233" i="1"/>
  <c r="S233" i="1"/>
  <c r="Q233" i="1"/>
  <c r="P233" i="1"/>
  <c r="N233" i="1"/>
  <c r="L233" i="1"/>
  <c r="J233" i="1"/>
  <c r="I233" i="1"/>
  <c r="H233" i="1"/>
  <c r="G233" i="1"/>
  <c r="F233" i="1"/>
  <c r="E233" i="1"/>
  <c r="D233" i="1"/>
  <c r="AG232" i="1"/>
  <c r="AE232" i="1"/>
  <c r="AD232" i="1"/>
  <c r="AB232" i="1"/>
  <c r="AA232" i="1"/>
  <c r="Y232" i="1"/>
  <c r="W232" i="1"/>
  <c r="U232" i="1"/>
  <c r="S232" i="1"/>
  <c r="Q232" i="1"/>
  <c r="P232" i="1"/>
  <c r="N232" i="1"/>
  <c r="L232" i="1"/>
  <c r="J232" i="1"/>
  <c r="I232" i="1"/>
  <c r="H232" i="1"/>
  <c r="G232" i="1"/>
  <c r="F232" i="1"/>
  <c r="E232" i="1"/>
  <c r="D232" i="1"/>
  <c r="AG231" i="1"/>
  <c r="AE231" i="1"/>
  <c r="AD231" i="1"/>
  <c r="AB231" i="1"/>
  <c r="AA231" i="1"/>
  <c r="Y231" i="1"/>
  <c r="W231" i="1"/>
  <c r="U231" i="1"/>
  <c r="S231" i="1"/>
  <c r="R231" i="1"/>
  <c r="Q231" i="1"/>
  <c r="O231" i="1"/>
  <c r="P231" i="1" s="1"/>
  <c r="N231" i="1"/>
  <c r="L231" i="1"/>
  <c r="J231" i="1"/>
  <c r="I231" i="1"/>
  <c r="H231" i="1"/>
  <c r="G231" i="1"/>
  <c r="F231" i="1"/>
  <c r="E231" i="1"/>
  <c r="D231" i="1"/>
  <c r="AH230" i="1"/>
  <c r="AG230" i="1"/>
  <c r="AE230" i="1"/>
  <c r="AD230" i="1"/>
  <c r="AB230" i="1"/>
  <c r="AA230" i="1"/>
  <c r="Y230" i="1"/>
  <c r="W230" i="1"/>
  <c r="U230" i="1"/>
  <c r="S230" i="1"/>
  <c r="Q230" i="1"/>
  <c r="P230" i="1"/>
  <c r="N230" i="1"/>
  <c r="L230" i="1"/>
  <c r="J230" i="1"/>
  <c r="I230" i="1"/>
  <c r="H230" i="1"/>
  <c r="G230" i="1"/>
  <c r="F230" i="1"/>
  <c r="E230" i="1"/>
  <c r="D230" i="1"/>
  <c r="AG229" i="1"/>
  <c r="AE229" i="1"/>
  <c r="AC229" i="1"/>
  <c r="AD229" i="1" s="1"/>
  <c r="AB229" i="1"/>
  <c r="AA229" i="1"/>
  <c r="Y229" i="1"/>
  <c r="W229" i="1"/>
  <c r="U229" i="1"/>
  <c r="S229" i="1"/>
  <c r="Q229" i="1"/>
  <c r="P229" i="1"/>
  <c r="N229" i="1"/>
  <c r="L229" i="1"/>
  <c r="J229" i="1"/>
  <c r="I229" i="1"/>
  <c r="H229" i="1"/>
  <c r="G229" i="1"/>
  <c r="F229" i="1"/>
  <c r="E229" i="1"/>
  <c r="D229" i="1"/>
  <c r="AG228" i="1"/>
  <c r="AE228" i="1"/>
  <c r="AD228" i="1"/>
  <c r="AB228" i="1"/>
  <c r="AA228" i="1"/>
  <c r="Y228" i="1"/>
  <c r="W228" i="1"/>
  <c r="U228" i="1"/>
  <c r="S228" i="1"/>
  <c r="Q228" i="1"/>
  <c r="P228" i="1"/>
  <c r="N228" i="1"/>
  <c r="L228" i="1"/>
  <c r="J228" i="1"/>
  <c r="I228" i="1"/>
  <c r="H228" i="1"/>
  <c r="G228" i="1"/>
  <c r="F228" i="1"/>
  <c r="E228" i="1"/>
  <c r="D228" i="1"/>
  <c r="AG227" i="1"/>
  <c r="AE227" i="1"/>
  <c r="AC227" i="1"/>
  <c r="AD227" i="1" s="1"/>
  <c r="AB227" i="1"/>
  <c r="AA227" i="1"/>
  <c r="Y227" i="1"/>
  <c r="W227" i="1"/>
  <c r="V227" i="1"/>
  <c r="U227" i="1"/>
  <c r="S227" i="1"/>
  <c r="Q227" i="1"/>
  <c r="P227" i="1"/>
  <c r="N227" i="1"/>
  <c r="L227" i="1"/>
  <c r="J227" i="1"/>
  <c r="I227" i="1"/>
  <c r="H227" i="1"/>
  <c r="G227" i="1"/>
  <c r="F227" i="1"/>
  <c r="E227" i="1"/>
  <c r="D227" i="1"/>
  <c r="AG226" i="1"/>
  <c r="AE226" i="1"/>
  <c r="AD226" i="1"/>
  <c r="AB226" i="1"/>
  <c r="AA226" i="1"/>
  <c r="Y226" i="1"/>
  <c r="W226" i="1"/>
  <c r="U226" i="1"/>
  <c r="S226" i="1"/>
  <c r="Q226" i="1"/>
  <c r="P226" i="1"/>
  <c r="N226" i="1"/>
  <c r="L226" i="1"/>
  <c r="J226" i="1"/>
  <c r="I226" i="1"/>
  <c r="H226" i="1"/>
  <c r="F226" i="1"/>
  <c r="E226" i="1"/>
  <c r="D226" i="1"/>
  <c r="AG225" i="1"/>
  <c r="AE225" i="1"/>
  <c r="AD225" i="1"/>
  <c r="AB225" i="1"/>
  <c r="AA225" i="1"/>
  <c r="Y225" i="1"/>
  <c r="W225" i="1"/>
  <c r="U225" i="1"/>
  <c r="S225" i="1"/>
  <c r="Q225" i="1"/>
  <c r="P225" i="1"/>
  <c r="N225" i="1"/>
  <c r="L225" i="1"/>
  <c r="J225" i="1"/>
  <c r="I225" i="1"/>
  <c r="H225" i="1"/>
  <c r="G225" i="1"/>
  <c r="F225" i="1"/>
  <c r="E225" i="1"/>
  <c r="D225" i="1"/>
  <c r="AG224" i="1"/>
  <c r="AE224" i="1"/>
  <c r="AD224" i="1"/>
  <c r="AB224" i="1"/>
  <c r="Z224" i="1"/>
  <c r="AA224" i="1" s="1"/>
  <c r="Y224" i="1"/>
  <c r="W224" i="1"/>
  <c r="U224" i="1"/>
  <c r="S224" i="1"/>
  <c r="Q224" i="1"/>
  <c r="P224" i="1"/>
  <c r="N224" i="1"/>
  <c r="L224" i="1"/>
  <c r="J224" i="1"/>
  <c r="I224" i="1"/>
  <c r="H224" i="1"/>
  <c r="G224" i="1"/>
  <c r="F224" i="1"/>
  <c r="E224" i="1"/>
  <c r="D224" i="1"/>
  <c r="AG223" i="1"/>
  <c r="AE223" i="1"/>
  <c r="AD223" i="1"/>
  <c r="AB223" i="1"/>
  <c r="AA223" i="1"/>
  <c r="Y223" i="1"/>
  <c r="W223" i="1"/>
  <c r="U223" i="1"/>
  <c r="S223" i="1"/>
  <c r="Q223" i="1"/>
  <c r="P223" i="1"/>
  <c r="N223" i="1"/>
  <c r="L223" i="1"/>
  <c r="J223" i="1"/>
  <c r="I223" i="1"/>
  <c r="H223" i="1"/>
  <c r="G223" i="1"/>
  <c r="F223" i="1"/>
  <c r="E223" i="1"/>
  <c r="D223" i="1"/>
  <c r="AH222" i="1"/>
  <c r="AG222" i="1"/>
  <c r="AE222" i="1"/>
  <c r="AD222" i="1"/>
  <c r="AB222" i="1"/>
  <c r="AA222" i="1"/>
  <c r="Y222" i="1"/>
  <c r="W222" i="1"/>
  <c r="U222" i="1"/>
  <c r="S222" i="1"/>
  <c r="Q222" i="1"/>
  <c r="P222" i="1"/>
  <c r="N222" i="1"/>
  <c r="L222" i="1"/>
  <c r="J222" i="1"/>
  <c r="I222" i="1"/>
  <c r="H222" i="1"/>
  <c r="G222" i="1"/>
  <c r="F222" i="1"/>
  <c r="E222" i="1"/>
  <c r="D222" i="1"/>
  <c r="AG221" i="1"/>
  <c r="AE221" i="1"/>
  <c r="AD221" i="1"/>
  <c r="AB221" i="1"/>
  <c r="AA221" i="1"/>
  <c r="Y221" i="1"/>
  <c r="X221" i="1"/>
  <c r="W221" i="1"/>
  <c r="U221" i="1"/>
  <c r="S221" i="1"/>
  <c r="Q221" i="1"/>
  <c r="P221" i="1"/>
  <c r="N221" i="1"/>
  <c r="L221" i="1"/>
  <c r="J221" i="1"/>
  <c r="I221" i="1"/>
  <c r="H221" i="1"/>
  <c r="G221" i="1"/>
  <c r="F221" i="1"/>
  <c r="E221" i="1"/>
  <c r="D221" i="1"/>
  <c r="AG220" i="1"/>
  <c r="AE220" i="1"/>
  <c r="AD220" i="1"/>
  <c r="AB220" i="1"/>
  <c r="AA220" i="1"/>
  <c r="Y220" i="1"/>
  <c r="W220" i="1"/>
  <c r="U220" i="1"/>
  <c r="S220" i="1"/>
  <c r="Q220" i="1"/>
  <c r="P220" i="1"/>
  <c r="N220" i="1"/>
  <c r="L220" i="1"/>
  <c r="J220" i="1"/>
  <c r="I220" i="1"/>
  <c r="H220" i="1"/>
  <c r="G220" i="1"/>
  <c r="F220" i="1"/>
  <c r="E220" i="1"/>
  <c r="D220" i="1"/>
  <c r="AG219" i="1"/>
  <c r="AE219" i="1"/>
  <c r="AD219" i="1"/>
  <c r="AB219" i="1"/>
  <c r="AA219" i="1"/>
  <c r="Y219" i="1"/>
  <c r="W219" i="1"/>
  <c r="U219" i="1"/>
  <c r="S219" i="1"/>
  <c r="Q219" i="1"/>
  <c r="P219" i="1"/>
  <c r="N219" i="1"/>
  <c r="L219" i="1"/>
  <c r="J219" i="1"/>
  <c r="I219" i="1"/>
  <c r="H219" i="1"/>
  <c r="G219" i="1"/>
  <c r="F219" i="1"/>
  <c r="E219" i="1"/>
  <c r="D219" i="1"/>
  <c r="AG218" i="1"/>
  <c r="AE218" i="1"/>
  <c r="AD218" i="1"/>
  <c r="AB218" i="1"/>
  <c r="AA218" i="1"/>
  <c r="Y218" i="1"/>
  <c r="W218" i="1"/>
  <c r="U218" i="1"/>
  <c r="S218" i="1"/>
  <c r="Q218" i="1"/>
  <c r="P218" i="1"/>
  <c r="N218" i="1"/>
  <c r="L218" i="1"/>
  <c r="J218" i="1"/>
  <c r="I218" i="1"/>
  <c r="H218" i="1"/>
  <c r="G218" i="1"/>
  <c r="F218" i="1"/>
  <c r="E218" i="1"/>
  <c r="D218" i="1"/>
  <c r="AG217" i="1"/>
  <c r="AE217" i="1"/>
  <c r="AD217" i="1"/>
  <c r="AB217" i="1"/>
  <c r="AA217" i="1"/>
  <c r="Y217" i="1"/>
  <c r="W217" i="1"/>
  <c r="U217" i="1"/>
  <c r="S217" i="1"/>
  <c r="Q217" i="1"/>
  <c r="P217" i="1"/>
  <c r="N217" i="1"/>
  <c r="L217" i="1"/>
  <c r="J217" i="1"/>
  <c r="I217" i="1"/>
  <c r="H217" i="1"/>
  <c r="G217" i="1"/>
  <c r="F217" i="1"/>
  <c r="E217" i="1"/>
  <c r="D217" i="1"/>
  <c r="AG216" i="1"/>
  <c r="AE216" i="1"/>
  <c r="AD216" i="1"/>
  <c r="AB216" i="1"/>
  <c r="AA216" i="1"/>
  <c r="Y216" i="1"/>
  <c r="W216" i="1"/>
  <c r="U216" i="1"/>
  <c r="S216" i="1"/>
  <c r="Q216" i="1"/>
  <c r="P216" i="1"/>
  <c r="N216" i="1"/>
  <c r="L216" i="1"/>
  <c r="J216" i="1"/>
  <c r="I216" i="1"/>
  <c r="H216" i="1"/>
  <c r="G216" i="1"/>
  <c r="F216" i="1"/>
  <c r="E216" i="1"/>
  <c r="D216" i="1"/>
  <c r="AG215" i="1"/>
  <c r="AE215" i="1"/>
  <c r="AD215" i="1"/>
  <c r="AB215" i="1"/>
  <c r="AA215" i="1"/>
  <c r="Y215" i="1"/>
  <c r="W215" i="1"/>
  <c r="U215" i="1"/>
  <c r="S215" i="1"/>
  <c r="Q215" i="1"/>
  <c r="P215" i="1"/>
  <c r="N215" i="1"/>
  <c r="L215" i="1"/>
  <c r="J215" i="1"/>
  <c r="I215" i="1"/>
  <c r="H215" i="1"/>
  <c r="F215" i="1"/>
  <c r="E215" i="1"/>
  <c r="D215" i="1"/>
  <c r="AG214" i="1"/>
  <c r="AE214" i="1"/>
  <c r="AD214" i="1"/>
  <c r="AB214" i="1"/>
  <c r="AA214" i="1"/>
  <c r="Y214" i="1"/>
  <c r="W214" i="1"/>
  <c r="U214" i="1"/>
  <c r="S214" i="1"/>
  <c r="Q214" i="1"/>
  <c r="P214" i="1"/>
  <c r="N214" i="1"/>
  <c r="L214" i="1"/>
  <c r="J214" i="1"/>
  <c r="I214" i="1"/>
  <c r="H214" i="1"/>
  <c r="F214" i="1"/>
  <c r="E214" i="1"/>
  <c r="D214" i="1"/>
  <c r="AG213" i="1"/>
  <c r="AE213" i="1"/>
  <c r="AD213" i="1"/>
  <c r="AB213" i="1"/>
  <c r="AA213" i="1"/>
  <c r="Y213" i="1"/>
  <c r="W213" i="1"/>
  <c r="U213" i="1"/>
  <c r="S213" i="1"/>
  <c r="Q213" i="1"/>
  <c r="P213" i="1"/>
  <c r="N213" i="1"/>
  <c r="L213" i="1"/>
  <c r="J213" i="1"/>
  <c r="I213" i="1"/>
  <c r="H213" i="1"/>
  <c r="F213" i="1"/>
  <c r="E213" i="1"/>
  <c r="D213" i="1"/>
  <c r="AG212" i="1"/>
  <c r="AE212" i="1"/>
  <c r="AD212" i="1"/>
  <c r="AB212" i="1"/>
  <c r="AA212" i="1"/>
  <c r="Y212" i="1"/>
  <c r="W212" i="1"/>
  <c r="U212" i="1"/>
  <c r="S212" i="1"/>
  <c r="Q212" i="1"/>
  <c r="P212" i="1"/>
  <c r="N212" i="1"/>
  <c r="L212" i="1"/>
  <c r="J212" i="1"/>
  <c r="I212" i="1"/>
  <c r="H212" i="1"/>
  <c r="F212" i="1"/>
  <c r="E212" i="1"/>
  <c r="D212" i="1"/>
  <c r="AG211" i="1"/>
  <c r="AE211" i="1"/>
  <c r="AD211" i="1"/>
  <c r="AB211" i="1"/>
  <c r="AA211" i="1"/>
  <c r="Y211" i="1"/>
  <c r="W211" i="1"/>
  <c r="U211" i="1"/>
  <c r="S211" i="1"/>
  <c r="Q211" i="1"/>
  <c r="P211" i="1"/>
  <c r="N211" i="1"/>
  <c r="L211" i="1"/>
  <c r="J211" i="1"/>
  <c r="I211" i="1"/>
  <c r="H211" i="1"/>
  <c r="G211" i="1"/>
  <c r="F211" i="1"/>
  <c r="E211" i="1"/>
  <c r="D211" i="1"/>
  <c r="AG210" i="1"/>
  <c r="AE210" i="1"/>
  <c r="AD210" i="1"/>
  <c r="AB210" i="1"/>
  <c r="AA210" i="1"/>
  <c r="Y210" i="1"/>
  <c r="W210" i="1"/>
  <c r="U210" i="1"/>
  <c r="S210" i="1"/>
  <c r="Q210" i="1"/>
  <c r="P210" i="1"/>
  <c r="N210" i="1"/>
  <c r="L210" i="1"/>
  <c r="J210" i="1"/>
  <c r="I210" i="1"/>
  <c r="H210" i="1"/>
  <c r="G210" i="1"/>
  <c r="F210" i="1"/>
  <c r="E210" i="1"/>
  <c r="D210" i="1"/>
  <c r="AG209" i="1"/>
  <c r="AE209" i="1"/>
  <c r="AD209" i="1"/>
  <c r="AB209" i="1"/>
  <c r="AA209" i="1"/>
  <c r="Y209" i="1"/>
  <c r="W209" i="1"/>
  <c r="U209" i="1"/>
  <c r="S209" i="1"/>
  <c r="Q209" i="1"/>
  <c r="P209" i="1"/>
  <c r="N209" i="1"/>
  <c r="L209" i="1"/>
  <c r="J209" i="1"/>
  <c r="I209" i="1"/>
  <c r="H209" i="1"/>
  <c r="F209" i="1"/>
  <c r="E209" i="1"/>
  <c r="D209" i="1"/>
  <c r="AG208" i="1"/>
  <c r="AE208" i="1"/>
  <c r="AD208" i="1"/>
  <c r="AB208" i="1"/>
  <c r="AA208" i="1"/>
  <c r="Y208" i="1"/>
  <c r="W208" i="1"/>
  <c r="U208" i="1"/>
  <c r="S208" i="1"/>
  <c r="Q208" i="1"/>
  <c r="P208" i="1"/>
  <c r="N208" i="1"/>
  <c r="L208" i="1"/>
  <c r="K208" i="1"/>
  <c r="J208" i="1"/>
  <c r="I208" i="1"/>
  <c r="H208" i="1"/>
  <c r="G208" i="1"/>
  <c r="F208" i="1"/>
  <c r="E208" i="1"/>
  <c r="D208" i="1"/>
  <c r="AG207" i="1"/>
  <c r="AE207" i="1"/>
  <c r="AD207" i="1"/>
  <c r="AB207" i="1"/>
  <c r="AA207" i="1"/>
  <c r="Y207" i="1"/>
  <c r="W207" i="1"/>
  <c r="U207" i="1"/>
  <c r="S207" i="1"/>
  <c r="Q207" i="1"/>
  <c r="P207" i="1"/>
  <c r="N207" i="1"/>
  <c r="L207" i="1"/>
  <c r="J207" i="1"/>
  <c r="I207" i="1"/>
  <c r="H207" i="1"/>
  <c r="F207" i="1"/>
  <c r="E207" i="1"/>
  <c r="D207" i="1"/>
  <c r="AG206" i="1"/>
  <c r="AE206" i="1"/>
  <c r="AD206" i="1"/>
  <c r="AB206" i="1"/>
  <c r="AA206" i="1"/>
  <c r="Y206" i="1"/>
  <c r="W206" i="1"/>
  <c r="U206" i="1"/>
  <c r="S206" i="1"/>
  <c r="Q206" i="1"/>
  <c r="P206" i="1"/>
  <c r="N206" i="1"/>
  <c r="L206" i="1"/>
  <c r="K206" i="1"/>
  <c r="J206" i="1"/>
  <c r="I206" i="1"/>
  <c r="H206" i="1"/>
  <c r="G206" i="1"/>
  <c r="F206" i="1"/>
  <c r="E206" i="1"/>
  <c r="D206" i="1"/>
  <c r="AG205" i="1"/>
  <c r="AE205" i="1"/>
  <c r="AD205" i="1"/>
  <c r="AB205" i="1"/>
  <c r="AA205" i="1"/>
  <c r="Y205" i="1"/>
  <c r="W205" i="1"/>
  <c r="U205" i="1"/>
  <c r="S205" i="1"/>
  <c r="Q205" i="1"/>
  <c r="P205" i="1"/>
  <c r="N205" i="1"/>
  <c r="L205" i="1"/>
  <c r="J205" i="1"/>
  <c r="I205" i="1"/>
  <c r="H205" i="1"/>
  <c r="G205" i="1"/>
  <c r="F205" i="1"/>
  <c r="E205" i="1"/>
  <c r="D205" i="1"/>
  <c r="AG204" i="1"/>
  <c r="AF204" i="1"/>
  <c r="AE204" i="1"/>
  <c r="AD204" i="1"/>
  <c r="AB204" i="1"/>
  <c r="AA204" i="1"/>
  <c r="Y204" i="1"/>
  <c r="W204" i="1"/>
  <c r="U204" i="1"/>
  <c r="S204" i="1"/>
  <c r="Q204" i="1"/>
  <c r="O204" i="1"/>
  <c r="P204" i="1" s="1"/>
  <c r="N204" i="1"/>
  <c r="L204" i="1"/>
  <c r="J204" i="1"/>
  <c r="I204" i="1"/>
  <c r="H204" i="1"/>
  <c r="G204" i="1"/>
  <c r="F204" i="1"/>
  <c r="E204" i="1"/>
  <c r="D204" i="1"/>
  <c r="AG203" i="1"/>
  <c r="AE203" i="1"/>
  <c r="AD203" i="1"/>
  <c r="AB203" i="1"/>
  <c r="AA203" i="1"/>
  <c r="Y203" i="1"/>
  <c r="W203" i="1"/>
  <c r="U203" i="1"/>
  <c r="S203" i="1"/>
  <c r="Q203" i="1"/>
  <c r="P203" i="1"/>
  <c r="N203" i="1"/>
  <c r="L203" i="1"/>
  <c r="J203" i="1"/>
  <c r="I203" i="1"/>
  <c r="H203" i="1"/>
  <c r="F203" i="1"/>
  <c r="E203" i="1"/>
  <c r="D203" i="1"/>
  <c r="AG202" i="1"/>
  <c r="AE202" i="1"/>
  <c r="AD202" i="1"/>
  <c r="AB202" i="1"/>
  <c r="AA202" i="1"/>
  <c r="Y202" i="1"/>
  <c r="W202" i="1"/>
  <c r="U202" i="1"/>
  <c r="S202" i="1"/>
  <c r="Q202" i="1"/>
  <c r="P202" i="1"/>
  <c r="N202" i="1"/>
  <c r="L202" i="1"/>
  <c r="J202" i="1"/>
  <c r="I202" i="1"/>
  <c r="H202" i="1"/>
  <c r="F202" i="1"/>
  <c r="E202" i="1"/>
  <c r="D202" i="1"/>
  <c r="AG201" i="1"/>
  <c r="AE201" i="1"/>
  <c r="AD201" i="1"/>
  <c r="AB201" i="1"/>
  <c r="AA201" i="1"/>
  <c r="Y201" i="1"/>
  <c r="W201" i="1"/>
  <c r="U201" i="1"/>
  <c r="S201" i="1"/>
  <c r="Q201" i="1"/>
  <c r="P201" i="1"/>
  <c r="N201" i="1"/>
  <c r="M201" i="1"/>
  <c r="L201" i="1"/>
  <c r="J201" i="1"/>
  <c r="I201" i="1"/>
  <c r="H201" i="1"/>
  <c r="G201" i="1"/>
  <c r="F201" i="1"/>
  <c r="E201" i="1"/>
  <c r="D201" i="1"/>
  <c r="AG200" i="1"/>
  <c r="AE200" i="1"/>
  <c r="AD200" i="1"/>
  <c r="AB200" i="1"/>
  <c r="AA200" i="1"/>
  <c r="Y200" i="1"/>
  <c r="W200" i="1"/>
  <c r="U200" i="1"/>
  <c r="S200" i="1"/>
  <c r="Q200" i="1"/>
  <c r="P200" i="1"/>
  <c r="N200" i="1"/>
  <c r="L200" i="1"/>
  <c r="J200" i="1"/>
  <c r="I200" i="1"/>
  <c r="H200" i="1"/>
  <c r="G200" i="1"/>
  <c r="F200" i="1"/>
  <c r="E200" i="1"/>
  <c r="D200" i="1"/>
  <c r="AG199" i="1"/>
  <c r="AE199" i="1"/>
  <c r="AD199" i="1"/>
  <c r="AB199" i="1"/>
  <c r="AA199" i="1"/>
  <c r="Y199" i="1"/>
  <c r="W199" i="1"/>
  <c r="U199" i="1"/>
  <c r="S199" i="1"/>
  <c r="Q199" i="1"/>
  <c r="P199" i="1"/>
  <c r="N199" i="1"/>
  <c r="L199" i="1"/>
  <c r="J199" i="1"/>
  <c r="I199" i="1"/>
  <c r="H199" i="1"/>
  <c r="F199" i="1"/>
  <c r="E199" i="1"/>
  <c r="D199" i="1"/>
  <c r="AG198" i="1"/>
  <c r="AE198" i="1"/>
  <c r="AD198" i="1"/>
  <c r="AB198" i="1"/>
  <c r="AA198" i="1"/>
  <c r="Y198" i="1"/>
  <c r="X198" i="1"/>
  <c r="W198" i="1"/>
  <c r="U198" i="1"/>
  <c r="S198" i="1"/>
  <c r="Q198" i="1"/>
  <c r="P198" i="1"/>
  <c r="N198" i="1"/>
  <c r="L198" i="1"/>
  <c r="J198" i="1"/>
  <c r="I198" i="1"/>
  <c r="H198" i="1"/>
  <c r="G198" i="1"/>
  <c r="F198" i="1"/>
  <c r="E198" i="1"/>
  <c r="D198" i="1"/>
  <c r="AG197" i="1"/>
  <c r="AE197" i="1"/>
  <c r="AD197" i="1"/>
  <c r="AB197" i="1"/>
  <c r="AA197" i="1"/>
  <c r="Y197" i="1"/>
  <c r="X197" i="1"/>
  <c r="W197" i="1"/>
  <c r="U197" i="1"/>
  <c r="S197" i="1"/>
  <c r="Q197" i="1"/>
  <c r="P197" i="1"/>
  <c r="N197" i="1"/>
  <c r="L197" i="1"/>
  <c r="J197" i="1"/>
  <c r="I197" i="1"/>
  <c r="H197" i="1"/>
  <c r="G197" i="1"/>
  <c r="F197" i="1"/>
  <c r="E197" i="1"/>
  <c r="D197" i="1"/>
  <c r="AG196" i="1"/>
  <c r="AE196" i="1"/>
  <c r="AD196" i="1"/>
  <c r="AB196" i="1"/>
  <c r="AA196" i="1"/>
  <c r="Y196" i="1"/>
  <c r="W196" i="1"/>
  <c r="U196" i="1"/>
  <c r="S196" i="1"/>
  <c r="Q196" i="1"/>
  <c r="P196" i="1"/>
  <c r="N196" i="1"/>
  <c r="L196" i="1"/>
  <c r="J196" i="1"/>
  <c r="I196" i="1"/>
  <c r="H196" i="1"/>
  <c r="G196" i="1"/>
  <c r="F196" i="1"/>
  <c r="E196" i="1"/>
  <c r="D196" i="1"/>
  <c r="AG195" i="1"/>
  <c r="AF195" i="1"/>
  <c r="AE195" i="1"/>
  <c r="AD195" i="1"/>
  <c r="AB195" i="1"/>
  <c r="Z195" i="1"/>
  <c r="AA195" i="1" s="1"/>
  <c r="Y195" i="1"/>
  <c r="W195" i="1"/>
  <c r="U195" i="1"/>
  <c r="S195" i="1"/>
  <c r="Q195" i="1"/>
  <c r="P195" i="1"/>
  <c r="N195" i="1"/>
  <c r="L195" i="1"/>
  <c r="K195" i="1"/>
  <c r="J195" i="1"/>
  <c r="I195" i="1"/>
  <c r="H195" i="1"/>
  <c r="G195" i="1"/>
  <c r="F195" i="1"/>
  <c r="E195" i="1"/>
  <c r="D195" i="1"/>
  <c r="AG194" i="1"/>
  <c r="AE194" i="1"/>
  <c r="AD194" i="1"/>
  <c r="AB194" i="1"/>
  <c r="AA194" i="1"/>
  <c r="Y194" i="1"/>
  <c r="W194" i="1"/>
  <c r="U194" i="1"/>
  <c r="S194" i="1"/>
  <c r="Q194" i="1"/>
  <c r="P194" i="1"/>
  <c r="N194" i="1"/>
  <c r="L194" i="1"/>
  <c r="J194" i="1"/>
  <c r="I194" i="1"/>
  <c r="H194" i="1"/>
  <c r="F194" i="1"/>
  <c r="E194" i="1"/>
  <c r="D194" i="1"/>
  <c r="AG193" i="1"/>
  <c r="AE193" i="1"/>
  <c r="AD193" i="1"/>
  <c r="AB193" i="1"/>
  <c r="AA193" i="1"/>
  <c r="Y193" i="1"/>
  <c r="W193" i="1"/>
  <c r="U193" i="1"/>
  <c r="S193" i="1"/>
  <c r="Q193" i="1"/>
  <c r="P193" i="1"/>
  <c r="N193" i="1"/>
  <c r="M193" i="1"/>
  <c r="L193" i="1"/>
  <c r="J193" i="1"/>
  <c r="I193" i="1"/>
  <c r="H193" i="1"/>
  <c r="G193" i="1"/>
  <c r="F193" i="1"/>
  <c r="E193" i="1"/>
  <c r="D193" i="1"/>
  <c r="AG192" i="1"/>
  <c r="AF192" i="1"/>
  <c r="AE192" i="1"/>
  <c r="AD192" i="1"/>
  <c r="AB192" i="1"/>
  <c r="AA192" i="1"/>
  <c r="Z192" i="1"/>
  <c r="Y192" i="1"/>
  <c r="W192" i="1"/>
  <c r="U192" i="1"/>
  <c r="S192" i="1"/>
  <c r="Q192" i="1"/>
  <c r="P192" i="1"/>
  <c r="N192" i="1"/>
  <c r="L192" i="1"/>
  <c r="J192" i="1"/>
  <c r="I192" i="1"/>
  <c r="H192" i="1"/>
  <c r="G192" i="1"/>
  <c r="F192" i="1"/>
  <c r="E192" i="1"/>
  <c r="D192" i="1"/>
  <c r="AG191" i="1"/>
  <c r="AE191" i="1"/>
  <c r="AD191" i="1"/>
  <c r="AB191" i="1"/>
  <c r="AA191" i="1"/>
  <c r="Y191" i="1"/>
  <c r="W191" i="1"/>
  <c r="U191" i="1"/>
  <c r="S191" i="1"/>
  <c r="R191" i="1"/>
  <c r="Q191" i="1"/>
  <c r="P191" i="1"/>
  <c r="N191" i="1"/>
  <c r="L191" i="1"/>
  <c r="J191" i="1"/>
  <c r="I191" i="1"/>
  <c r="H191" i="1"/>
  <c r="G191" i="1"/>
  <c r="F191" i="1"/>
  <c r="E191" i="1"/>
  <c r="D191" i="1"/>
  <c r="AH190" i="1"/>
  <c r="AG190" i="1"/>
  <c r="AE190" i="1"/>
  <c r="AD190" i="1"/>
  <c r="AB190" i="1"/>
  <c r="AA190" i="1"/>
  <c r="Y190" i="1"/>
  <c r="W190" i="1"/>
  <c r="U190" i="1"/>
  <c r="S190" i="1"/>
  <c r="Q190" i="1"/>
  <c r="P190" i="1"/>
  <c r="N190" i="1"/>
  <c r="M190" i="1"/>
  <c r="L190" i="1"/>
  <c r="K190" i="1"/>
  <c r="J190" i="1"/>
  <c r="I190" i="1"/>
  <c r="H190" i="1"/>
  <c r="G190" i="1"/>
  <c r="F190" i="1"/>
  <c r="E190" i="1"/>
  <c r="D190" i="1"/>
  <c r="AG189" i="1"/>
  <c r="AE189" i="1"/>
  <c r="AD189" i="1"/>
  <c r="AB189" i="1"/>
  <c r="AA189" i="1"/>
  <c r="Y189" i="1"/>
  <c r="W189" i="1"/>
  <c r="U189" i="1"/>
  <c r="S189" i="1"/>
  <c r="Q189" i="1"/>
  <c r="P189" i="1"/>
  <c r="N189" i="1"/>
  <c r="L189" i="1"/>
  <c r="J189" i="1"/>
  <c r="I189" i="1"/>
  <c r="H189" i="1"/>
  <c r="F189" i="1"/>
  <c r="E189" i="1"/>
  <c r="D189" i="1"/>
  <c r="AG188" i="1"/>
  <c r="AE188" i="1"/>
  <c r="AD188" i="1"/>
  <c r="AB188" i="1"/>
  <c r="AA188" i="1"/>
  <c r="Y188" i="1"/>
  <c r="W188" i="1"/>
  <c r="U188" i="1"/>
  <c r="S188" i="1"/>
  <c r="Q188" i="1"/>
  <c r="P188" i="1"/>
  <c r="N188" i="1"/>
  <c r="L188" i="1"/>
  <c r="J188" i="1"/>
  <c r="I188" i="1"/>
  <c r="H188" i="1"/>
  <c r="G188" i="1"/>
  <c r="F188" i="1"/>
  <c r="E188" i="1"/>
  <c r="D188" i="1"/>
  <c r="AG187" i="1"/>
  <c r="AE187" i="1"/>
  <c r="AD187" i="1"/>
  <c r="AB187" i="1"/>
  <c r="AA187" i="1"/>
  <c r="Y187" i="1"/>
  <c r="W187" i="1"/>
  <c r="U187" i="1"/>
  <c r="S187" i="1"/>
  <c r="Q187" i="1"/>
  <c r="P187" i="1"/>
  <c r="N187" i="1"/>
  <c r="L187" i="1"/>
  <c r="J187" i="1"/>
  <c r="I187" i="1"/>
  <c r="H187" i="1"/>
  <c r="G187" i="1"/>
  <c r="F187" i="1"/>
  <c r="E187" i="1"/>
  <c r="D187" i="1"/>
  <c r="AG186" i="1"/>
  <c r="AE186" i="1"/>
  <c r="AD186" i="1"/>
  <c r="AB186" i="1"/>
  <c r="AA186" i="1"/>
  <c r="Y186" i="1"/>
  <c r="W186" i="1"/>
  <c r="U186" i="1"/>
  <c r="S186" i="1"/>
  <c r="Q186" i="1"/>
  <c r="P186" i="1"/>
  <c r="N186" i="1"/>
  <c r="L186" i="1"/>
  <c r="J186" i="1"/>
  <c r="I186" i="1"/>
  <c r="H186" i="1"/>
  <c r="G186" i="1"/>
  <c r="F186" i="1"/>
  <c r="E186" i="1"/>
  <c r="D186" i="1"/>
  <c r="AG185" i="1"/>
  <c r="AE185" i="1"/>
  <c r="AD185" i="1"/>
  <c r="AB185" i="1"/>
  <c r="AA185" i="1"/>
  <c r="Y185" i="1"/>
  <c r="W185" i="1"/>
  <c r="U185" i="1"/>
  <c r="S185" i="1"/>
  <c r="Q185" i="1"/>
  <c r="P185" i="1"/>
  <c r="N185" i="1"/>
  <c r="L185" i="1"/>
  <c r="J185" i="1"/>
  <c r="I185" i="1"/>
  <c r="H185" i="1"/>
  <c r="G185" i="1"/>
  <c r="F185" i="1"/>
  <c r="E185" i="1"/>
  <c r="D185" i="1"/>
  <c r="AG184" i="1"/>
  <c r="AE184" i="1"/>
  <c r="AD184" i="1"/>
  <c r="AB184" i="1"/>
  <c r="AA184" i="1"/>
  <c r="Y184" i="1"/>
  <c r="W184" i="1"/>
  <c r="U184" i="1"/>
  <c r="S184" i="1"/>
  <c r="Q184" i="1"/>
  <c r="P184" i="1"/>
  <c r="N184" i="1"/>
  <c r="L184" i="1"/>
  <c r="J184" i="1"/>
  <c r="I184" i="1"/>
  <c r="H184" i="1"/>
  <c r="F184" i="1"/>
  <c r="E184" i="1"/>
  <c r="D184" i="1"/>
  <c r="AG183" i="1"/>
  <c r="AE183" i="1"/>
  <c r="AD183" i="1"/>
  <c r="AB183" i="1"/>
  <c r="AA183" i="1"/>
  <c r="Y183" i="1"/>
  <c r="W183" i="1"/>
  <c r="U183" i="1"/>
  <c r="S183" i="1"/>
  <c r="Q183" i="1"/>
  <c r="P183" i="1"/>
  <c r="N183" i="1"/>
  <c r="L183" i="1"/>
  <c r="J183" i="1"/>
  <c r="I183" i="1"/>
  <c r="H183" i="1"/>
  <c r="G183" i="1"/>
  <c r="F183" i="1"/>
  <c r="E183" i="1"/>
  <c r="D183" i="1"/>
  <c r="AG182" i="1"/>
  <c r="AE182" i="1"/>
  <c r="AD182" i="1"/>
  <c r="AB182" i="1"/>
  <c r="AA182" i="1"/>
  <c r="Y182" i="1"/>
  <c r="W182" i="1"/>
  <c r="U182" i="1"/>
  <c r="S182" i="1"/>
  <c r="Q182" i="1"/>
  <c r="P182" i="1"/>
  <c r="N182" i="1"/>
  <c r="L182" i="1"/>
  <c r="J182" i="1"/>
  <c r="I182" i="1"/>
  <c r="H182" i="1"/>
  <c r="F182" i="1"/>
  <c r="E182" i="1"/>
  <c r="D182" i="1"/>
  <c r="AG181" i="1"/>
  <c r="AE181" i="1"/>
  <c r="AD181" i="1"/>
  <c r="AB181" i="1"/>
  <c r="AA181" i="1"/>
  <c r="Y181" i="1"/>
  <c r="W181" i="1"/>
  <c r="U181" i="1"/>
  <c r="S181" i="1"/>
  <c r="Q181" i="1"/>
  <c r="P181" i="1"/>
  <c r="N181" i="1"/>
  <c r="L181" i="1"/>
  <c r="J181" i="1"/>
  <c r="I181" i="1"/>
  <c r="H181" i="1"/>
  <c r="G181" i="1"/>
  <c r="F181" i="1"/>
  <c r="E181" i="1"/>
  <c r="D181" i="1"/>
  <c r="AG180" i="1"/>
  <c r="AE180" i="1"/>
  <c r="AD180" i="1"/>
  <c r="AB180" i="1"/>
  <c r="AA180" i="1"/>
  <c r="Y180" i="1"/>
  <c r="W180" i="1"/>
  <c r="U180" i="1"/>
  <c r="S180" i="1"/>
  <c r="Q180" i="1"/>
  <c r="P180" i="1"/>
  <c r="N180" i="1"/>
  <c r="L180" i="1"/>
  <c r="J180" i="1"/>
  <c r="I180" i="1"/>
  <c r="H180" i="1"/>
  <c r="G180" i="1"/>
  <c r="F180" i="1"/>
  <c r="E180" i="1"/>
  <c r="D180" i="1"/>
  <c r="AG179" i="1"/>
  <c r="AE179" i="1"/>
  <c r="AD179" i="1"/>
  <c r="AB179" i="1"/>
  <c r="AA179" i="1"/>
  <c r="Y179" i="1"/>
  <c r="W179" i="1"/>
  <c r="U179" i="1"/>
  <c r="S179" i="1"/>
  <c r="Q179" i="1"/>
  <c r="P179" i="1"/>
  <c r="N179" i="1"/>
  <c r="L179" i="1"/>
  <c r="J179" i="1"/>
  <c r="I179" i="1"/>
  <c r="H179" i="1"/>
  <c r="G179" i="1"/>
  <c r="F179" i="1"/>
  <c r="E179" i="1"/>
  <c r="D179" i="1"/>
  <c r="AG178" i="1"/>
  <c r="AE178" i="1"/>
  <c r="AD178" i="1"/>
  <c r="AB178" i="1"/>
  <c r="AA178" i="1"/>
  <c r="Y178" i="1"/>
  <c r="W178" i="1"/>
  <c r="U178" i="1"/>
  <c r="S178" i="1"/>
  <c r="Q178" i="1"/>
  <c r="P178" i="1"/>
  <c r="N178" i="1"/>
  <c r="L178" i="1"/>
  <c r="J178" i="1"/>
  <c r="I178" i="1"/>
  <c r="H178" i="1"/>
  <c r="G178" i="1"/>
  <c r="F178" i="1"/>
  <c r="E178" i="1"/>
  <c r="D178" i="1"/>
  <c r="AG177" i="1"/>
  <c r="AE177" i="1"/>
  <c r="AD177" i="1"/>
  <c r="AB177" i="1"/>
  <c r="AA177" i="1"/>
  <c r="Y177" i="1"/>
  <c r="W177" i="1"/>
  <c r="U177" i="1"/>
  <c r="S177" i="1"/>
  <c r="Q177" i="1"/>
  <c r="P177" i="1"/>
  <c r="N177" i="1"/>
  <c r="L177" i="1"/>
  <c r="J177" i="1"/>
  <c r="I177" i="1"/>
  <c r="H177" i="1"/>
  <c r="G177" i="1"/>
  <c r="F177" i="1"/>
  <c r="E177" i="1"/>
  <c r="D177" i="1"/>
  <c r="AG176" i="1"/>
  <c r="AE176" i="1"/>
  <c r="AD176" i="1"/>
  <c r="AB176" i="1"/>
  <c r="AA176" i="1"/>
  <c r="Y176" i="1"/>
  <c r="W176" i="1"/>
  <c r="U176" i="1"/>
  <c r="S176" i="1"/>
  <c r="Q176" i="1"/>
  <c r="P176" i="1"/>
  <c r="N176" i="1"/>
  <c r="L176" i="1"/>
  <c r="J176" i="1"/>
  <c r="I176" i="1"/>
  <c r="H176" i="1"/>
  <c r="G176" i="1"/>
  <c r="F176" i="1"/>
  <c r="E176" i="1"/>
  <c r="D176" i="1"/>
  <c r="AG175" i="1"/>
  <c r="AE175" i="1"/>
  <c r="AD175" i="1"/>
  <c r="AB175" i="1"/>
  <c r="AA175" i="1"/>
  <c r="Y175" i="1"/>
  <c r="W175" i="1"/>
  <c r="U175" i="1"/>
  <c r="S175" i="1"/>
  <c r="Q175" i="1"/>
  <c r="P175" i="1"/>
  <c r="N175" i="1"/>
  <c r="L175" i="1"/>
  <c r="J175" i="1"/>
  <c r="I175" i="1"/>
  <c r="H175" i="1"/>
  <c r="G175" i="1"/>
  <c r="F175" i="1"/>
  <c r="E175" i="1"/>
  <c r="D175" i="1"/>
  <c r="AG174" i="1"/>
  <c r="AE174" i="1"/>
  <c r="AD174" i="1"/>
  <c r="AB174" i="1"/>
  <c r="AA174" i="1"/>
  <c r="Y174" i="1"/>
  <c r="W174" i="1"/>
  <c r="U174" i="1"/>
  <c r="S174" i="1"/>
  <c r="Q174" i="1"/>
  <c r="P174" i="1"/>
  <c r="N174" i="1"/>
  <c r="L174" i="1"/>
  <c r="J174" i="1"/>
  <c r="I174" i="1"/>
  <c r="H174" i="1"/>
  <c r="F174" i="1"/>
  <c r="E174" i="1"/>
  <c r="D174" i="1"/>
  <c r="AG173" i="1"/>
  <c r="AE173" i="1"/>
  <c r="AD173" i="1"/>
  <c r="AB173" i="1"/>
  <c r="AA173" i="1"/>
  <c r="Y173" i="1"/>
  <c r="W173" i="1"/>
  <c r="U173" i="1"/>
  <c r="S173" i="1"/>
  <c r="Q173" i="1"/>
  <c r="P173" i="1"/>
  <c r="N173" i="1"/>
  <c r="L173" i="1"/>
  <c r="J173" i="1"/>
  <c r="I173" i="1"/>
  <c r="H173" i="1"/>
  <c r="G173" i="1"/>
  <c r="F173" i="1"/>
  <c r="E173" i="1"/>
  <c r="D173" i="1"/>
  <c r="AG172" i="1"/>
  <c r="AE172" i="1"/>
  <c r="AD172" i="1"/>
  <c r="AB172" i="1"/>
  <c r="AA172" i="1"/>
  <c r="Y172" i="1"/>
  <c r="W172" i="1"/>
  <c r="U172" i="1"/>
  <c r="S172" i="1"/>
  <c r="R172" i="1"/>
  <c r="Q172" i="1"/>
  <c r="P172" i="1"/>
  <c r="N172" i="1"/>
  <c r="L172" i="1"/>
  <c r="J172" i="1"/>
  <c r="I172" i="1"/>
  <c r="H172" i="1"/>
  <c r="G172" i="1"/>
  <c r="F172" i="1"/>
  <c r="E172" i="1"/>
  <c r="D172" i="1"/>
  <c r="AG171" i="1"/>
  <c r="AE171" i="1"/>
  <c r="AD171" i="1"/>
  <c r="AB171" i="1"/>
  <c r="AA171" i="1"/>
  <c r="Y171" i="1"/>
  <c r="W171" i="1"/>
  <c r="U171" i="1"/>
  <c r="S171" i="1"/>
  <c r="Q171" i="1"/>
  <c r="P171" i="1"/>
  <c r="N171" i="1"/>
  <c r="L171" i="1"/>
  <c r="J171" i="1"/>
  <c r="I171" i="1"/>
  <c r="H171" i="1"/>
  <c r="G171" i="1"/>
  <c r="F171" i="1"/>
  <c r="E171" i="1"/>
  <c r="D171" i="1"/>
  <c r="AG170" i="1"/>
  <c r="AE170" i="1"/>
  <c r="AD170" i="1"/>
  <c r="AB170" i="1"/>
  <c r="AA170" i="1"/>
  <c r="Y170" i="1"/>
  <c r="W170" i="1"/>
  <c r="U170" i="1"/>
  <c r="S170" i="1"/>
  <c r="Q170" i="1"/>
  <c r="P170" i="1"/>
  <c r="N170" i="1"/>
  <c r="L170" i="1"/>
  <c r="J170" i="1"/>
  <c r="I170" i="1"/>
  <c r="H170" i="1"/>
  <c r="F170" i="1"/>
  <c r="E170" i="1"/>
  <c r="D170" i="1"/>
  <c r="AG169" i="1"/>
  <c r="AE169" i="1"/>
  <c r="AC169" i="1"/>
  <c r="AD169" i="1" s="1"/>
  <c r="AB169" i="1"/>
  <c r="AA169" i="1"/>
  <c r="Y169" i="1"/>
  <c r="W169" i="1"/>
  <c r="U169" i="1"/>
  <c r="S169" i="1"/>
  <c r="Q169" i="1"/>
  <c r="P169" i="1"/>
  <c r="N169" i="1"/>
  <c r="L169" i="1"/>
  <c r="J169" i="1"/>
  <c r="I169" i="1"/>
  <c r="H169" i="1"/>
  <c r="F169" i="1"/>
  <c r="E169" i="1"/>
  <c r="D169" i="1"/>
  <c r="AG168" i="1"/>
  <c r="AE168" i="1"/>
  <c r="AD168" i="1"/>
  <c r="AB168" i="1"/>
  <c r="AA168" i="1"/>
  <c r="Y168" i="1"/>
  <c r="W168" i="1"/>
  <c r="U168" i="1"/>
  <c r="S168" i="1"/>
  <c r="Q168" i="1"/>
  <c r="P168" i="1"/>
  <c r="N168" i="1"/>
  <c r="L168" i="1"/>
  <c r="J168" i="1"/>
  <c r="I168" i="1"/>
  <c r="H168" i="1"/>
  <c r="F168" i="1"/>
  <c r="E168" i="1"/>
  <c r="D168" i="1"/>
  <c r="AG167" i="1"/>
  <c r="AE167" i="1"/>
  <c r="AD167" i="1"/>
  <c r="AB167" i="1"/>
  <c r="AA167" i="1"/>
  <c r="Y167" i="1"/>
  <c r="W167" i="1"/>
  <c r="U167" i="1"/>
  <c r="S167" i="1"/>
  <c r="Q167" i="1"/>
  <c r="P167" i="1"/>
  <c r="N167" i="1"/>
  <c r="L167" i="1"/>
  <c r="J167" i="1"/>
  <c r="I167" i="1"/>
  <c r="H167" i="1"/>
  <c r="F167" i="1"/>
  <c r="E167" i="1"/>
  <c r="D167" i="1"/>
  <c r="AG166" i="1"/>
  <c r="AE166" i="1"/>
  <c r="AD166" i="1"/>
  <c r="AB166" i="1"/>
  <c r="AA166" i="1"/>
  <c r="Y166" i="1"/>
  <c r="W166" i="1"/>
  <c r="U166" i="1"/>
  <c r="S166" i="1"/>
  <c r="Q166" i="1"/>
  <c r="P166" i="1"/>
  <c r="N166" i="1"/>
  <c r="L166" i="1"/>
  <c r="J166" i="1"/>
  <c r="I166" i="1"/>
  <c r="H166" i="1"/>
  <c r="G166" i="1"/>
  <c r="F166" i="1"/>
  <c r="E166" i="1"/>
  <c r="D166" i="1"/>
  <c r="AG165" i="1"/>
  <c r="AE165" i="1"/>
  <c r="AD165" i="1"/>
  <c r="AB165" i="1"/>
  <c r="AA165" i="1"/>
  <c r="Y165" i="1"/>
  <c r="W165" i="1"/>
  <c r="U165" i="1"/>
  <c r="S165" i="1"/>
  <c r="Q165" i="1"/>
  <c r="P165" i="1"/>
  <c r="N165" i="1"/>
  <c r="L165" i="1"/>
  <c r="J165" i="1"/>
  <c r="I165" i="1"/>
  <c r="H165" i="1"/>
  <c r="F165" i="1"/>
  <c r="E165" i="1"/>
  <c r="D165" i="1"/>
  <c r="AG164" i="1"/>
  <c r="AE164" i="1"/>
  <c r="AD164" i="1"/>
  <c r="AB164" i="1"/>
  <c r="AA164" i="1"/>
  <c r="Y164" i="1"/>
  <c r="W164" i="1"/>
  <c r="V164" i="1"/>
  <c r="U164" i="1"/>
  <c r="S164" i="1"/>
  <c r="Q164" i="1"/>
  <c r="P164" i="1"/>
  <c r="N164" i="1"/>
  <c r="L164" i="1"/>
  <c r="J164" i="1"/>
  <c r="I164" i="1"/>
  <c r="H164" i="1"/>
  <c r="G164" i="1"/>
  <c r="F164" i="1"/>
  <c r="E164" i="1"/>
  <c r="D164" i="1"/>
  <c r="AG163" i="1"/>
  <c r="AE163" i="1"/>
  <c r="AD163" i="1"/>
  <c r="AB163" i="1"/>
  <c r="AA163" i="1"/>
  <c r="Y163" i="1"/>
  <c r="W163" i="1"/>
  <c r="U163" i="1"/>
  <c r="S163" i="1"/>
  <c r="Q163" i="1"/>
  <c r="P163" i="1"/>
  <c r="N163" i="1"/>
  <c r="L163" i="1"/>
  <c r="J163" i="1"/>
  <c r="I163" i="1"/>
  <c r="H163" i="1"/>
  <c r="G163" i="1"/>
  <c r="F163" i="1"/>
  <c r="E163" i="1"/>
  <c r="D163" i="1"/>
  <c r="AG162" i="1"/>
  <c r="AE162" i="1"/>
  <c r="AD162" i="1"/>
  <c r="AB162" i="1"/>
  <c r="AA162" i="1"/>
  <c r="Y162" i="1"/>
  <c r="W162" i="1"/>
  <c r="U162" i="1"/>
  <c r="S162" i="1"/>
  <c r="Q162" i="1"/>
  <c r="P162" i="1"/>
  <c r="N162" i="1"/>
  <c r="L162" i="1"/>
  <c r="J162" i="1"/>
  <c r="I162" i="1"/>
  <c r="H162" i="1"/>
  <c r="G162" i="1"/>
  <c r="F162" i="1"/>
  <c r="E162" i="1"/>
  <c r="D162" i="1"/>
  <c r="AG161" i="1"/>
  <c r="AE161" i="1"/>
  <c r="AD161" i="1"/>
  <c r="AB161" i="1"/>
  <c r="AA161" i="1"/>
  <c r="Y161" i="1"/>
  <c r="W161" i="1"/>
  <c r="U161" i="1"/>
  <c r="S161" i="1"/>
  <c r="Q161" i="1"/>
  <c r="P161" i="1"/>
  <c r="N161" i="1"/>
  <c r="L161" i="1"/>
  <c r="J161" i="1"/>
  <c r="I161" i="1"/>
  <c r="H161" i="1"/>
  <c r="F161" i="1"/>
  <c r="E161" i="1"/>
  <c r="D161" i="1"/>
  <c r="AG160" i="1"/>
  <c r="AE160" i="1"/>
  <c r="AD160" i="1"/>
  <c r="AB160" i="1"/>
  <c r="AA160" i="1"/>
  <c r="Y160" i="1"/>
  <c r="W160" i="1"/>
  <c r="U160" i="1"/>
  <c r="S160" i="1"/>
  <c r="Q160" i="1"/>
  <c r="P160" i="1"/>
  <c r="N160" i="1"/>
  <c r="L160" i="1"/>
  <c r="J160" i="1"/>
  <c r="I160" i="1"/>
  <c r="H160" i="1"/>
  <c r="G160" i="1"/>
  <c r="F160" i="1"/>
  <c r="E160" i="1"/>
  <c r="D160" i="1"/>
  <c r="AG159" i="1"/>
  <c r="AE159" i="1"/>
  <c r="AD159" i="1"/>
  <c r="AB159" i="1"/>
  <c r="AA159" i="1"/>
  <c r="Y159" i="1"/>
  <c r="W159" i="1"/>
  <c r="U159" i="1"/>
  <c r="S159" i="1"/>
  <c r="Q159" i="1"/>
  <c r="P159" i="1"/>
  <c r="N159" i="1"/>
  <c r="L159" i="1"/>
  <c r="J159" i="1"/>
  <c r="I159" i="1"/>
  <c r="H159" i="1"/>
  <c r="G159" i="1"/>
  <c r="F159" i="1"/>
  <c r="E159" i="1"/>
  <c r="D159" i="1"/>
  <c r="AG158" i="1"/>
  <c r="AE158" i="1"/>
  <c r="AD158" i="1"/>
  <c r="AB158" i="1"/>
  <c r="AA158" i="1"/>
  <c r="Y158" i="1"/>
  <c r="W158" i="1"/>
  <c r="U158" i="1"/>
  <c r="S158" i="1"/>
  <c r="Q158" i="1"/>
  <c r="P158" i="1"/>
  <c r="N158" i="1"/>
  <c r="L158" i="1"/>
  <c r="J158" i="1"/>
  <c r="I158" i="1"/>
  <c r="H158" i="1"/>
  <c r="F158" i="1"/>
  <c r="E158" i="1"/>
  <c r="D158" i="1"/>
  <c r="AG157" i="1"/>
  <c r="AE157" i="1"/>
  <c r="AD157" i="1"/>
  <c r="AB157" i="1"/>
  <c r="AA157" i="1"/>
  <c r="Y157" i="1"/>
  <c r="W157" i="1"/>
  <c r="U157" i="1"/>
  <c r="S157" i="1"/>
  <c r="Q157" i="1"/>
  <c r="P157" i="1"/>
  <c r="N157" i="1"/>
  <c r="L157" i="1"/>
  <c r="J157" i="1"/>
  <c r="I157" i="1"/>
  <c r="H157" i="1"/>
  <c r="G157" i="1"/>
  <c r="F157" i="1"/>
  <c r="E157" i="1"/>
  <c r="D157" i="1"/>
  <c r="AG156" i="1"/>
  <c r="AE156" i="1"/>
  <c r="AD156" i="1"/>
  <c r="AB156" i="1"/>
  <c r="AA156" i="1"/>
  <c r="Y156" i="1"/>
  <c r="W156" i="1"/>
  <c r="U156" i="1"/>
  <c r="S156" i="1"/>
  <c r="Q156" i="1"/>
  <c r="P156" i="1"/>
  <c r="N156" i="1"/>
  <c r="L156" i="1"/>
  <c r="J156" i="1"/>
  <c r="I156" i="1"/>
  <c r="H156" i="1"/>
  <c r="G156" i="1"/>
  <c r="F156" i="1"/>
  <c r="E156" i="1"/>
  <c r="D156" i="1"/>
  <c r="AG155" i="1"/>
  <c r="AE155" i="1"/>
  <c r="AD155" i="1"/>
  <c r="AB155" i="1"/>
  <c r="AA155" i="1"/>
  <c r="Y155" i="1"/>
  <c r="W155" i="1"/>
  <c r="U155" i="1"/>
  <c r="S155" i="1"/>
  <c r="Q155" i="1"/>
  <c r="P155" i="1"/>
  <c r="N155" i="1"/>
  <c r="L155" i="1"/>
  <c r="J155" i="1"/>
  <c r="I155" i="1"/>
  <c r="H155" i="1"/>
  <c r="G155" i="1"/>
  <c r="F155" i="1"/>
  <c r="E155" i="1"/>
  <c r="D155" i="1"/>
  <c r="AG154" i="1"/>
  <c r="AE154" i="1"/>
  <c r="AD154" i="1"/>
  <c r="AB154" i="1"/>
  <c r="AA154" i="1"/>
  <c r="Y154" i="1"/>
  <c r="W154" i="1"/>
  <c r="U154" i="1"/>
  <c r="S154" i="1"/>
  <c r="Q154" i="1"/>
  <c r="P154" i="1"/>
  <c r="N154" i="1"/>
  <c r="L154" i="1"/>
  <c r="J154" i="1"/>
  <c r="I154" i="1"/>
  <c r="H154" i="1"/>
  <c r="G154" i="1"/>
  <c r="F154" i="1"/>
  <c r="E154" i="1"/>
  <c r="D154" i="1"/>
  <c r="AG153" i="1"/>
  <c r="AE153" i="1"/>
  <c r="AD153" i="1"/>
  <c r="AB153" i="1"/>
  <c r="AA153" i="1"/>
  <c r="Y153" i="1"/>
  <c r="W153" i="1"/>
  <c r="U153" i="1"/>
  <c r="S153" i="1"/>
  <c r="Q153" i="1"/>
  <c r="P153" i="1"/>
  <c r="N153" i="1"/>
  <c r="L153" i="1"/>
  <c r="J153" i="1"/>
  <c r="I153" i="1"/>
  <c r="H153" i="1"/>
  <c r="G153" i="1"/>
  <c r="F153" i="1"/>
  <c r="E153" i="1"/>
  <c r="D153" i="1"/>
  <c r="AG152" i="1"/>
  <c r="AE152" i="1"/>
  <c r="AD152" i="1"/>
  <c r="AB152" i="1"/>
  <c r="AA152" i="1"/>
  <c r="Y152" i="1"/>
  <c r="W152" i="1"/>
  <c r="U152" i="1"/>
  <c r="S152" i="1"/>
  <c r="Q152" i="1"/>
  <c r="P152" i="1"/>
  <c r="N152" i="1"/>
  <c r="L152" i="1"/>
  <c r="J152" i="1"/>
  <c r="I152" i="1"/>
  <c r="H152" i="1"/>
  <c r="F152" i="1"/>
  <c r="E152" i="1"/>
  <c r="D152" i="1"/>
  <c r="AG151" i="1"/>
  <c r="AE151" i="1"/>
  <c r="AD151" i="1"/>
  <c r="AB151" i="1"/>
  <c r="AA151" i="1"/>
  <c r="Y151" i="1"/>
  <c r="W151" i="1"/>
  <c r="U151" i="1"/>
  <c r="S151" i="1"/>
  <c r="Q151" i="1"/>
  <c r="P151" i="1"/>
  <c r="N151" i="1"/>
  <c r="L151" i="1"/>
  <c r="J151" i="1"/>
  <c r="I151" i="1"/>
  <c r="H151" i="1"/>
  <c r="G151" i="1"/>
  <c r="F151" i="1"/>
  <c r="E151" i="1"/>
  <c r="D151" i="1"/>
  <c r="AG150" i="1"/>
  <c r="AE150" i="1"/>
  <c r="AD150" i="1"/>
  <c r="AB150" i="1"/>
  <c r="AA150" i="1"/>
  <c r="Y150" i="1"/>
  <c r="W150" i="1"/>
  <c r="U150" i="1"/>
  <c r="S150" i="1"/>
  <c r="Q150" i="1"/>
  <c r="P150" i="1"/>
  <c r="N150" i="1"/>
  <c r="L150" i="1"/>
  <c r="J150" i="1"/>
  <c r="I150" i="1"/>
  <c r="H150" i="1"/>
  <c r="F150" i="1"/>
  <c r="E150" i="1"/>
  <c r="D150" i="1"/>
  <c r="AG149" i="1"/>
  <c r="AE149" i="1"/>
  <c r="AD149" i="1"/>
  <c r="AB149" i="1"/>
  <c r="AA149" i="1"/>
  <c r="Y149" i="1"/>
  <c r="W149" i="1"/>
  <c r="U149" i="1"/>
  <c r="S149" i="1"/>
  <c r="Q149" i="1"/>
  <c r="P149" i="1"/>
  <c r="N149" i="1"/>
  <c r="L149" i="1"/>
  <c r="J149" i="1"/>
  <c r="I149" i="1"/>
  <c r="H149" i="1"/>
  <c r="G149" i="1"/>
  <c r="F149" i="1"/>
  <c r="E149" i="1"/>
  <c r="D149" i="1"/>
  <c r="AG148" i="1"/>
  <c r="AE148" i="1"/>
  <c r="AD148" i="1"/>
  <c r="AB148" i="1"/>
  <c r="AA148" i="1"/>
  <c r="Y148" i="1"/>
  <c r="W148" i="1"/>
  <c r="U148" i="1"/>
  <c r="S148" i="1"/>
  <c r="Q148" i="1"/>
  <c r="P148" i="1"/>
  <c r="N148" i="1"/>
  <c r="L148" i="1"/>
  <c r="J148" i="1"/>
  <c r="I148" i="1"/>
  <c r="H148" i="1"/>
  <c r="G148" i="1"/>
  <c r="F148" i="1"/>
  <c r="E148" i="1"/>
  <c r="D148" i="1"/>
  <c r="AH147" i="1"/>
  <c r="AG147" i="1"/>
  <c r="AE147" i="1"/>
  <c r="AD147" i="1"/>
  <c r="AB147" i="1"/>
  <c r="AA147" i="1"/>
  <c r="Y147" i="1"/>
  <c r="W147" i="1"/>
  <c r="U147" i="1"/>
  <c r="S147" i="1"/>
  <c r="Q147" i="1"/>
  <c r="O147" i="1"/>
  <c r="P147" i="1" s="1"/>
  <c r="N147" i="1"/>
  <c r="L147" i="1"/>
  <c r="J147" i="1"/>
  <c r="I147" i="1"/>
  <c r="H147" i="1"/>
  <c r="G147" i="1"/>
  <c r="F147" i="1"/>
  <c r="E147" i="1"/>
  <c r="D147" i="1"/>
  <c r="AG146" i="1"/>
  <c r="AE146" i="1"/>
  <c r="AD146" i="1"/>
  <c r="AB146" i="1"/>
  <c r="AA146" i="1"/>
  <c r="Y146" i="1"/>
  <c r="W146" i="1"/>
  <c r="U146" i="1"/>
  <c r="S146" i="1"/>
  <c r="Q146" i="1"/>
  <c r="P146" i="1"/>
  <c r="N146" i="1"/>
  <c r="L146" i="1"/>
  <c r="J146" i="1"/>
  <c r="I146" i="1"/>
  <c r="H146" i="1"/>
  <c r="G146" i="1"/>
  <c r="F146" i="1"/>
  <c r="E146" i="1"/>
  <c r="D146" i="1"/>
  <c r="AG145" i="1"/>
  <c r="AF145" i="1"/>
  <c r="AE145" i="1"/>
  <c r="AD145" i="1"/>
  <c r="AB145" i="1"/>
  <c r="AA145" i="1"/>
  <c r="Y145" i="1"/>
  <c r="W145" i="1"/>
  <c r="U145" i="1"/>
  <c r="S145" i="1"/>
  <c r="Q145" i="1"/>
  <c r="P145" i="1"/>
  <c r="N145" i="1"/>
  <c r="L145" i="1"/>
  <c r="J145" i="1"/>
  <c r="I145" i="1"/>
  <c r="H145" i="1"/>
  <c r="F145" i="1"/>
  <c r="E145" i="1"/>
  <c r="D145" i="1"/>
  <c r="AG144" i="1"/>
  <c r="AF144" i="1"/>
  <c r="AE144" i="1"/>
  <c r="AD144" i="1"/>
  <c r="AB144" i="1"/>
  <c r="AA144" i="1"/>
  <c r="Y144" i="1"/>
  <c r="W144" i="1"/>
  <c r="U144" i="1"/>
  <c r="S144" i="1"/>
  <c r="R144" i="1"/>
  <c r="Q144" i="1"/>
  <c r="P144" i="1"/>
  <c r="N144" i="1"/>
  <c r="L144" i="1"/>
  <c r="J144" i="1"/>
  <c r="I144" i="1"/>
  <c r="H144" i="1"/>
  <c r="G144" i="1"/>
  <c r="F144" i="1"/>
  <c r="E144" i="1"/>
  <c r="D144" i="1"/>
  <c r="AG143" i="1"/>
  <c r="AE143" i="1"/>
  <c r="AD143" i="1"/>
  <c r="AB143" i="1"/>
  <c r="AA143" i="1"/>
  <c r="Y143" i="1"/>
  <c r="W143" i="1"/>
  <c r="U143" i="1"/>
  <c r="S143" i="1"/>
  <c r="Q143" i="1"/>
  <c r="O143" i="1"/>
  <c r="P143" i="1" s="1"/>
  <c r="N143" i="1"/>
  <c r="L143" i="1"/>
  <c r="J143" i="1"/>
  <c r="I143" i="1"/>
  <c r="H143" i="1"/>
  <c r="G143" i="1"/>
  <c r="F143" i="1"/>
  <c r="E143" i="1"/>
  <c r="D143" i="1"/>
  <c r="AG142" i="1"/>
  <c r="AE142" i="1"/>
  <c r="AD142" i="1"/>
  <c r="AB142" i="1"/>
  <c r="AA142" i="1"/>
  <c r="Y142" i="1"/>
  <c r="W142" i="1"/>
  <c r="U142" i="1"/>
  <c r="S142" i="1"/>
  <c r="Q142" i="1"/>
  <c r="P142" i="1"/>
  <c r="N142" i="1"/>
  <c r="L142" i="1"/>
  <c r="J142" i="1"/>
  <c r="I142" i="1"/>
  <c r="H142" i="1"/>
  <c r="F142" i="1"/>
  <c r="E142" i="1"/>
  <c r="D142" i="1"/>
  <c r="AG141" i="1"/>
  <c r="AE141" i="1"/>
  <c r="AD141" i="1"/>
  <c r="AB141" i="1"/>
  <c r="AA141" i="1"/>
  <c r="Y141" i="1"/>
  <c r="W141" i="1"/>
  <c r="U141" i="1"/>
  <c r="S141" i="1"/>
  <c r="Q141" i="1"/>
  <c r="P141" i="1"/>
  <c r="N141" i="1"/>
  <c r="L141" i="1"/>
  <c r="J141" i="1"/>
  <c r="I141" i="1"/>
  <c r="H141" i="1"/>
  <c r="G141" i="1"/>
  <c r="F141" i="1"/>
  <c r="E141" i="1"/>
  <c r="D141" i="1"/>
  <c r="AG140" i="1"/>
  <c r="AE140" i="1"/>
  <c r="AD140" i="1"/>
  <c r="AB140" i="1"/>
  <c r="AA140" i="1"/>
  <c r="Y140" i="1"/>
  <c r="W140" i="1"/>
  <c r="U140" i="1"/>
  <c r="S140" i="1"/>
  <c r="Q140" i="1"/>
  <c r="P140" i="1"/>
  <c r="N140" i="1"/>
  <c r="L140" i="1"/>
  <c r="J140" i="1"/>
  <c r="I140" i="1"/>
  <c r="H140" i="1"/>
  <c r="F140" i="1"/>
  <c r="E140" i="1"/>
  <c r="D140" i="1"/>
  <c r="AG139" i="1"/>
  <c r="AE139" i="1"/>
  <c r="AD139" i="1"/>
  <c r="AB139" i="1"/>
  <c r="AA139" i="1"/>
  <c r="Y139" i="1"/>
  <c r="W139" i="1"/>
  <c r="U139" i="1"/>
  <c r="S139" i="1"/>
  <c r="Q139" i="1"/>
  <c r="P139" i="1"/>
  <c r="N139" i="1"/>
  <c r="L139" i="1"/>
  <c r="J139" i="1"/>
  <c r="I139" i="1"/>
  <c r="H139" i="1"/>
  <c r="F139" i="1"/>
  <c r="E139" i="1"/>
  <c r="D139" i="1"/>
  <c r="AG138" i="1"/>
  <c r="AE138" i="1"/>
  <c r="AD138" i="1"/>
  <c r="AB138" i="1"/>
  <c r="AA138" i="1"/>
  <c r="Y138" i="1"/>
  <c r="W138" i="1"/>
  <c r="U138" i="1"/>
  <c r="S138" i="1"/>
  <c r="Q138" i="1"/>
  <c r="P138" i="1"/>
  <c r="N138" i="1"/>
  <c r="L138" i="1"/>
  <c r="J138" i="1"/>
  <c r="I138" i="1"/>
  <c r="H138" i="1"/>
  <c r="F138" i="1"/>
  <c r="E138" i="1"/>
  <c r="D138" i="1"/>
  <c r="AG137" i="1"/>
  <c r="AE137" i="1"/>
  <c r="AD137" i="1"/>
  <c r="AB137" i="1"/>
  <c r="AA137" i="1"/>
  <c r="Y137" i="1"/>
  <c r="W137" i="1"/>
  <c r="U137" i="1"/>
  <c r="S137" i="1"/>
  <c r="Q137" i="1"/>
  <c r="P137" i="1"/>
  <c r="N137" i="1"/>
  <c r="L137" i="1"/>
  <c r="J137" i="1"/>
  <c r="I137" i="1"/>
  <c r="H137" i="1"/>
  <c r="F137" i="1"/>
  <c r="E137" i="1"/>
  <c r="D137" i="1"/>
  <c r="AG136" i="1"/>
  <c r="AE136" i="1"/>
  <c r="AD136" i="1"/>
  <c r="AB136" i="1"/>
  <c r="AA136" i="1"/>
  <c r="Y136" i="1"/>
  <c r="W136" i="1"/>
  <c r="U136" i="1"/>
  <c r="S136" i="1"/>
  <c r="Q136" i="1"/>
  <c r="P136" i="1"/>
  <c r="N136" i="1"/>
  <c r="L136" i="1"/>
  <c r="J136" i="1"/>
  <c r="I136" i="1"/>
  <c r="H136" i="1"/>
  <c r="G136" i="1"/>
  <c r="F136" i="1"/>
  <c r="E136" i="1"/>
  <c r="D136" i="1"/>
  <c r="AG135" i="1"/>
  <c r="AE135" i="1"/>
  <c r="AD135" i="1"/>
  <c r="AB135" i="1"/>
  <c r="AA135" i="1"/>
  <c r="Y135" i="1"/>
  <c r="W135" i="1"/>
  <c r="U135" i="1"/>
  <c r="S135" i="1"/>
  <c r="Q135" i="1"/>
  <c r="P135" i="1"/>
  <c r="N135" i="1"/>
  <c r="L135" i="1"/>
  <c r="J135" i="1"/>
  <c r="I135" i="1"/>
  <c r="H135" i="1"/>
  <c r="F135" i="1"/>
  <c r="E135" i="1"/>
  <c r="D135" i="1"/>
  <c r="AG134" i="1"/>
  <c r="AE134" i="1"/>
  <c r="AD134" i="1"/>
  <c r="AB134" i="1"/>
  <c r="AA134" i="1"/>
  <c r="Y134" i="1"/>
  <c r="W134" i="1"/>
  <c r="U134" i="1"/>
  <c r="S134" i="1"/>
  <c r="Q134" i="1"/>
  <c r="P134" i="1"/>
  <c r="N134" i="1"/>
  <c r="L134" i="1"/>
  <c r="J134" i="1"/>
  <c r="I134" i="1"/>
  <c r="H134" i="1"/>
  <c r="F134" i="1"/>
  <c r="E134" i="1"/>
  <c r="D134" i="1"/>
  <c r="AG133" i="1"/>
  <c r="AE133" i="1"/>
  <c r="AD133" i="1"/>
  <c r="AB133" i="1"/>
  <c r="AA133" i="1"/>
  <c r="Y133" i="1"/>
  <c r="W133" i="1"/>
  <c r="U133" i="1"/>
  <c r="S133" i="1"/>
  <c r="Q133" i="1"/>
  <c r="P133" i="1"/>
  <c r="N133" i="1"/>
  <c r="L133" i="1"/>
  <c r="J133" i="1"/>
  <c r="I133" i="1"/>
  <c r="H133" i="1"/>
  <c r="G133" i="1"/>
  <c r="F133" i="1"/>
  <c r="E133" i="1"/>
  <c r="D133" i="1"/>
  <c r="AG132" i="1"/>
  <c r="AE132" i="1"/>
  <c r="AD132" i="1"/>
  <c r="AB132" i="1"/>
  <c r="AA132" i="1"/>
  <c r="Y132" i="1"/>
  <c r="W132" i="1"/>
  <c r="U132" i="1"/>
  <c r="S132" i="1"/>
  <c r="Q132" i="1"/>
  <c r="P132" i="1"/>
  <c r="N132" i="1"/>
  <c r="L132" i="1"/>
  <c r="J132" i="1"/>
  <c r="I132" i="1"/>
  <c r="H132" i="1"/>
  <c r="F132" i="1"/>
  <c r="E132" i="1"/>
  <c r="D132" i="1"/>
  <c r="AG131" i="1"/>
  <c r="AE131" i="1"/>
  <c r="AD131" i="1"/>
  <c r="AB131" i="1"/>
  <c r="AA131" i="1"/>
  <c r="Y131" i="1"/>
  <c r="W131" i="1"/>
  <c r="U131" i="1"/>
  <c r="S131" i="1"/>
  <c r="Q131" i="1"/>
  <c r="P131" i="1"/>
  <c r="N131" i="1"/>
  <c r="L131" i="1"/>
  <c r="J131" i="1"/>
  <c r="I131" i="1"/>
  <c r="H131" i="1"/>
  <c r="F131" i="1"/>
  <c r="E131" i="1"/>
  <c r="D131" i="1"/>
  <c r="AG130" i="1"/>
  <c r="AE130" i="1"/>
  <c r="AD130" i="1"/>
  <c r="AB130" i="1"/>
  <c r="AA130" i="1"/>
  <c r="Y130" i="1"/>
  <c r="W130" i="1"/>
  <c r="U130" i="1"/>
  <c r="S130" i="1"/>
  <c r="Q130" i="1"/>
  <c r="P130" i="1"/>
  <c r="N130" i="1"/>
  <c r="L130" i="1"/>
  <c r="J130" i="1"/>
  <c r="I130" i="1"/>
  <c r="H130" i="1"/>
  <c r="F130" i="1"/>
  <c r="E130" i="1"/>
  <c r="D130" i="1"/>
  <c r="AG129" i="1"/>
  <c r="AE129" i="1"/>
  <c r="AD129" i="1"/>
  <c r="AB129" i="1"/>
  <c r="AA129" i="1"/>
  <c r="Y129" i="1"/>
  <c r="W129" i="1"/>
  <c r="U129" i="1"/>
  <c r="S129" i="1"/>
  <c r="Q129" i="1"/>
  <c r="P129" i="1"/>
  <c r="N129" i="1"/>
  <c r="L129" i="1"/>
  <c r="J129" i="1"/>
  <c r="I129" i="1"/>
  <c r="H129" i="1"/>
  <c r="G129" i="1"/>
  <c r="F129" i="1"/>
  <c r="E129" i="1"/>
  <c r="D129" i="1"/>
  <c r="AG128" i="1"/>
  <c r="AE128" i="1"/>
  <c r="AD128" i="1"/>
  <c r="AB128" i="1"/>
  <c r="AA128" i="1"/>
  <c r="Y128" i="1"/>
  <c r="W128" i="1"/>
  <c r="U128" i="1"/>
  <c r="S128" i="1"/>
  <c r="Q128" i="1"/>
  <c r="P128" i="1"/>
  <c r="N128" i="1"/>
  <c r="L128" i="1"/>
  <c r="J128" i="1"/>
  <c r="I128" i="1"/>
  <c r="H128" i="1"/>
  <c r="F128" i="1"/>
  <c r="E128" i="1"/>
  <c r="D128" i="1"/>
  <c r="AG127" i="1"/>
  <c r="AE127" i="1"/>
  <c r="AC127" i="1"/>
  <c r="AD127" i="1" s="1"/>
  <c r="AB127" i="1"/>
  <c r="AA127" i="1"/>
  <c r="Y127" i="1"/>
  <c r="W127" i="1"/>
  <c r="U127" i="1"/>
  <c r="S127" i="1"/>
  <c r="Q127" i="1"/>
  <c r="P127" i="1"/>
  <c r="N127" i="1"/>
  <c r="L127" i="1"/>
  <c r="J127" i="1"/>
  <c r="I127" i="1"/>
  <c r="H127" i="1"/>
  <c r="G127" i="1"/>
  <c r="F127" i="1"/>
  <c r="E127" i="1"/>
  <c r="D127" i="1"/>
  <c r="AG126" i="1"/>
  <c r="AE126" i="1"/>
  <c r="AD126" i="1"/>
  <c r="AB126" i="1"/>
  <c r="AA126" i="1"/>
  <c r="Y126" i="1"/>
  <c r="W126" i="1"/>
  <c r="U126" i="1"/>
  <c r="S126" i="1"/>
  <c r="Q126" i="1"/>
  <c r="P126" i="1"/>
  <c r="N126" i="1"/>
  <c r="L126" i="1"/>
  <c r="J126" i="1"/>
  <c r="I126" i="1"/>
  <c r="H126" i="1"/>
  <c r="F126" i="1"/>
  <c r="E126" i="1"/>
  <c r="D126" i="1"/>
  <c r="AG125" i="1"/>
  <c r="AE125" i="1"/>
  <c r="AD125" i="1"/>
  <c r="AB125" i="1"/>
  <c r="AA125" i="1"/>
  <c r="Y125" i="1"/>
  <c r="W125" i="1"/>
  <c r="U125" i="1"/>
  <c r="S125" i="1"/>
  <c r="R125" i="1"/>
  <c r="Q125" i="1"/>
  <c r="P125" i="1"/>
  <c r="N125" i="1"/>
  <c r="L125" i="1"/>
  <c r="J125" i="1"/>
  <c r="I125" i="1"/>
  <c r="H125" i="1"/>
  <c r="G125" i="1"/>
  <c r="F125" i="1"/>
  <c r="E125" i="1"/>
  <c r="D125" i="1"/>
  <c r="AG124" i="1"/>
  <c r="AE124" i="1"/>
  <c r="AD124" i="1"/>
  <c r="AB124" i="1"/>
  <c r="AA124" i="1"/>
  <c r="Y124" i="1"/>
  <c r="W124" i="1"/>
  <c r="U124" i="1"/>
  <c r="S124" i="1"/>
  <c r="Q124" i="1"/>
  <c r="P124" i="1"/>
  <c r="N124" i="1"/>
  <c r="L124" i="1"/>
  <c r="J124" i="1"/>
  <c r="I124" i="1"/>
  <c r="H124" i="1"/>
  <c r="F124" i="1"/>
  <c r="E124" i="1"/>
  <c r="D124" i="1"/>
  <c r="AG123" i="1"/>
  <c r="AE123" i="1"/>
  <c r="AD123" i="1"/>
  <c r="AB123" i="1"/>
  <c r="AA123" i="1"/>
  <c r="Y123" i="1"/>
  <c r="W123" i="1"/>
  <c r="U123" i="1"/>
  <c r="S123" i="1"/>
  <c r="Q123" i="1"/>
  <c r="P123" i="1"/>
  <c r="N123" i="1"/>
  <c r="L123" i="1"/>
  <c r="J123" i="1"/>
  <c r="I123" i="1"/>
  <c r="H123" i="1"/>
  <c r="F123" i="1"/>
  <c r="E123" i="1"/>
  <c r="D123" i="1"/>
  <c r="AG122" i="1"/>
  <c r="AE122" i="1"/>
  <c r="AD122" i="1"/>
  <c r="AB122" i="1"/>
  <c r="AA122" i="1"/>
  <c r="Y122" i="1"/>
  <c r="W122" i="1"/>
  <c r="U122" i="1"/>
  <c r="S122" i="1"/>
  <c r="Q122" i="1"/>
  <c r="P122" i="1"/>
  <c r="N122" i="1"/>
  <c r="L122" i="1"/>
  <c r="J122" i="1"/>
  <c r="I122" i="1"/>
  <c r="H122" i="1"/>
  <c r="F122" i="1"/>
  <c r="E122" i="1"/>
  <c r="D122" i="1"/>
  <c r="AG121" i="1"/>
  <c r="AE121" i="1"/>
  <c r="AD121" i="1"/>
  <c r="AB121" i="1"/>
  <c r="AA121" i="1"/>
  <c r="Y121" i="1"/>
  <c r="W121" i="1"/>
  <c r="U121" i="1"/>
  <c r="S121" i="1"/>
  <c r="Q121" i="1"/>
  <c r="P121" i="1"/>
  <c r="N121" i="1"/>
  <c r="L121" i="1"/>
  <c r="J121" i="1"/>
  <c r="I121" i="1"/>
  <c r="H121" i="1"/>
  <c r="F121" i="1"/>
  <c r="E121" i="1"/>
  <c r="D121" i="1"/>
  <c r="AG120" i="1"/>
  <c r="AE120" i="1"/>
  <c r="AD120" i="1"/>
  <c r="AB120" i="1"/>
  <c r="AA120" i="1"/>
  <c r="Y120" i="1"/>
  <c r="W120" i="1"/>
  <c r="U120" i="1"/>
  <c r="S120" i="1"/>
  <c r="Q120" i="1"/>
  <c r="P120" i="1"/>
  <c r="N120" i="1"/>
  <c r="L120" i="1"/>
  <c r="J120" i="1"/>
  <c r="I120" i="1"/>
  <c r="H120" i="1"/>
  <c r="F120" i="1"/>
  <c r="E120" i="1"/>
  <c r="D120" i="1"/>
  <c r="AG119" i="1"/>
  <c r="AE119" i="1"/>
  <c r="AD119" i="1"/>
  <c r="AB119" i="1"/>
  <c r="AA119" i="1"/>
  <c r="Y119" i="1"/>
  <c r="W119" i="1"/>
  <c r="U119" i="1"/>
  <c r="S119" i="1"/>
  <c r="Q119" i="1"/>
  <c r="P119" i="1"/>
  <c r="N119" i="1"/>
  <c r="L119" i="1"/>
  <c r="J119" i="1"/>
  <c r="I119" i="1"/>
  <c r="H119" i="1"/>
  <c r="G119" i="1"/>
  <c r="F119" i="1"/>
  <c r="E119" i="1"/>
  <c r="D119" i="1"/>
  <c r="AG118" i="1"/>
  <c r="AE118" i="1"/>
  <c r="AD118" i="1"/>
  <c r="AB118" i="1"/>
  <c r="AA118" i="1"/>
  <c r="Y118" i="1"/>
  <c r="W118" i="1"/>
  <c r="U118" i="1"/>
  <c r="S118" i="1"/>
  <c r="Q118" i="1"/>
  <c r="P118" i="1"/>
  <c r="N118" i="1"/>
  <c r="L118" i="1"/>
  <c r="J118" i="1"/>
  <c r="I118" i="1"/>
  <c r="H118" i="1"/>
  <c r="F118" i="1"/>
  <c r="E118" i="1"/>
  <c r="D118" i="1"/>
  <c r="AG117" i="1"/>
  <c r="AE117" i="1"/>
  <c r="AD117" i="1"/>
  <c r="AB117" i="1"/>
  <c r="AA117" i="1"/>
  <c r="Y117" i="1"/>
  <c r="W117" i="1"/>
  <c r="U117" i="1"/>
  <c r="S117" i="1"/>
  <c r="Q117" i="1"/>
  <c r="P117" i="1"/>
  <c r="N117" i="1"/>
  <c r="L117" i="1"/>
  <c r="J117" i="1"/>
  <c r="I117" i="1"/>
  <c r="H117" i="1"/>
  <c r="F117" i="1"/>
  <c r="E117" i="1"/>
  <c r="D117" i="1"/>
  <c r="AG116" i="1"/>
  <c r="AE116" i="1"/>
  <c r="AD116" i="1"/>
  <c r="AB116" i="1"/>
  <c r="AA116" i="1"/>
  <c r="Y116" i="1"/>
  <c r="W116" i="1"/>
  <c r="U116" i="1"/>
  <c r="S116" i="1"/>
  <c r="Q116" i="1"/>
  <c r="P116" i="1"/>
  <c r="N116" i="1"/>
  <c r="L116" i="1"/>
  <c r="J116" i="1"/>
  <c r="I116" i="1"/>
  <c r="H116" i="1"/>
  <c r="F116" i="1"/>
  <c r="E116" i="1"/>
  <c r="D116" i="1"/>
  <c r="AG115" i="1"/>
  <c r="AE115" i="1"/>
  <c r="AD115" i="1"/>
  <c r="AB115" i="1"/>
  <c r="AA115" i="1"/>
  <c r="Y115" i="1"/>
  <c r="W115" i="1"/>
  <c r="U115" i="1"/>
  <c r="S115" i="1"/>
  <c r="Q115" i="1"/>
  <c r="P115" i="1"/>
  <c r="N115" i="1"/>
  <c r="L115" i="1"/>
  <c r="J115" i="1"/>
  <c r="I115" i="1"/>
  <c r="H115" i="1"/>
  <c r="F115" i="1"/>
  <c r="E115" i="1"/>
  <c r="D115" i="1"/>
  <c r="AG114" i="1"/>
  <c r="AE114" i="1"/>
  <c r="AD114" i="1"/>
  <c r="AB114" i="1"/>
  <c r="AA114" i="1"/>
  <c r="Y114" i="1"/>
  <c r="W114" i="1"/>
  <c r="U114" i="1"/>
  <c r="S114" i="1"/>
  <c r="Q114" i="1"/>
  <c r="P114" i="1"/>
  <c r="N114" i="1"/>
  <c r="L114" i="1"/>
  <c r="J114" i="1"/>
  <c r="I114" i="1"/>
  <c r="H114" i="1"/>
  <c r="F114" i="1"/>
  <c r="E114" i="1"/>
  <c r="D114" i="1"/>
  <c r="AG113" i="1"/>
  <c r="AE113" i="1"/>
  <c r="AD113" i="1"/>
  <c r="AB113" i="1"/>
  <c r="AA113" i="1"/>
  <c r="Y113" i="1"/>
  <c r="W113" i="1"/>
  <c r="U113" i="1"/>
  <c r="S113" i="1"/>
  <c r="Q113" i="1"/>
  <c r="P113" i="1"/>
  <c r="N113" i="1"/>
  <c r="L113" i="1"/>
  <c r="J113" i="1"/>
  <c r="I113" i="1"/>
  <c r="H113" i="1"/>
  <c r="F113" i="1"/>
  <c r="E113" i="1"/>
  <c r="D113" i="1"/>
  <c r="AG112" i="1"/>
  <c r="AE112" i="1"/>
  <c r="AD112" i="1"/>
  <c r="AB112" i="1"/>
  <c r="AA112" i="1"/>
  <c r="Y112" i="1"/>
  <c r="W112" i="1"/>
  <c r="U112" i="1"/>
  <c r="S112" i="1"/>
  <c r="Q112" i="1"/>
  <c r="P112" i="1"/>
  <c r="N112" i="1"/>
  <c r="L112" i="1"/>
  <c r="J112" i="1"/>
  <c r="I112" i="1"/>
  <c r="H112" i="1"/>
  <c r="F112" i="1"/>
  <c r="E112" i="1"/>
  <c r="D112" i="1"/>
  <c r="AG111" i="1"/>
  <c r="AE111" i="1"/>
  <c r="AD111" i="1"/>
  <c r="AB111" i="1"/>
  <c r="AA111" i="1"/>
  <c r="Y111" i="1"/>
  <c r="W111" i="1"/>
  <c r="U111" i="1"/>
  <c r="S111" i="1"/>
  <c r="Q111" i="1"/>
  <c r="P111" i="1"/>
  <c r="N111" i="1"/>
  <c r="L111" i="1"/>
  <c r="J111" i="1"/>
  <c r="I111" i="1"/>
  <c r="H111" i="1"/>
  <c r="G111" i="1"/>
  <c r="F111" i="1"/>
  <c r="E111" i="1"/>
  <c r="D111" i="1"/>
  <c r="AG110" i="1"/>
  <c r="AE110" i="1"/>
  <c r="AD110" i="1"/>
  <c r="AB110" i="1"/>
  <c r="AA110" i="1"/>
  <c r="Y110" i="1"/>
  <c r="W110" i="1"/>
  <c r="U110" i="1"/>
  <c r="S110" i="1"/>
  <c r="Q110" i="1"/>
  <c r="P110" i="1"/>
  <c r="N110" i="1"/>
  <c r="L110" i="1"/>
  <c r="J110" i="1"/>
  <c r="I110" i="1"/>
  <c r="H110" i="1"/>
  <c r="G110" i="1"/>
  <c r="F110" i="1"/>
  <c r="E110" i="1"/>
  <c r="D110" i="1"/>
  <c r="AG109" i="1"/>
  <c r="AE109" i="1"/>
  <c r="AD109" i="1"/>
  <c r="AB109" i="1"/>
  <c r="AA109" i="1"/>
  <c r="Y109" i="1"/>
  <c r="W109" i="1"/>
  <c r="U109" i="1"/>
  <c r="S109" i="1"/>
  <c r="Q109" i="1"/>
  <c r="P109" i="1"/>
  <c r="N109" i="1"/>
  <c r="L109" i="1"/>
  <c r="J109" i="1"/>
  <c r="I109" i="1"/>
  <c r="H109" i="1"/>
  <c r="F109" i="1"/>
  <c r="E109" i="1"/>
  <c r="D109" i="1"/>
  <c r="AG108" i="1"/>
  <c r="AE108" i="1"/>
  <c r="AD108" i="1"/>
  <c r="AB108" i="1"/>
  <c r="AA108" i="1"/>
  <c r="Y108" i="1"/>
  <c r="W108" i="1"/>
  <c r="U108" i="1"/>
  <c r="S108" i="1"/>
  <c r="Q108" i="1"/>
  <c r="P108" i="1"/>
  <c r="N108" i="1"/>
  <c r="L108" i="1"/>
  <c r="J108" i="1"/>
  <c r="I108" i="1"/>
  <c r="H108" i="1"/>
  <c r="F108" i="1"/>
  <c r="E108" i="1"/>
  <c r="D108" i="1"/>
  <c r="AG107" i="1"/>
  <c r="AE107" i="1"/>
  <c r="AD107" i="1"/>
  <c r="AB107" i="1"/>
  <c r="AA107" i="1"/>
  <c r="Y107" i="1"/>
  <c r="W107" i="1"/>
  <c r="U107" i="1"/>
  <c r="S107" i="1"/>
  <c r="Q107" i="1"/>
  <c r="P107" i="1"/>
  <c r="N107" i="1"/>
  <c r="L107" i="1"/>
  <c r="J107" i="1"/>
  <c r="I107" i="1"/>
  <c r="H107" i="1"/>
  <c r="F107" i="1"/>
  <c r="E107" i="1"/>
  <c r="D107" i="1"/>
  <c r="AG106" i="1"/>
  <c r="AE106" i="1"/>
  <c r="AD106" i="1"/>
  <c r="AB106" i="1"/>
  <c r="AA106" i="1"/>
  <c r="Y106" i="1"/>
  <c r="W106" i="1"/>
  <c r="U106" i="1"/>
  <c r="S106" i="1"/>
  <c r="Q106" i="1"/>
  <c r="P106" i="1"/>
  <c r="N106" i="1"/>
  <c r="L106" i="1"/>
  <c r="J106" i="1"/>
  <c r="I106" i="1"/>
  <c r="H106" i="1"/>
  <c r="F106" i="1"/>
  <c r="E106" i="1"/>
  <c r="D106" i="1"/>
  <c r="AG105" i="1"/>
  <c r="AE105" i="1"/>
  <c r="AD105" i="1"/>
  <c r="AB105" i="1"/>
  <c r="AA105" i="1"/>
  <c r="Y105" i="1"/>
  <c r="W105" i="1"/>
  <c r="U105" i="1"/>
  <c r="S105" i="1"/>
  <c r="Q105" i="1"/>
  <c r="P105" i="1"/>
  <c r="N105" i="1"/>
  <c r="L105" i="1"/>
  <c r="J105" i="1"/>
  <c r="I105" i="1"/>
  <c r="H105" i="1"/>
  <c r="F105" i="1"/>
  <c r="E105" i="1"/>
  <c r="D105" i="1"/>
  <c r="AG104" i="1"/>
  <c r="AE104" i="1"/>
  <c r="AD104" i="1"/>
  <c r="AB104" i="1"/>
  <c r="AA104" i="1"/>
  <c r="Y104" i="1"/>
  <c r="W104" i="1"/>
  <c r="U104" i="1"/>
  <c r="S104" i="1"/>
  <c r="Q104" i="1"/>
  <c r="P104" i="1"/>
  <c r="N104" i="1"/>
  <c r="L104" i="1"/>
  <c r="J104" i="1"/>
  <c r="I104" i="1"/>
  <c r="H104" i="1"/>
  <c r="G104" i="1"/>
  <c r="F104" i="1"/>
  <c r="E104" i="1"/>
  <c r="D104" i="1"/>
  <c r="AG103" i="1"/>
  <c r="AE103" i="1"/>
  <c r="AD103" i="1"/>
  <c r="AB103" i="1"/>
  <c r="AA103" i="1"/>
  <c r="Y103" i="1"/>
  <c r="W103" i="1"/>
  <c r="U103" i="1"/>
  <c r="T103" i="1"/>
  <c r="S103" i="1"/>
  <c r="Q103" i="1"/>
  <c r="P103" i="1"/>
  <c r="N103" i="1"/>
  <c r="L103" i="1"/>
  <c r="J103" i="1"/>
  <c r="I103" i="1"/>
  <c r="H103" i="1"/>
  <c r="G103" i="1"/>
  <c r="F103" i="1"/>
  <c r="E103" i="1"/>
  <c r="D103" i="1"/>
  <c r="AG102" i="1"/>
  <c r="AE102" i="1"/>
  <c r="AD102" i="1"/>
  <c r="AB102" i="1"/>
  <c r="AA102" i="1"/>
  <c r="Y102" i="1"/>
  <c r="W102" i="1"/>
  <c r="U102" i="1"/>
  <c r="S102" i="1"/>
  <c r="Q102" i="1"/>
  <c r="P102" i="1"/>
  <c r="N102" i="1"/>
  <c r="L102" i="1"/>
  <c r="J102" i="1"/>
  <c r="I102" i="1"/>
  <c r="H102" i="1"/>
  <c r="F102" i="1"/>
  <c r="E102" i="1"/>
  <c r="D102" i="1"/>
  <c r="AG101" i="1"/>
  <c r="AE101" i="1"/>
  <c r="AD101" i="1"/>
  <c r="AB101" i="1"/>
  <c r="AA101" i="1"/>
  <c r="Y101" i="1"/>
  <c r="W101" i="1"/>
  <c r="U101" i="1"/>
  <c r="S101" i="1"/>
  <c r="Q101" i="1"/>
  <c r="P101" i="1"/>
  <c r="N101" i="1"/>
  <c r="L101" i="1"/>
  <c r="J101" i="1"/>
  <c r="I101" i="1"/>
  <c r="H101" i="1"/>
  <c r="G101" i="1"/>
  <c r="F101" i="1"/>
  <c r="E101" i="1"/>
  <c r="D101" i="1"/>
  <c r="AG100" i="1"/>
  <c r="AE100" i="1"/>
  <c r="AD100" i="1"/>
  <c r="AB100" i="1"/>
  <c r="AA100" i="1"/>
  <c r="Y100" i="1"/>
  <c r="W100" i="1"/>
  <c r="U100" i="1"/>
  <c r="S100" i="1"/>
  <c r="Q100" i="1"/>
  <c r="P100" i="1"/>
  <c r="N100" i="1"/>
  <c r="L100" i="1"/>
  <c r="J100" i="1"/>
  <c r="I100" i="1"/>
  <c r="H100" i="1"/>
  <c r="G100" i="1"/>
  <c r="F100" i="1"/>
  <c r="E100" i="1"/>
  <c r="D100" i="1"/>
  <c r="AG99" i="1"/>
  <c r="AE99" i="1"/>
  <c r="AD99" i="1"/>
  <c r="AB99" i="1"/>
  <c r="AA99" i="1"/>
  <c r="Y99" i="1"/>
  <c r="W99" i="1"/>
  <c r="U99" i="1"/>
  <c r="S99" i="1"/>
  <c r="Q99" i="1"/>
  <c r="P99" i="1"/>
  <c r="N99" i="1"/>
  <c r="L99" i="1"/>
  <c r="J99" i="1"/>
  <c r="I99" i="1"/>
  <c r="H99" i="1"/>
  <c r="F99" i="1"/>
  <c r="E99" i="1"/>
  <c r="D99" i="1"/>
  <c r="AG98" i="1"/>
  <c r="AE98" i="1"/>
  <c r="AD98" i="1"/>
  <c r="AB98" i="1"/>
  <c r="AA98" i="1"/>
  <c r="Y98" i="1"/>
  <c r="W98" i="1"/>
  <c r="U98" i="1"/>
  <c r="S98" i="1"/>
  <c r="Q98" i="1"/>
  <c r="P98" i="1"/>
  <c r="N98" i="1"/>
  <c r="L98" i="1"/>
  <c r="J98" i="1"/>
  <c r="I98" i="1"/>
  <c r="H98" i="1"/>
  <c r="G98" i="1"/>
  <c r="F98" i="1"/>
  <c r="E98" i="1"/>
  <c r="D98" i="1"/>
  <c r="AG97" i="1"/>
  <c r="AE97" i="1"/>
  <c r="AD97" i="1"/>
  <c r="AB97" i="1"/>
  <c r="AA97" i="1"/>
  <c r="Y97" i="1"/>
  <c r="W97" i="1"/>
  <c r="U97" i="1"/>
  <c r="S97" i="1"/>
  <c r="Q97" i="1"/>
  <c r="P97" i="1"/>
  <c r="N97" i="1"/>
  <c r="L97" i="1"/>
  <c r="J97" i="1"/>
  <c r="I97" i="1"/>
  <c r="H97" i="1"/>
  <c r="F97" i="1"/>
  <c r="E97" i="1"/>
  <c r="D97" i="1"/>
  <c r="AG96" i="1"/>
  <c r="AE96" i="1"/>
  <c r="AD96" i="1"/>
  <c r="AB96" i="1"/>
  <c r="AA96" i="1"/>
  <c r="Y96" i="1"/>
  <c r="W96" i="1"/>
  <c r="U96" i="1"/>
  <c r="S96" i="1"/>
  <c r="Q96" i="1"/>
  <c r="P96" i="1"/>
  <c r="N96" i="1"/>
  <c r="L96" i="1"/>
  <c r="J96" i="1"/>
  <c r="I96" i="1"/>
  <c r="H96" i="1"/>
  <c r="G96" i="1"/>
  <c r="F96" i="1"/>
  <c r="E96" i="1"/>
  <c r="D96" i="1"/>
  <c r="AG95" i="1"/>
  <c r="AE95" i="1"/>
  <c r="AD95" i="1"/>
  <c r="AB95" i="1"/>
  <c r="AA95" i="1"/>
  <c r="Y95" i="1"/>
  <c r="W95" i="1"/>
  <c r="U95" i="1"/>
  <c r="S95" i="1"/>
  <c r="Q95" i="1"/>
  <c r="P95" i="1"/>
  <c r="N95" i="1"/>
  <c r="L95" i="1"/>
  <c r="J95" i="1"/>
  <c r="I95" i="1"/>
  <c r="H95" i="1"/>
  <c r="G95" i="1"/>
  <c r="F95" i="1"/>
  <c r="E95" i="1"/>
  <c r="D95" i="1"/>
  <c r="AG94" i="1"/>
  <c r="AE94" i="1"/>
  <c r="AD94" i="1"/>
  <c r="AB94" i="1"/>
  <c r="AA94" i="1"/>
  <c r="Y94" i="1"/>
  <c r="W94" i="1"/>
  <c r="U94" i="1"/>
  <c r="S94" i="1"/>
  <c r="Q94" i="1"/>
  <c r="P94" i="1"/>
  <c r="N94" i="1"/>
  <c r="L94" i="1"/>
  <c r="J94" i="1"/>
  <c r="I94" i="1"/>
  <c r="H94" i="1"/>
  <c r="G94" i="1"/>
  <c r="F94" i="1"/>
  <c r="E94" i="1"/>
  <c r="D94" i="1"/>
  <c r="AG93" i="1"/>
  <c r="AE93" i="1"/>
  <c r="AD93" i="1"/>
  <c r="AB93" i="1"/>
  <c r="AA93" i="1"/>
  <c r="Y93" i="1"/>
  <c r="W93" i="1"/>
  <c r="U93" i="1"/>
  <c r="S93" i="1"/>
  <c r="Q93" i="1"/>
  <c r="P93" i="1"/>
  <c r="N93" i="1"/>
  <c r="L93" i="1"/>
  <c r="J93" i="1"/>
  <c r="I93" i="1"/>
  <c r="H93" i="1"/>
  <c r="G93" i="1"/>
  <c r="F93" i="1"/>
  <c r="E93" i="1"/>
  <c r="D93" i="1"/>
  <c r="AG92" i="1"/>
  <c r="AE92" i="1"/>
  <c r="AD92" i="1"/>
  <c r="AB92" i="1"/>
  <c r="AA92" i="1"/>
  <c r="Y92" i="1"/>
  <c r="W92" i="1"/>
  <c r="U92" i="1"/>
  <c r="S92" i="1"/>
  <c r="R92" i="1"/>
  <c r="Q92" i="1"/>
  <c r="P92" i="1"/>
  <c r="N92" i="1"/>
  <c r="L92" i="1"/>
  <c r="J92" i="1"/>
  <c r="I92" i="1"/>
  <c r="H92" i="1"/>
  <c r="G92" i="1"/>
  <c r="F92" i="1"/>
  <c r="E92" i="1"/>
  <c r="D92" i="1"/>
  <c r="AG91" i="1"/>
  <c r="AE91" i="1"/>
  <c r="AD91" i="1"/>
  <c r="AB91" i="1"/>
  <c r="AA91" i="1"/>
  <c r="Y91" i="1"/>
  <c r="W91" i="1"/>
  <c r="U91" i="1"/>
  <c r="S91" i="1"/>
  <c r="Q91" i="1"/>
  <c r="P91" i="1"/>
  <c r="N91" i="1"/>
  <c r="L91" i="1"/>
  <c r="J91" i="1"/>
  <c r="I91" i="1"/>
  <c r="H91" i="1"/>
  <c r="F91" i="1"/>
  <c r="E91" i="1"/>
  <c r="D91" i="1"/>
  <c r="AG90" i="1"/>
  <c r="AE90" i="1"/>
  <c r="AD90" i="1"/>
  <c r="AB90" i="1"/>
  <c r="AA90" i="1"/>
  <c r="Y90" i="1"/>
  <c r="W90" i="1"/>
  <c r="U90" i="1"/>
  <c r="S90" i="1"/>
  <c r="Q90" i="1"/>
  <c r="P90" i="1"/>
  <c r="N90" i="1"/>
  <c r="L90" i="1"/>
  <c r="J90" i="1"/>
  <c r="I90" i="1"/>
  <c r="H90" i="1"/>
  <c r="F90" i="1"/>
  <c r="E90" i="1"/>
  <c r="D90" i="1"/>
  <c r="AG89" i="1"/>
  <c r="AE89" i="1"/>
  <c r="AD89" i="1"/>
  <c r="AB89" i="1"/>
  <c r="AA89" i="1"/>
  <c r="Y89" i="1"/>
  <c r="W89" i="1"/>
  <c r="U89" i="1"/>
  <c r="S89" i="1"/>
  <c r="Q89" i="1"/>
  <c r="P89" i="1"/>
  <c r="N89" i="1"/>
  <c r="L89" i="1"/>
  <c r="J89" i="1"/>
  <c r="I89" i="1"/>
  <c r="H89" i="1"/>
  <c r="F89" i="1"/>
  <c r="E89" i="1"/>
  <c r="D89" i="1"/>
  <c r="AG88" i="1"/>
  <c r="AE88" i="1"/>
  <c r="AD88" i="1"/>
  <c r="AB88" i="1"/>
  <c r="AA88" i="1"/>
  <c r="Y88" i="1"/>
  <c r="W88" i="1"/>
  <c r="U88" i="1"/>
  <c r="S88" i="1"/>
  <c r="Q88" i="1"/>
  <c r="P88" i="1"/>
  <c r="N88" i="1"/>
  <c r="L88" i="1"/>
  <c r="J88" i="1"/>
  <c r="I88" i="1"/>
  <c r="H88" i="1"/>
  <c r="G88" i="1"/>
  <c r="F88" i="1"/>
  <c r="E88" i="1"/>
  <c r="D88" i="1"/>
  <c r="AG87" i="1"/>
  <c r="AE87" i="1"/>
  <c r="AD87" i="1"/>
  <c r="AB87" i="1"/>
  <c r="AA87" i="1"/>
  <c r="Y87" i="1"/>
  <c r="W87" i="1"/>
  <c r="U87" i="1"/>
  <c r="S87" i="1"/>
  <c r="Q87" i="1"/>
  <c r="P87" i="1"/>
  <c r="N87" i="1"/>
  <c r="L87" i="1"/>
  <c r="J87" i="1"/>
  <c r="I87" i="1"/>
  <c r="H87" i="1"/>
  <c r="G87" i="1"/>
  <c r="F87" i="1"/>
  <c r="E87" i="1"/>
  <c r="D87" i="1"/>
  <c r="AG86" i="1"/>
  <c r="AE86" i="1"/>
  <c r="AD86" i="1"/>
  <c r="AB86" i="1"/>
  <c r="AA86" i="1"/>
  <c r="Y86" i="1"/>
  <c r="W86" i="1"/>
  <c r="U86" i="1"/>
  <c r="S86" i="1"/>
  <c r="Q86" i="1"/>
  <c r="P86" i="1"/>
  <c r="N86" i="1"/>
  <c r="L86" i="1"/>
  <c r="J86" i="1"/>
  <c r="I86" i="1"/>
  <c r="H86" i="1"/>
  <c r="G86" i="1"/>
  <c r="F86" i="1"/>
  <c r="E86" i="1"/>
  <c r="D86" i="1"/>
  <c r="AG85" i="1"/>
  <c r="AE85" i="1"/>
  <c r="AD85" i="1"/>
  <c r="AB85" i="1"/>
  <c r="AA85" i="1"/>
  <c r="Y85" i="1"/>
  <c r="W85" i="1"/>
  <c r="U85" i="1"/>
  <c r="S85" i="1"/>
  <c r="Q85" i="1"/>
  <c r="P85" i="1"/>
  <c r="N85" i="1"/>
  <c r="L85" i="1"/>
  <c r="J85" i="1"/>
  <c r="I85" i="1"/>
  <c r="H85" i="1"/>
  <c r="F85" i="1"/>
  <c r="E85" i="1"/>
  <c r="D85" i="1"/>
  <c r="AG84" i="1"/>
  <c r="AE84" i="1"/>
  <c r="AD84" i="1"/>
  <c r="AB84" i="1"/>
  <c r="AA84" i="1"/>
  <c r="Y84" i="1"/>
  <c r="W84" i="1"/>
  <c r="U84" i="1"/>
  <c r="S84" i="1"/>
  <c r="Q84" i="1"/>
  <c r="P84" i="1"/>
  <c r="N84" i="1"/>
  <c r="L84" i="1"/>
  <c r="J84" i="1"/>
  <c r="I84" i="1"/>
  <c r="H84" i="1"/>
  <c r="F84" i="1"/>
  <c r="E84" i="1"/>
  <c r="D84" i="1"/>
  <c r="AG83" i="1"/>
  <c r="AE83" i="1"/>
  <c r="AD83" i="1"/>
  <c r="AB83" i="1"/>
  <c r="AA83" i="1"/>
  <c r="Y83" i="1"/>
  <c r="W83" i="1"/>
  <c r="U83" i="1"/>
  <c r="S83" i="1"/>
  <c r="Q83" i="1"/>
  <c r="P83" i="1"/>
  <c r="N83" i="1"/>
  <c r="L83" i="1"/>
  <c r="J83" i="1"/>
  <c r="I83" i="1"/>
  <c r="H83" i="1"/>
  <c r="G83" i="1"/>
  <c r="F83" i="1"/>
  <c r="E83" i="1"/>
  <c r="D83" i="1"/>
  <c r="AG82" i="1"/>
  <c r="AE82" i="1"/>
  <c r="AD82" i="1"/>
  <c r="AB82" i="1"/>
  <c r="AA82" i="1"/>
  <c r="Y82" i="1"/>
  <c r="W82" i="1"/>
  <c r="U82" i="1"/>
  <c r="T82" i="1"/>
  <c r="S82" i="1"/>
  <c r="Q82" i="1"/>
  <c r="P82" i="1"/>
  <c r="N82" i="1"/>
  <c r="L82" i="1"/>
  <c r="J82" i="1"/>
  <c r="I82" i="1"/>
  <c r="H82" i="1"/>
  <c r="G82" i="1"/>
  <c r="F82" i="1"/>
  <c r="E82" i="1"/>
  <c r="D82" i="1"/>
  <c r="AG81" i="1"/>
  <c r="AE81" i="1"/>
  <c r="AD81" i="1"/>
  <c r="AB81" i="1"/>
  <c r="AA81" i="1"/>
  <c r="Y81" i="1"/>
  <c r="W81" i="1"/>
  <c r="U81" i="1"/>
  <c r="S81" i="1"/>
  <c r="Q81" i="1"/>
  <c r="P81" i="1"/>
  <c r="N81" i="1"/>
  <c r="L81" i="1"/>
  <c r="J81" i="1"/>
  <c r="I81" i="1"/>
  <c r="H81" i="1"/>
  <c r="G81" i="1"/>
  <c r="F81" i="1"/>
  <c r="E81" i="1"/>
  <c r="D81" i="1"/>
  <c r="AG80" i="1"/>
  <c r="AE80" i="1"/>
  <c r="AD80" i="1"/>
  <c r="AB80" i="1"/>
  <c r="AA80" i="1"/>
  <c r="Y80" i="1"/>
  <c r="W80" i="1"/>
  <c r="U80" i="1"/>
  <c r="S80" i="1"/>
  <c r="Q80" i="1"/>
  <c r="P80" i="1"/>
  <c r="N80" i="1"/>
  <c r="L80" i="1"/>
  <c r="J80" i="1"/>
  <c r="I80" i="1"/>
  <c r="H80" i="1"/>
  <c r="F80" i="1"/>
  <c r="E80" i="1"/>
  <c r="D80" i="1"/>
  <c r="AG79" i="1"/>
  <c r="AE79" i="1"/>
  <c r="AD79" i="1"/>
  <c r="AB79" i="1"/>
  <c r="AA79" i="1"/>
  <c r="Y79" i="1"/>
  <c r="W79" i="1"/>
  <c r="U79" i="1"/>
  <c r="S79" i="1"/>
  <c r="Q79" i="1"/>
  <c r="P79" i="1"/>
  <c r="N79" i="1"/>
  <c r="L79" i="1"/>
  <c r="J79" i="1"/>
  <c r="I79" i="1"/>
  <c r="H79" i="1"/>
  <c r="G79" i="1"/>
  <c r="F79" i="1"/>
  <c r="E79" i="1"/>
  <c r="D79" i="1"/>
  <c r="AG78" i="1"/>
  <c r="AE78" i="1"/>
  <c r="AD78" i="1"/>
  <c r="AB78" i="1"/>
  <c r="AA78" i="1"/>
  <c r="Y78" i="1"/>
  <c r="W78" i="1"/>
  <c r="U78" i="1"/>
  <c r="S78" i="1"/>
  <c r="Q78" i="1"/>
  <c r="P78" i="1"/>
  <c r="N78" i="1"/>
  <c r="L78" i="1"/>
  <c r="J78" i="1"/>
  <c r="I78" i="1"/>
  <c r="H78" i="1"/>
  <c r="G78" i="1"/>
  <c r="F78" i="1"/>
  <c r="E78" i="1"/>
  <c r="D78" i="1"/>
  <c r="AG77" i="1"/>
  <c r="AF77" i="1"/>
  <c r="AE77" i="1"/>
  <c r="AD77" i="1"/>
  <c r="AB77" i="1"/>
  <c r="AA77" i="1"/>
  <c r="Y77" i="1"/>
  <c r="W77" i="1"/>
  <c r="U77" i="1"/>
  <c r="S77" i="1"/>
  <c r="Q77" i="1"/>
  <c r="P77" i="1"/>
  <c r="N77" i="1"/>
  <c r="L77" i="1"/>
  <c r="K77" i="1"/>
  <c r="J77" i="1"/>
  <c r="I77" i="1"/>
  <c r="H77" i="1"/>
  <c r="G77" i="1"/>
  <c r="F77" i="1"/>
  <c r="E77" i="1"/>
  <c r="D77" i="1"/>
  <c r="AG76" i="1"/>
  <c r="AE76" i="1"/>
  <c r="AD76" i="1"/>
  <c r="AB76" i="1"/>
  <c r="AA76" i="1"/>
  <c r="Y76" i="1"/>
  <c r="W76" i="1"/>
  <c r="U76" i="1"/>
  <c r="S76" i="1"/>
  <c r="Q76" i="1"/>
  <c r="P76" i="1"/>
  <c r="N76" i="1"/>
  <c r="L76" i="1"/>
  <c r="J76" i="1"/>
  <c r="I76" i="1"/>
  <c r="H76" i="1"/>
  <c r="F76" i="1"/>
  <c r="E76" i="1"/>
  <c r="D76" i="1"/>
  <c r="AG75" i="1"/>
  <c r="AE75" i="1"/>
  <c r="AD75" i="1"/>
  <c r="AB75" i="1"/>
  <c r="AA75" i="1"/>
  <c r="Y75" i="1"/>
  <c r="W75" i="1"/>
  <c r="U75" i="1"/>
  <c r="S75" i="1"/>
  <c r="Q75" i="1"/>
  <c r="P75" i="1"/>
  <c r="N75" i="1"/>
  <c r="L75" i="1"/>
  <c r="J75" i="1"/>
  <c r="I75" i="1"/>
  <c r="H75" i="1"/>
  <c r="G75" i="1"/>
  <c r="F75" i="1"/>
  <c r="E75" i="1"/>
  <c r="D75" i="1"/>
  <c r="AG74" i="1"/>
  <c r="AE74" i="1"/>
  <c r="AD74" i="1"/>
  <c r="AB74" i="1"/>
  <c r="AA74" i="1"/>
  <c r="Y74" i="1"/>
  <c r="X74" i="1"/>
  <c r="W74" i="1"/>
  <c r="U74" i="1"/>
  <c r="S74" i="1"/>
  <c r="Q74" i="1"/>
  <c r="P74" i="1"/>
  <c r="N74" i="1"/>
  <c r="L74" i="1"/>
  <c r="J74" i="1"/>
  <c r="I74" i="1"/>
  <c r="H74" i="1"/>
  <c r="G74" i="1"/>
  <c r="F74" i="1"/>
  <c r="E74" i="1"/>
  <c r="D74" i="1"/>
  <c r="AG73" i="1"/>
  <c r="AE73" i="1"/>
  <c r="AD73" i="1"/>
  <c r="AB73" i="1"/>
  <c r="AA73" i="1"/>
  <c r="Y73" i="1"/>
  <c r="W73" i="1"/>
  <c r="U73" i="1"/>
  <c r="S73" i="1"/>
  <c r="Q73" i="1"/>
  <c r="P73" i="1"/>
  <c r="N73" i="1"/>
  <c r="L73" i="1"/>
  <c r="J73" i="1"/>
  <c r="I73" i="1"/>
  <c r="H73" i="1"/>
  <c r="F73" i="1"/>
  <c r="E73" i="1"/>
  <c r="D73" i="1"/>
  <c r="AG72" i="1"/>
  <c r="AE72" i="1"/>
  <c r="AD72" i="1"/>
  <c r="AB72" i="1"/>
  <c r="AA72" i="1"/>
  <c r="Y72" i="1"/>
  <c r="W72" i="1"/>
  <c r="U72" i="1"/>
  <c r="S72" i="1"/>
  <c r="Q72" i="1"/>
  <c r="P72" i="1"/>
  <c r="N72" i="1"/>
  <c r="L72" i="1"/>
  <c r="J72" i="1"/>
  <c r="I72" i="1"/>
  <c r="H72" i="1"/>
  <c r="G72" i="1"/>
  <c r="F72" i="1"/>
  <c r="E72" i="1"/>
  <c r="D72" i="1"/>
  <c r="AG71" i="1"/>
  <c r="AE71" i="1"/>
  <c r="AD71" i="1"/>
  <c r="AB71" i="1"/>
  <c r="AA71" i="1"/>
  <c r="Y71" i="1"/>
  <c r="W71" i="1"/>
  <c r="U71" i="1"/>
  <c r="S71" i="1"/>
  <c r="Q71" i="1"/>
  <c r="P71" i="1"/>
  <c r="N71" i="1"/>
  <c r="L71" i="1"/>
  <c r="J71" i="1"/>
  <c r="I71" i="1"/>
  <c r="H71" i="1"/>
  <c r="F71" i="1"/>
  <c r="E71" i="1"/>
  <c r="D71" i="1"/>
  <c r="AH70" i="1"/>
  <c r="AG70" i="1"/>
  <c r="AE70" i="1"/>
  <c r="AD70" i="1"/>
  <c r="AB70" i="1"/>
  <c r="AA70" i="1"/>
  <c r="Y70" i="1"/>
  <c r="W70" i="1"/>
  <c r="U70" i="1"/>
  <c r="S70" i="1"/>
  <c r="Q70" i="1"/>
  <c r="P70" i="1"/>
  <c r="N70" i="1"/>
  <c r="L70" i="1"/>
  <c r="J70" i="1"/>
  <c r="I70" i="1"/>
  <c r="H70" i="1"/>
  <c r="F70" i="1"/>
  <c r="E70" i="1"/>
  <c r="D70" i="1"/>
  <c r="AG69" i="1"/>
  <c r="AF69" i="1"/>
  <c r="AE69" i="1"/>
  <c r="AD69" i="1"/>
  <c r="AB69" i="1"/>
  <c r="AA69" i="1"/>
  <c r="Y69" i="1"/>
  <c r="W69" i="1"/>
  <c r="U69" i="1"/>
  <c r="S69" i="1"/>
  <c r="Q69" i="1"/>
  <c r="P69" i="1"/>
  <c r="N69" i="1"/>
  <c r="L69" i="1"/>
  <c r="J69" i="1"/>
  <c r="I69" i="1"/>
  <c r="H69" i="1"/>
  <c r="G69" i="1"/>
  <c r="F69" i="1"/>
  <c r="E69" i="1"/>
  <c r="D69" i="1"/>
  <c r="AG68" i="1"/>
  <c r="AE68" i="1"/>
  <c r="AD68" i="1"/>
  <c r="AB68" i="1"/>
  <c r="AA68" i="1"/>
  <c r="Y68" i="1"/>
  <c r="W68" i="1"/>
  <c r="U68" i="1"/>
  <c r="S68" i="1"/>
  <c r="Q68" i="1"/>
  <c r="P68" i="1"/>
  <c r="N68" i="1"/>
  <c r="L68" i="1"/>
  <c r="J68" i="1"/>
  <c r="I68" i="1"/>
  <c r="H68" i="1"/>
  <c r="G68" i="1"/>
  <c r="F68" i="1"/>
  <c r="E68" i="1"/>
  <c r="D68" i="1"/>
  <c r="AG67" i="1"/>
  <c r="AE67" i="1"/>
  <c r="AD67" i="1"/>
  <c r="AB67" i="1"/>
  <c r="AA67" i="1"/>
  <c r="Y67" i="1"/>
  <c r="W67" i="1"/>
  <c r="U67" i="1"/>
  <c r="S67" i="1"/>
  <c r="Q67" i="1"/>
  <c r="P67" i="1"/>
  <c r="N67" i="1"/>
  <c r="L67" i="1"/>
  <c r="J67" i="1"/>
  <c r="I67" i="1"/>
  <c r="H67" i="1"/>
  <c r="F67" i="1"/>
  <c r="E67" i="1"/>
  <c r="D67" i="1"/>
  <c r="AG66" i="1"/>
  <c r="AE66" i="1"/>
  <c r="AD66" i="1"/>
  <c r="AB66" i="1"/>
  <c r="AA66" i="1"/>
  <c r="Y66" i="1"/>
  <c r="X66" i="1"/>
  <c r="W66" i="1"/>
  <c r="U66" i="1"/>
  <c r="S66" i="1"/>
  <c r="Q66" i="1"/>
  <c r="P66" i="1"/>
  <c r="N66" i="1"/>
  <c r="L66" i="1"/>
  <c r="J66" i="1"/>
  <c r="I66" i="1"/>
  <c r="H66" i="1"/>
  <c r="G66" i="1"/>
  <c r="F66" i="1"/>
  <c r="E66" i="1"/>
  <c r="D66" i="1"/>
  <c r="AG65" i="1"/>
  <c r="AE65" i="1"/>
  <c r="AD65" i="1"/>
  <c r="AB65" i="1"/>
  <c r="AA65" i="1"/>
  <c r="Y65" i="1"/>
  <c r="W65" i="1"/>
  <c r="U65" i="1"/>
  <c r="S65" i="1"/>
  <c r="Q65" i="1"/>
  <c r="P65" i="1"/>
  <c r="N65" i="1"/>
  <c r="L65" i="1"/>
  <c r="J65" i="1"/>
  <c r="I65" i="1"/>
  <c r="H65" i="1"/>
  <c r="G65" i="1"/>
  <c r="F65" i="1"/>
  <c r="E65" i="1"/>
  <c r="D65" i="1"/>
  <c r="AG64" i="1"/>
  <c r="AE64" i="1"/>
  <c r="AD64" i="1"/>
  <c r="AB64" i="1"/>
  <c r="AA64" i="1"/>
  <c r="Y64" i="1"/>
  <c r="W64" i="1"/>
  <c r="U64" i="1"/>
  <c r="S64" i="1"/>
  <c r="Q64" i="1"/>
  <c r="P64" i="1"/>
  <c r="N64" i="1"/>
  <c r="L64" i="1"/>
  <c r="J64" i="1"/>
  <c r="I64" i="1"/>
  <c r="H64" i="1"/>
  <c r="G64" i="1"/>
  <c r="F64" i="1"/>
  <c r="E64" i="1"/>
  <c r="D64" i="1"/>
  <c r="AG63" i="1"/>
  <c r="AE63" i="1"/>
  <c r="AD63" i="1"/>
  <c r="AB63" i="1"/>
  <c r="AA63" i="1"/>
  <c r="Y63" i="1"/>
  <c r="W63" i="1"/>
  <c r="U63" i="1"/>
  <c r="S63" i="1"/>
  <c r="Q63" i="1"/>
  <c r="P63" i="1"/>
  <c r="N63" i="1"/>
  <c r="L63" i="1"/>
  <c r="J63" i="1"/>
  <c r="I63" i="1"/>
  <c r="H63" i="1"/>
  <c r="G63" i="1"/>
  <c r="F63" i="1"/>
  <c r="E63" i="1"/>
  <c r="D63" i="1"/>
  <c r="AG62" i="1"/>
  <c r="AE62" i="1"/>
  <c r="AD62" i="1"/>
  <c r="AB62" i="1"/>
  <c r="AA62" i="1"/>
  <c r="Y62" i="1"/>
  <c r="W62" i="1"/>
  <c r="U62" i="1"/>
  <c r="S62" i="1"/>
  <c r="Q62" i="1"/>
  <c r="P62" i="1"/>
  <c r="N62" i="1"/>
  <c r="L62" i="1"/>
  <c r="J62" i="1"/>
  <c r="I62" i="1"/>
  <c r="H62" i="1"/>
  <c r="F62" i="1"/>
  <c r="E62" i="1"/>
  <c r="D62" i="1"/>
  <c r="AG61" i="1"/>
  <c r="AE61" i="1"/>
  <c r="AD61" i="1"/>
  <c r="AB61" i="1"/>
  <c r="AA61" i="1"/>
  <c r="Y61" i="1"/>
  <c r="W61" i="1"/>
  <c r="U61" i="1"/>
  <c r="S61" i="1"/>
  <c r="Q61" i="1"/>
  <c r="P61" i="1"/>
  <c r="N61" i="1"/>
  <c r="L61" i="1"/>
  <c r="J61" i="1"/>
  <c r="I61" i="1"/>
  <c r="H61" i="1"/>
  <c r="G61" i="1"/>
  <c r="F61" i="1"/>
  <c r="E61" i="1"/>
  <c r="D61" i="1"/>
  <c r="AG60" i="1"/>
  <c r="AE60" i="1"/>
  <c r="AD60" i="1"/>
  <c r="AB60" i="1"/>
  <c r="AA60" i="1"/>
  <c r="Y60" i="1"/>
  <c r="W60" i="1"/>
  <c r="U60" i="1"/>
  <c r="S60" i="1"/>
  <c r="R60" i="1"/>
  <c r="Q60" i="1"/>
  <c r="P60" i="1"/>
  <c r="N60" i="1"/>
  <c r="L60" i="1"/>
  <c r="J60" i="1"/>
  <c r="I60" i="1"/>
  <c r="H60" i="1"/>
  <c r="G60" i="1"/>
  <c r="F60" i="1"/>
  <c r="E60" i="1"/>
  <c r="D60" i="1"/>
  <c r="AG59" i="1"/>
  <c r="AE59" i="1"/>
  <c r="AD59" i="1"/>
  <c r="AB59" i="1"/>
  <c r="AA59" i="1"/>
  <c r="Y59" i="1"/>
  <c r="W59" i="1"/>
  <c r="U59" i="1"/>
  <c r="S59" i="1"/>
  <c r="Q59" i="1"/>
  <c r="P59" i="1"/>
  <c r="N59" i="1"/>
  <c r="L59" i="1"/>
  <c r="J59" i="1"/>
  <c r="I59" i="1"/>
  <c r="H59" i="1"/>
  <c r="F59" i="1"/>
  <c r="E59" i="1"/>
  <c r="D59" i="1"/>
  <c r="AG58" i="1"/>
  <c r="AE58" i="1"/>
  <c r="AD58" i="1"/>
  <c r="AB58" i="1"/>
  <c r="AA58" i="1"/>
  <c r="Y58" i="1"/>
  <c r="W58" i="1"/>
  <c r="U58" i="1"/>
  <c r="S58" i="1"/>
  <c r="Q58" i="1"/>
  <c r="P58" i="1"/>
  <c r="N58" i="1"/>
  <c r="M58" i="1"/>
  <c r="L58" i="1"/>
  <c r="J58" i="1"/>
  <c r="I58" i="1"/>
  <c r="H58" i="1"/>
  <c r="G58" i="1"/>
  <c r="F58" i="1"/>
  <c r="E58" i="1"/>
  <c r="D58" i="1"/>
  <c r="AG57" i="1"/>
  <c r="AE57" i="1"/>
  <c r="AD57" i="1"/>
  <c r="AB57" i="1"/>
  <c r="AA57" i="1"/>
  <c r="Y57" i="1"/>
  <c r="W57" i="1"/>
  <c r="U57" i="1"/>
  <c r="S57" i="1"/>
  <c r="Q57" i="1"/>
  <c r="P57" i="1"/>
  <c r="N57" i="1"/>
  <c r="L57" i="1"/>
  <c r="J57" i="1"/>
  <c r="I57" i="1"/>
  <c r="H57" i="1"/>
  <c r="G57" i="1"/>
  <c r="F57" i="1"/>
  <c r="E57" i="1"/>
  <c r="D57" i="1"/>
  <c r="AG56" i="1"/>
  <c r="AE56" i="1"/>
  <c r="AD56" i="1"/>
  <c r="AB56" i="1"/>
  <c r="AA56" i="1"/>
  <c r="Y56" i="1"/>
  <c r="W56" i="1"/>
  <c r="U56" i="1"/>
  <c r="S56" i="1"/>
  <c r="Q56" i="1"/>
  <c r="P56" i="1"/>
  <c r="N56" i="1"/>
  <c r="L56" i="1"/>
  <c r="J56" i="1"/>
  <c r="I56" i="1"/>
  <c r="H56" i="1"/>
  <c r="G56" i="1"/>
  <c r="F56" i="1"/>
  <c r="E56" i="1"/>
  <c r="D56" i="1"/>
  <c r="AG55" i="1"/>
  <c r="AE55" i="1"/>
  <c r="AD55" i="1"/>
  <c r="AB55" i="1"/>
  <c r="AA55" i="1"/>
  <c r="Y55" i="1"/>
  <c r="W55" i="1"/>
  <c r="U55" i="1"/>
  <c r="S55" i="1"/>
  <c r="R55" i="1"/>
  <c r="Q55" i="1"/>
  <c r="P55" i="1"/>
  <c r="N55" i="1"/>
  <c r="L55" i="1"/>
  <c r="J55" i="1"/>
  <c r="I55" i="1"/>
  <c r="H55" i="1"/>
  <c r="G55" i="1"/>
  <c r="F55" i="1"/>
  <c r="E55" i="1"/>
  <c r="D55" i="1"/>
  <c r="AG54" i="1"/>
  <c r="AE54" i="1"/>
  <c r="AD54" i="1"/>
  <c r="AB54" i="1"/>
  <c r="AA54" i="1"/>
  <c r="Y54" i="1"/>
  <c r="W54" i="1"/>
  <c r="U54" i="1"/>
  <c r="S54" i="1"/>
  <c r="Q54" i="1"/>
  <c r="P54" i="1"/>
  <c r="N54" i="1"/>
  <c r="L54" i="1"/>
  <c r="J54" i="1"/>
  <c r="I54" i="1"/>
  <c r="H54" i="1"/>
  <c r="F54" i="1"/>
  <c r="E54" i="1"/>
  <c r="D54" i="1"/>
  <c r="AG53" i="1"/>
  <c r="AE53" i="1"/>
  <c r="AD53" i="1"/>
  <c r="AB53" i="1"/>
  <c r="AA53" i="1"/>
  <c r="Y53" i="1"/>
  <c r="W53" i="1"/>
  <c r="U53" i="1"/>
  <c r="S53" i="1"/>
  <c r="Q53" i="1"/>
  <c r="P53" i="1"/>
  <c r="N53" i="1"/>
  <c r="L53" i="1"/>
  <c r="J53" i="1"/>
  <c r="I53" i="1"/>
  <c r="H53" i="1"/>
  <c r="G53" i="1"/>
  <c r="F53" i="1"/>
  <c r="E53" i="1"/>
  <c r="D53" i="1"/>
  <c r="AG52" i="1"/>
  <c r="AE52" i="1"/>
  <c r="AD52" i="1"/>
  <c r="AB52" i="1"/>
  <c r="AA52" i="1"/>
  <c r="Y52" i="1"/>
  <c r="W52" i="1"/>
  <c r="U52" i="1"/>
  <c r="S52" i="1"/>
  <c r="Q52" i="1"/>
  <c r="P52" i="1"/>
  <c r="N52" i="1"/>
  <c r="L52" i="1"/>
  <c r="J52" i="1"/>
  <c r="I52" i="1"/>
  <c r="H52" i="1"/>
  <c r="G52" i="1"/>
  <c r="F52" i="1"/>
  <c r="E52" i="1"/>
  <c r="D52" i="1"/>
  <c r="AG51" i="1"/>
  <c r="AE51" i="1"/>
  <c r="AD51" i="1"/>
  <c r="AB51" i="1"/>
  <c r="AA51" i="1"/>
  <c r="Y51" i="1"/>
  <c r="W51" i="1"/>
  <c r="U51" i="1"/>
  <c r="S51" i="1"/>
  <c r="Q51" i="1"/>
  <c r="P51" i="1"/>
  <c r="N51" i="1"/>
  <c r="M51" i="1"/>
  <c r="L51" i="1"/>
  <c r="J51" i="1"/>
  <c r="I51" i="1"/>
  <c r="H51" i="1"/>
  <c r="G51" i="1"/>
  <c r="F51" i="1"/>
  <c r="E51" i="1"/>
  <c r="D51" i="1"/>
  <c r="AG50" i="1"/>
  <c r="AE50" i="1"/>
  <c r="AD50" i="1"/>
  <c r="AB50" i="1"/>
  <c r="AA50" i="1"/>
  <c r="Y50" i="1"/>
  <c r="W50" i="1"/>
  <c r="U50" i="1"/>
  <c r="S50" i="1"/>
  <c r="Q50" i="1"/>
  <c r="P50" i="1"/>
  <c r="N50" i="1"/>
  <c r="L50" i="1"/>
  <c r="J50" i="1"/>
  <c r="I50" i="1"/>
  <c r="H50" i="1"/>
  <c r="G50" i="1"/>
  <c r="F50" i="1"/>
  <c r="E50" i="1"/>
  <c r="D50" i="1"/>
  <c r="AG49" i="1"/>
  <c r="AE49" i="1"/>
  <c r="AD49" i="1"/>
  <c r="AB49" i="1"/>
  <c r="AA49" i="1"/>
  <c r="Y49" i="1"/>
  <c r="W49" i="1"/>
  <c r="U49" i="1"/>
  <c r="S49" i="1"/>
  <c r="Q49" i="1"/>
  <c r="P49" i="1"/>
  <c r="N49" i="1"/>
  <c r="L49" i="1"/>
  <c r="J49" i="1"/>
  <c r="I49" i="1"/>
  <c r="H49" i="1"/>
  <c r="G49" i="1"/>
  <c r="F49" i="1"/>
  <c r="E49" i="1"/>
  <c r="D49" i="1"/>
  <c r="AG48" i="1"/>
  <c r="AE48" i="1"/>
  <c r="AD48" i="1"/>
  <c r="AB48" i="1"/>
  <c r="AA48" i="1"/>
  <c r="Y48" i="1"/>
  <c r="W48" i="1"/>
  <c r="V48" i="1"/>
  <c r="U48" i="1"/>
  <c r="S48" i="1"/>
  <c r="Q48" i="1"/>
  <c r="P48" i="1"/>
  <c r="N48" i="1"/>
  <c r="L48" i="1"/>
  <c r="J48" i="1"/>
  <c r="I48" i="1"/>
  <c r="H48" i="1"/>
  <c r="G48" i="1"/>
  <c r="F48" i="1"/>
  <c r="E48" i="1"/>
  <c r="D48" i="1"/>
  <c r="AG47" i="1"/>
  <c r="AE47" i="1"/>
  <c r="AD47" i="1"/>
  <c r="AB47" i="1"/>
  <c r="AA47" i="1"/>
  <c r="Y47" i="1"/>
  <c r="W47" i="1"/>
  <c r="U47" i="1"/>
  <c r="S47" i="1"/>
  <c r="Q47" i="1"/>
  <c r="P47" i="1"/>
  <c r="N47" i="1"/>
  <c r="L47" i="1"/>
  <c r="J47" i="1"/>
  <c r="I47" i="1"/>
  <c r="H47" i="1"/>
  <c r="F47" i="1"/>
  <c r="E47" i="1"/>
  <c r="D47" i="1"/>
  <c r="AG46" i="1"/>
  <c r="AE46" i="1"/>
  <c r="AD46" i="1"/>
  <c r="AB46" i="1"/>
  <c r="AA46" i="1"/>
  <c r="Y46" i="1"/>
  <c r="W46" i="1"/>
  <c r="U46" i="1"/>
  <c r="S46" i="1"/>
  <c r="Q46" i="1"/>
  <c r="P46" i="1"/>
  <c r="N46" i="1"/>
  <c r="L46" i="1"/>
  <c r="J46" i="1"/>
  <c r="I46" i="1"/>
  <c r="H46" i="1"/>
  <c r="G46" i="1"/>
  <c r="F46" i="1"/>
  <c r="E46" i="1"/>
  <c r="D46" i="1"/>
  <c r="AG45" i="1"/>
  <c r="AE45" i="1"/>
  <c r="AD45" i="1"/>
  <c r="AB45" i="1"/>
  <c r="AA45" i="1"/>
  <c r="Y45" i="1"/>
  <c r="W45" i="1"/>
  <c r="U45" i="1"/>
  <c r="S45" i="1"/>
  <c r="Q45" i="1"/>
  <c r="P45" i="1"/>
  <c r="N45" i="1"/>
  <c r="L45" i="1"/>
  <c r="J45" i="1"/>
  <c r="I45" i="1"/>
  <c r="H45" i="1"/>
  <c r="F45" i="1"/>
  <c r="E45" i="1"/>
  <c r="D45" i="1"/>
  <c r="AG44" i="1"/>
  <c r="AF44" i="1"/>
  <c r="AE44" i="1"/>
  <c r="AD44" i="1"/>
  <c r="AB44" i="1"/>
  <c r="AA44" i="1"/>
  <c r="Y44" i="1"/>
  <c r="W44" i="1"/>
  <c r="V44" i="1"/>
  <c r="U44" i="1"/>
  <c r="S44" i="1"/>
  <c r="Q44" i="1"/>
  <c r="P44" i="1"/>
  <c r="N44" i="1"/>
  <c r="L44" i="1"/>
  <c r="J44" i="1"/>
  <c r="I44" i="1"/>
  <c r="H44" i="1"/>
  <c r="G44" i="1"/>
  <c r="F44" i="1"/>
  <c r="E44" i="1"/>
  <c r="D44" i="1"/>
  <c r="AG43" i="1"/>
  <c r="AE43" i="1"/>
  <c r="AD43" i="1"/>
  <c r="AB43" i="1"/>
  <c r="AA43" i="1"/>
  <c r="Y43" i="1"/>
  <c r="W43" i="1"/>
  <c r="U43" i="1"/>
  <c r="S43" i="1"/>
  <c r="Q43" i="1"/>
  <c r="O43" i="1"/>
  <c r="P43" i="1" s="1"/>
  <c r="N43" i="1"/>
  <c r="L43" i="1"/>
  <c r="J43" i="1"/>
  <c r="I43" i="1"/>
  <c r="H43" i="1"/>
  <c r="G43" i="1"/>
  <c r="F43" i="1"/>
  <c r="E43" i="1"/>
  <c r="D43" i="1"/>
  <c r="AG42" i="1"/>
  <c r="AE42" i="1"/>
  <c r="AD42" i="1"/>
  <c r="AB42" i="1"/>
  <c r="AA42" i="1"/>
  <c r="Y42" i="1"/>
  <c r="W42" i="1"/>
  <c r="U42" i="1"/>
  <c r="S42" i="1"/>
  <c r="Q42" i="1"/>
  <c r="P42" i="1"/>
  <c r="N42" i="1"/>
  <c r="L42" i="1"/>
  <c r="J42" i="1"/>
  <c r="I42" i="1"/>
  <c r="H42" i="1"/>
  <c r="G42" i="1"/>
  <c r="F42" i="1"/>
  <c r="E42" i="1"/>
  <c r="D42" i="1"/>
  <c r="AG41" i="1"/>
  <c r="AE41" i="1"/>
  <c r="AD41" i="1"/>
  <c r="AB41" i="1"/>
  <c r="AA41" i="1"/>
  <c r="Y41" i="1"/>
  <c r="W41" i="1"/>
  <c r="U41" i="1"/>
  <c r="S41" i="1"/>
  <c r="Q41" i="1"/>
  <c r="P41" i="1"/>
  <c r="N41" i="1"/>
  <c r="M41" i="1"/>
  <c r="L41" i="1"/>
  <c r="J41" i="1"/>
  <c r="I41" i="1"/>
  <c r="H41" i="1"/>
  <c r="G41" i="1"/>
  <c r="F41" i="1"/>
  <c r="E41" i="1"/>
  <c r="D41" i="1"/>
  <c r="AG40" i="1"/>
  <c r="AE40" i="1"/>
  <c r="AD40" i="1"/>
  <c r="AB40" i="1"/>
  <c r="AA40" i="1"/>
  <c r="Y40" i="1"/>
  <c r="W40" i="1"/>
  <c r="U40" i="1"/>
  <c r="S40" i="1"/>
  <c r="Q40" i="1"/>
  <c r="P40" i="1"/>
  <c r="N40" i="1"/>
  <c r="L40" i="1"/>
  <c r="J40" i="1"/>
  <c r="I40" i="1"/>
  <c r="H40" i="1"/>
  <c r="G40" i="1"/>
  <c r="F40" i="1"/>
  <c r="E40" i="1"/>
  <c r="D40" i="1"/>
  <c r="AG39" i="1"/>
  <c r="AE39" i="1"/>
  <c r="AD39" i="1"/>
  <c r="AB39" i="1"/>
  <c r="Z39" i="1"/>
  <c r="AA39" i="1" s="1"/>
  <c r="Y39" i="1"/>
  <c r="W39" i="1"/>
  <c r="U39" i="1"/>
  <c r="S39" i="1"/>
  <c r="Q39" i="1"/>
  <c r="P39" i="1"/>
  <c r="N39" i="1"/>
  <c r="L39" i="1"/>
  <c r="J39" i="1"/>
  <c r="I39" i="1"/>
  <c r="H39" i="1"/>
  <c r="G39" i="1"/>
  <c r="F39" i="1"/>
  <c r="E39" i="1"/>
  <c r="D39" i="1"/>
  <c r="AG38" i="1"/>
  <c r="AE38" i="1"/>
  <c r="AD38" i="1"/>
  <c r="AB38" i="1"/>
  <c r="AA38" i="1"/>
  <c r="Y38" i="1"/>
  <c r="W38" i="1"/>
  <c r="U38" i="1"/>
  <c r="S38" i="1"/>
  <c r="Q38" i="1"/>
  <c r="P38" i="1"/>
  <c r="N38" i="1"/>
  <c r="L38" i="1"/>
  <c r="J38" i="1"/>
  <c r="I38" i="1"/>
  <c r="H38" i="1"/>
  <c r="G38" i="1"/>
  <c r="F38" i="1"/>
  <c r="E38" i="1"/>
  <c r="D38" i="1"/>
  <c r="AH37" i="1"/>
  <c r="AG37" i="1"/>
  <c r="AE37" i="1"/>
  <c r="AD37" i="1"/>
  <c r="AB37" i="1"/>
  <c r="AA37" i="1"/>
  <c r="Y37" i="1"/>
  <c r="W37" i="1"/>
  <c r="U37" i="1"/>
  <c r="T37" i="1"/>
  <c r="S37" i="1"/>
  <c r="Q37" i="1"/>
  <c r="P37" i="1"/>
  <c r="N37" i="1"/>
  <c r="L37" i="1"/>
  <c r="J37" i="1"/>
  <c r="I37" i="1"/>
  <c r="H37" i="1"/>
  <c r="G37" i="1"/>
  <c r="F37" i="1"/>
  <c r="E37" i="1"/>
  <c r="D37" i="1"/>
  <c r="AG36" i="1"/>
  <c r="AE36" i="1"/>
  <c r="AD36" i="1"/>
  <c r="AB36" i="1"/>
  <c r="AA36" i="1"/>
  <c r="Y36" i="1"/>
  <c r="W36" i="1"/>
  <c r="U36" i="1"/>
  <c r="S36" i="1"/>
  <c r="Q36" i="1"/>
  <c r="P36" i="1"/>
  <c r="N36" i="1"/>
  <c r="L36" i="1"/>
  <c r="J36" i="1"/>
  <c r="I36" i="1"/>
  <c r="H36" i="1"/>
  <c r="G36" i="1"/>
  <c r="F36" i="1"/>
  <c r="E36" i="1"/>
  <c r="D36" i="1"/>
  <c r="AG35" i="1"/>
  <c r="AE35" i="1"/>
  <c r="AD35" i="1"/>
  <c r="AB35" i="1"/>
  <c r="AA35" i="1"/>
  <c r="Y35" i="1"/>
  <c r="W35" i="1"/>
  <c r="U35" i="1"/>
  <c r="S35" i="1"/>
  <c r="Q35" i="1"/>
  <c r="P35" i="1"/>
  <c r="N35" i="1"/>
  <c r="L35" i="1"/>
  <c r="J35" i="1"/>
  <c r="I35" i="1"/>
  <c r="H35" i="1"/>
  <c r="G35" i="1"/>
  <c r="F35" i="1"/>
  <c r="E35" i="1"/>
  <c r="D35" i="1"/>
  <c r="AG34" i="1"/>
  <c r="AE34" i="1"/>
  <c r="AD34" i="1"/>
  <c r="AB34" i="1"/>
  <c r="AA34" i="1"/>
  <c r="Y34" i="1"/>
  <c r="W34" i="1"/>
  <c r="U34" i="1"/>
  <c r="S34" i="1"/>
  <c r="Q34" i="1"/>
  <c r="P34" i="1"/>
  <c r="N34" i="1"/>
  <c r="L34" i="1"/>
  <c r="J34" i="1"/>
  <c r="I34" i="1"/>
  <c r="H34" i="1"/>
  <c r="G34" i="1"/>
  <c r="F34" i="1"/>
  <c r="E34" i="1"/>
  <c r="D34" i="1"/>
  <c r="AG33" i="1"/>
  <c r="AF33" i="1"/>
  <c r="AE33" i="1"/>
  <c r="AD33" i="1"/>
  <c r="AB33" i="1"/>
  <c r="AA33" i="1"/>
  <c r="Y33" i="1"/>
  <c r="W33" i="1"/>
  <c r="U33" i="1"/>
  <c r="S33" i="1"/>
  <c r="Q33" i="1"/>
  <c r="P33" i="1"/>
  <c r="N33" i="1"/>
  <c r="L33" i="1"/>
  <c r="J33" i="1"/>
  <c r="I33" i="1"/>
  <c r="H33" i="1"/>
  <c r="F33" i="1"/>
  <c r="E33" i="1"/>
  <c r="D33" i="1"/>
  <c r="AG32" i="1"/>
  <c r="AE32" i="1"/>
  <c r="AD32" i="1"/>
  <c r="AB32" i="1"/>
  <c r="AA32" i="1"/>
  <c r="Y32" i="1"/>
  <c r="W32" i="1"/>
  <c r="U32" i="1"/>
  <c r="S32" i="1"/>
  <c r="Q32" i="1"/>
  <c r="P32" i="1"/>
  <c r="N32" i="1"/>
  <c r="L32" i="1"/>
  <c r="J32" i="1"/>
  <c r="I32" i="1"/>
  <c r="H32" i="1"/>
  <c r="G32" i="1"/>
  <c r="F32" i="1"/>
  <c r="E32" i="1"/>
  <c r="D32" i="1"/>
  <c r="AG31" i="1"/>
  <c r="AE31" i="1"/>
  <c r="AD31" i="1"/>
  <c r="AB31" i="1"/>
  <c r="AA31" i="1"/>
  <c r="Y31" i="1"/>
  <c r="W31" i="1"/>
  <c r="U31" i="1"/>
  <c r="S31" i="1"/>
  <c r="Q31" i="1"/>
  <c r="P31" i="1"/>
  <c r="N31" i="1"/>
  <c r="L31" i="1"/>
  <c r="J31" i="1"/>
  <c r="I31" i="1"/>
  <c r="H31" i="1"/>
  <c r="G31" i="1"/>
  <c r="F31" i="1"/>
  <c r="E31" i="1"/>
  <c r="D31" i="1"/>
  <c r="AG30" i="1"/>
  <c r="AE30" i="1"/>
  <c r="AD30" i="1"/>
  <c r="AB30" i="1"/>
  <c r="AA30" i="1"/>
  <c r="Y30" i="1"/>
  <c r="W30" i="1"/>
  <c r="U30" i="1"/>
  <c r="S30" i="1"/>
  <c r="Q30" i="1"/>
  <c r="P30" i="1"/>
  <c r="N30" i="1"/>
  <c r="L30" i="1"/>
  <c r="J30" i="1"/>
  <c r="I30" i="1"/>
  <c r="H30" i="1"/>
  <c r="G30" i="1"/>
  <c r="F30" i="1"/>
  <c r="E30" i="1"/>
  <c r="D30" i="1"/>
  <c r="AG29" i="1"/>
  <c r="AE29" i="1"/>
  <c r="AD29" i="1"/>
  <c r="AB29" i="1"/>
  <c r="AA29" i="1"/>
  <c r="Y29" i="1"/>
  <c r="W29" i="1"/>
  <c r="U29" i="1"/>
  <c r="S29" i="1"/>
  <c r="Q29" i="1"/>
  <c r="P29" i="1"/>
  <c r="N29" i="1"/>
  <c r="L29" i="1"/>
  <c r="J29" i="1"/>
  <c r="I29" i="1"/>
  <c r="H29" i="1"/>
  <c r="G29" i="1"/>
  <c r="F29" i="1"/>
  <c r="E29" i="1"/>
  <c r="D29" i="1"/>
  <c r="AG28" i="1"/>
  <c r="AE28" i="1"/>
  <c r="AD28" i="1"/>
  <c r="AB28" i="1"/>
  <c r="AA28" i="1"/>
  <c r="Y28" i="1"/>
  <c r="W28" i="1"/>
  <c r="U28" i="1"/>
  <c r="S28" i="1"/>
  <c r="Q28" i="1"/>
  <c r="P28" i="1"/>
  <c r="N28" i="1"/>
  <c r="L28" i="1"/>
  <c r="J28" i="1"/>
  <c r="I28" i="1"/>
  <c r="H28" i="1"/>
  <c r="G28" i="1"/>
  <c r="F28" i="1"/>
  <c r="E28" i="1"/>
  <c r="D28" i="1"/>
  <c r="AG27" i="1"/>
  <c r="AE27" i="1"/>
  <c r="AD27" i="1"/>
  <c r="AB27" i="1"/>
  <c r="AA27" i="1"/>
  <c r="Y27" i="1"/>
  <c r="W27" i="1"/>
  <c r="U27" i="1"/>
  <c r="S27" i="1"/>
  <c r="Q27" i="1"/>
  <c r="P27" i="1"/>
  <c r="N27" i="1"/>
  <c r="L27" i="1"/>
  <c r="J27" i="1"/>
  <c r="I27" i="1"/>
  <c r="H27" i="1"/>
  <c r="G27" i="1"/>
  <c r="F27" i="1"/>
  <c r="E27" i="1"/>
  <c r="D27" i="1"/>
  <c r="AG26" i="1"/>
  <c r="AE26" i="1"/>
  <c r="AD26" i="1"/>
  <c r="AB26" i="1"/>
  <c r="AA26" i="1"/>
  <c r="Y26" i="1"/>
  <c r="W26" i="1"/>
  <c r="U26" i="1"/>
  <c r="S26" i="1"/>
  <c r="Q26" i="1"/>
  <c r="P26" i="1"/>
  <c r="N26" i="1"/>
  <c r="L26" i="1"/>
  <c r="J26" i="1"/>
  <c r="I26" i="1"/>
  <c r="H26" i="1"/>
  <c r="G26" i="1"/>
  <c r="F26" i="1"/>
  <c r="E26" i="1"/>
  <c r="D26" i="1"/>
  <c r="AG25" i="1"/>
  <c r="AF25" i="1"/>
  <c r="AE25" i="1"/>
  <c r="AD25" i="1"/>
  <c r="AB25" i="1"/>
  <c r="AA25" i="1"/>
  <c r="Y25" i="1"/>
  <c r="W25" i="1"/>
  <c r="U25" i="1"/>
  <c r="S25" i="1"/>
  <c r="Q25" i="1"/>
  <c r="P25" i="1"/>
  <c r="N25" i="1"/>
  <c r="M25" i="1"/>
  <c r="L25" i="1"/>
  <c r="K25" i="1"/>
  <c r="J25" i="1"/>
  <c r="I25" i="1"/>
  <c r="H25" i="1"/>
  <c r="G25" i="1"/>
  <c r="F25" i="1"/>
  <c r="E25" i="1"/>
  <c r="D25" i="1"/>
  <c r="AG24" i="1"/>
  <c r="AE24" i="1"/>
  <c r="AD24" i="1"/>
  <c r="AB24" i="1"/>
  <c r="AA24" i="1"/>
  <c r="Y24" i="1"/>
  <c r="W24" i="1"/>
  <c r="U24" i="1"/>
  <c r="S24" i="1"/>
  <c r="Q24" i="1"/>
  <c r="P24" i="1"/>
  <c r="N24" i="1"/>
  <c r="L24" i="1"/>
  <c r="J24" i="1"/>
  <c r="I24" i="1"/>
  <c r="H24" i="1"/>
  <c r="G24" i="1"/>
  <c r="F24" i="1"/>
  <c r="E24" i="1"/>
  <c r="D24" i="1"/>
  <c r="AH23" i="1"/>
  <c r="AG23" i="1"/>
  <c r="AE23" i="1"/>
  <c r="AD23" i="1"/>
  <c r="AB23" i="1"/>
  <c r="AA23" i="1"/>
  <c r="Y23" i="1"/>
  <c r="W23" i="1"/>
  <c r="U23" i="1"/>
  <c r="S23" i="1"/>
  <c r="Q23" i="1"/>
  <c r="P23" i="1"/>
  <c r="N23" i="1"/>
  <c r="L23" i="1"/>
  <c r="K23" i="1"/>
  <c r="J23" i="1"/>
  <c r="I23" i="1"/>
  <c r="H23" i="1"/>
  <c r="G23" i="1"/>
  <c r="F23" i="1"/>
  <c r="E23" i="1"/>
  <c r="D23" i="1"/>
  <c r="AG22" i="1"/>
  <c r="AE22" i="1"/>
  <c r="AD22" i="1"/>
  <c r="AB22" i="1"/>
  <c r="AA22" i="1"/>
  <c r="Y22" i="1"/>
  <c r="W22" i="1"/>
  <c r="U22" i="1"/>
  <c r="S22" i="1"/>
  <c r="Q22" i="1"/>
  <c r="P22" i="1"/>
  <c r="N22" i="1"/>
  <c r="L22" i="1"/>
  <c r="J22" i="1"/>
  <c r="I22" i="1"/>
  <c r="H22" i="1"/>
  <c r="G22" i="1"/>
  <c r="F22" i="1"/>
  <c r="E22" i="1"/>
  <c r="D22" i="1"/>
  <c r="AG21" i="1"/>
  <c r="AE21" i="1"/>
  <c r="AD21" i="1"/>
  <c r="AB21" i="1"/>
  <c r="AA21" i="1"/>
  <c r="Y21" i="1"/>
  <c r="W21" i="1"/>
  <c r="U21" i="1"/>
  <c r="S21" i="1"/>
  <c r="Q21" i="1"/>
  <c r="P21" i="1"/>
  <c r="N21" i="1"/>
  <c r="L21" i="1"/>
  <c r="J21" i="1"/>
  <c r="I21" i="1"/>
  <c r="H21" i="1"/>
  <c r="G21" i="1"/>
  <c r="F21" i="1"/>
  <c r="E21" i="1"/>
  <c r="D21" i="1"/>
  <c r="AG20" i="1"/>
  <c r="AE20" i="1"/>
  <c r="AD20" i="1"/>
  <c r="AB20" i="1"/>
  <c r="AA20" i="1"/>
  <c r="Y20" i="1"/>
  <c r="W20" i="1"/>
  <c r="U20" i="1"/>
  <c r="S20" i="1"/>
  <c r="Q20" i="1"/>
  <c r="P20" i="1"/>
  <c r="N20" i="1"/>
  <c r="L20" i="1"/>
  <c r="J20" i="1"/>
  <c r="I20" i="1"/>
  <c r="H20" i="1"/>
  <c r="G20" i="1"/>
  <c r="F20" i="1"/>
  <c r="E20" i="1"/>
  <c r="D20" i="1"/>
  <c r="AG19" i="1"/>
  <c r="AE19" i="1"/>
  <c r="AD19" i="1"/>
  <c r="AB19" i="1"/>
  <c r="AA19" i="1"/>
  <c r="Y19" i="1"/>
  <c r="W19" i="1"/>
  <c r="U19" i="1"/>
  <c r="S19" i="1"/>
  <c r="Q19" i="1"/>
  <c r="O19" i="1"/>
  <c r="P19" i="1" s="1"/>
  <c r="N19" i="1"/>
  <c r="L19" i="1"/>
  <c r="K19" i="1"/>
  <c r="J19" i="1"/>
  <c r="I19" i="1"/>
  <c r="H19" i="1"/>
  <c r="G19" i="1"/>
  <c r="F19" i="1"/>
  <c r="E19" i="1"/>
  <c r="D19" i="1"/>
  <c r="AG18" i="1"/>
  <c r="AE18" i="1"/>
  <c r="AD18" i="1"/>
  <c r="AB18" i="1"/>
  <c r="AA18" i="1"/>
  <c r="Y18" i="1"/>
  <c r="W18" i="1"/>
  <c r="U18" i="1"/>
  <c r="S18" i="1"/>
  <c r="Q18" i="1"/>
  <c r="P18" i="1"/>
  <c r="N18" i="1"/>
  <c r="L18" i="1"/>
  <c r="J18" i="1"/>
  <c r="I18" i="1"/>
  <c r="H18" i="1"/>
  <c r="G18" i="1"/>
  <c r="F18" i="1"/>
  <c r="E18" i="1"/>
  <c r="D18" i="1"/>
  <c r="AG17" i="1"/>
  <c r="AE17" i="1"/>
  <c r="AD17" i="1"/>
  <c r="AB17" i="1"/>
  <c r="AA17" i="1"/>
  <c r="Y17" i="1"/>
  <c r="W17" i="1"/>
  <c r="U17" i="1"/>
  <c r="S17" i="1"/>
  <c r="Q17" i="1"/>
  <c r="P17" i="1"/>
  <c r="N17" i="1"/>
  <c r="L17" i="1"/>
  <c r="J17" i="1"/>
  <c r="I17" i="1"/>
  <c r="H17" i="1"/>
  <c r="G17" i="1"/>
  <c r="F17" i="1"/>
  <c r="E17" i="1"/>
  <c r="D17" i="1"/>
  <c r="AG16" i="1"/>
  <c r="AE16" i="1"/>
  <c r="AD16" i="1"/>
  <c r="AB16" i="1"/>
  <c r="Z16" i="1"/>
  <c r="AA16" i="1" s="1"/>
  <c r="Y16" i="1"/>
  <c r="W16" i="1"/>
  <c r="U16" i="1"/>
  <c r="S16" i="1"/>
  <c r="Q16" i="1"/>
  <c r="P16" i="1"/>
  <c r="N16" i="1"/>
  <c r="L16" i="1"/>
  <c r="J16" i="1"/>
  <c r="I16" i="1"/>
  <c r="H16" i="1"/>
  <c r="G16" i="1"/>
  <c r="F16" i="1"/>
  <c r="E16" i="1"/>
  <c r="D16" i="1"/>
  <c r="AG15" i="1"/>
  <c r="AE15" i="1"/>
  <c r="AD15" i="1"/>
  <c r="AB15" i="1"/>
  <c r="AA15" i="1"/>
  <c r="Y15" i="1"/>
  <c r="W15" i="1"/>
  <c r="U15" i="1"/>
  <c r="S15" i="1"/>
  <c r="Q15" i="1"/>
  <c r="P15" i="1"/>
  <c r="N15" i="1"/>
  <c r="L15" i="1"/>
  <c r="J15" i="1"/>
  <c r="I15" i="1"/>
  <c r="H15" i="1"/>
  <c r="G15" i="1"/>
  <c r="F15" i="1"/>
  <c r="E15" i="1"/>
  <c r="D15" i="1"/>
  <c r="AG14" i="1"/>
  <c r="AE14" i="1"/>
  <c r="AD14" i="1"/>
  <c r="AB14" i="1"/>
  <c r="AA14" i="1"/>
  <c r="Y14" i="1"/>
  <c r="W14" i="1"/>
  <c r="U14" i="1"/>
  <c r="S14" i="1"/>
  <c r="Q14" i="1"/>
  <c r="P14" i="1"/>
  <c r="N14" i="1"/>
  <c r="L14" i="1"/>
  <c r="J14" i="1"/>
  <c r="I14" i="1"/>
  <c r="H14" i="1"/>
  <c r="F14" i="1"/>
  <c r="E14" i="1"/>
  <c r="D14" i="1"/>
  <c r="AG13" i="1"/>
  <c r="AE13" i="1"/>
  <c r="AD13" i="1"/>
  <c r="AB13" i="1"/>
  <c r="AA13" i="1"/>
  <c r="Y13" i="1"/>
  <c r="W13" i="1"/>
  <c r="U13" i="1"/>
  <c r="S13" i="1"/>
  <c r="R13" i="1"/>
  <c r="Q13" i="1"/>
  <c r="P13" i="1"/>
  <c r="N13" i="1"/>
  <c r="L13" i="1"/>
  <c r="J13" i="1"/>
  <c r="I13" i="1"/>
  <c r="H13" i="1"/>
  <c r="G13" i="1"/>
  <c r="F13" i="1"/>
  <c r="E13" i="1"/>
  <c r="D13" i="1"/>
  <c r="AG12" i="1"/>
  <c r="AE12" i="1"/>
  <c r="AD12" i="1"/>
  <c r="AB12" i="1"/>
  <c r="AA12" i="1"/>
  <c r="Y12" i="1"/>
  <c r="W12" i="1"/>
  <c r="U12" i="1"/>
  <c r="S12" i="1"/>
  <c r="Q12" i="1"/>
  <c r="P12" i="1"/>
  <c r="N12" i="1"/>
  <c r="L12" i="1"/>
  <c r="J12" i="1"/>
  <c r="I12" i="1"/>
  <c r="H12" i="1"/>
  <c r="G12" i="1"/>
  <c r="F12" i="1"/>
  <c r="E12" i="1"/>
  <c r="D12" i="1"/>
  <c r="AG11" i="1"/>
  <c r="AE11" i="1"/>
  <c r="AD11" i="1"/>
  <c r="AB11" i="1"/>
  <c r="AA11" i="1"/>
  <c r="Y11" i="1"/>
  <c r="W11" i="1"/>
  <c r="U11" i="1"/>
  <c r="S11" i="1"/>
  <c r="Q11" i="1"/>
  <c r="P11" i="1"/>
  <c r="N11" i="1"/>
  <c r="L11" i="1"/>
  <c r="K11" i="1"/>
  <c r="J11" i="1"/>
  <c r="I11" i="1"/>
  <c r="H11" i="1"/>
  <c r="G11" i="1"/>
  <c r="F11" i="1"/>
  <c r="E11" i="1"/>
  <c r="D11" i="1"/>
  <c r="AG10" i="1"/>
  <c r="AE10" i="1"/>
  <c r="AD10" i="1"/>
  <c r="AB10" i="1"/>
  <c r="AA10" i="1"/>
  <c r="Y10" i="1"/>
  <c r="W10" i="1"/>
  <c r="U10" i="1"/>
  <c r="S10" i="1"/>
  <c r="Q10" i="1"/>
  <c r="P10" i="1"/>
  <c r="N10" i="1"/>
  <c r="M10" i="1"/>
  <c r="L10" i="1"/>
  <c r="J10" i="1"/>
  <c r="I10" i="1"/>
  <c r="H10" i="1"/>
  <c r="G10" i="1"/>
  <c r="F10" i="1"/>
  <c r="E10" i="1"/>
  <c r="D10" i="1"/>
  <c r="AG9" i="1"/>
  <c r="AE9" i="1"/>
  <c r="AD9" i="1"/>
  <c r="AB9" i="1"/>
  <c r="AA9" i="1"/>
  <c r="Y9" i="1"/>
  <c r="W9" i="1"/>
  <c r="U9" i="1"/>
  <c r="S9" i="1"/>
  <c r="Q9" i="1"/>
  <c r="P9" i="1"/>
  <c r="N9" i="1"/>
  <c r="L9" i="1"/>
  <c r="J9" i="1"/>
  <c r="I9" i="1"/>
  <c r="H9" i="1"/>
  <c r="G9" i="1"/>
  <c r="F9" i="1"/>
  <c r="E9" i="1"/>
  <c r="D9" i="1"/>
  <c r="AG8" i="1"/>
  <c r="AE8" i="1"/>
  <c r="AD8" i="1"/>
  <c r="AB8" i="1"/>
  <c r="AA8" i="1"/>
  <c r="Y8" i="1"/>
  <c r="W8" i="1"/>
  <c r="U8" i="1"/>
  <c r="S8" i="1"/>
  <c r="Q8" i="1"/>
  <c r="P8" i="1"/>
  <c r="N8" i="1"/>
  <c r="M8" i="1"/>
  <c r="L8" i="1"/>
  <c r="J8" i="1"/>
  <c r="I8" i="1"/>
  <c r="H8" i="1"/>
  <c r="G8" i="1"/>
  <c r="F8" i="1"/>
  <c r="E8" i="1"/>
  <c r="D8" i="1"/>
  <c r="AG7" i="1"/>
  <c r="AE7" i="1"/>
  <c r="AD7" i="1"/>
  <c r="AB7" i="1"/>
  <c r="AA7" i="1"/>
  <c r="Y7" i="1"/>
  <c r="W7" i="1"/>
  <c r="U7" i="1"/>
  <c r="S7" i="1"/>
  <c r="Q7" i="1"/>
  <c r="P7" i="1"/>
  <c r="N7" i="1"/>
  <c r="M7" i="1"/>
  <c r="L7" i="1"/>
  <c r="J7" i="1"/>
  <c r="I7" i="1"/>
  <c r="H7" i="1"/>
  <c r="G7" i="1"/>
  <c r="F7" i="1"/>
  <c r="E7" i="1"/>
  <c r="D7" i="1"/>
  <c r="AH6" i="1"/>
  <c r="AG6" i="1"/>
  <c r="AF6" i="1"/>
  <c r="AE6" i="1"/>
  <c r="AC6" i="1"/>
  <c r="AD6" i="1" s="1"/>
  <c r="AB6" i="1"/>
  <c r="Z6" i="1"/>
  <c r="AA6" i="1" s="1"/>
  <c r="Y6" i="1"/>
  <c r="X6" i="1"/>
  <c r="W6" i="1"/>
  <c r="V6" i="1"/>
  <c r="U6" i="1"/>
  <c r="T6" i="1"/>
  <c r="S6" i="1"/>
  <c r="R6" i="1"/>
  <c r="Q6" i="1"/>
  <c r="O6" i="1"/>
  <c r="P6" i="1" s="1"/>
  <c r="N6" i="1"/>
  <c r="M6" i="1"/>
  <c r="L6" i="1"/>
  <c r="K6" i="1"/>
  <c r="J6" i="1"/>
  <c r="I6" i="1"/>
  <c r="H6" i="1"/>
  <c r="G6" i="1"/>
  <c r="F6" i="1"/>
  <c r="E6" i="1"/>
  <c r="D6" i="1"/>
  <c r="AH5" i="1"/>
  <c r="AG5" i="1"/>
  <c r="AF5" i="1"/>
  <c r="AE5" i="1"/>
  <c r="AC5" i="1"/>
  <c r="AD5" i="1" s="1"/>
  <c r="AB5" i="1"/>
  <c r="Z5" i="1"/>
  <c r="AA5" i="1" s="1"/>
  <c r="Y5" i="1"/>
  <c r="X5" i="1"/>
  <c r="W5" i="1"/>
  <c r="V5" i="1"/>
  <c r="U5" i="1"/>
  <c r="S5" i="1"/>
  <c r="R5" i="1"/>
  <c r="Q5" i="1"/>
  <c r="O5" i="1"/>
  <c r="P5" i="1" s="1"/>
  <c r="N5" i="1"/>
  <c r="M5" i="1"/>
  <c r="L5" i="1"/>
  <c r="K5" i="1"/>
  <c r="J5" i="1"/>
  <c r="I5" i="1"/>
  <c r="H5" i="1"/>
  <c r="G5" i="1"/>
  <c r="F5" i="1"/>
  <c r="E5" i="1"/>
  <c r="D5" i="1"/>
  <c r="AH4" i="1"/>
  <c r="AG4" i="1"/>
  <c r="AF4" i="1"/>
  <c r="AE4" i="1"/>
  <c r="AC4" i="1"/>
  <c r="AD4" i="1" s="1"/>
  <c r="AB4" i="1"/>
  <c r="Z4" i="1"/>
  <c r="AA4" i="1" s="1"/>
  <c r="Y4" i="1"/>
  <c r="X4" i="1"/>
  <c r="W4" i="1"/>
  <c r="V4" i="1"/>
  <c r="U4" i="1"/>
  <c r="T4" i="1"/>
  <c r="S4" i="1"/>
  <c r="R4" i="1"/>
  <c r="Q4" i="1"/>
  <c r="O4" i="1"/>
  <c r="P4" i="1" s="1"/>
  <c r="N4" i="1"/>
  <c r="M4" i="1"/>
  <c r="L4" i="1"/>
  <c r="K4" i="1"/>
  <c r="J4" i="1"/>
  <c r="I4" i="1"/>
  <c r="H4" i="1"/>
  <c r="G4" i="1"/>
  <c r="F4" i="1"/>
  <c r="E4" i="1"/>
  <c r="D4" i="1"/>
  <c r="AH3" i="1"/>
  <c r="AG3" i="1"/>
  <c r="AF3" i="1"/>
  <c r="AE3" i="1"/>
  <c r="AC3" i="1"/>
  <c r="AD3" i="1" s="1"/>
  <c r="AB3" i="1"/>
  <c r="Z3" i="1"/>
  <c r="AA3" i="1" s="1"/>
  <c r="Y3" i="1"/>
  <c r="X3" i="1"/>
  <c r="W3" i="1"/>
  <c r="V3" i="1"/>
  <c r="U3" i="1"/>
  <c r="T3" i="1"/>
  <c r="S3" i="1"/>
  <c r="R3" i="1"/>
  <c r="Q3" i="1"/>
  <c r="O3" i="1"/>
  <c r="P3" i="1" s="1"/>
  <c r="N3" i="1"/>
  <c r="M3" i="1"/>
  <c r="L3" i="1"/>
  <c r="K3" i="1"/>
  <c r="J3" i="1"/>
  <c r="I3" i="1"/>
  <c r="H3" i="1"/>
  <c r="G3" i="1"/>
  <c r="F3" i="1"/>
  <c r="E3" i="1"/>
  <c r="D3" i="1"/>
  <c r="AH2" i="1"/>
  <c r="AG2" i="1"/>
  <c r="AF2" i="1"/>
  <c r="AE2" i="1"/>
  <c r="AC2" i="1"/>
  <c r="AD2" i="1" s="1"/>
  <c r="AB2" i="1"/>
  <c r="Z2" i="1"/>
  <c r="AA2" i="1" s="1"/>
  <c r="Y2" i="1"/>
  <c r="X2" i="1"/>
  <c r="W2" i="1"/>
  <c r="V2" i="1"/>
  <c r="U2" i="1"/>
  <c r="T2" i="1"/>
  <c r="S2" i="1"/>
  <c r="R2" i="1"/>
  <c r="Q2" i="1"/>
  <c r="O2" i="1"/>
  <c r="P2" i="1" s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<sst xmlns="http://schemas.openxmlformats.org/spreadsheetml/2006/main" count="2791" uniqueCount="1655">
  <si>
    <t>ID</t>
  </si>
  <si>
    <t>Year</t>
  </si>
  <si>
    <t>Ranking</t>
  </si>
  <si>
    <t>Franchisor's name</t>
  </si>
  <si>
    <t>Lowest investment (USD)</t>
  </si>
  <si>
    <t>Highest investment (USD)</t>
  </si>
  <si>
    <t>Initial investment (USD)</t>
  </si>
  <si>
    <t>Category</t>
  </si>
  <si>
    <t>Global Sales (USD)</t>
  </si>
  <si>
    <t>US Units</t>
  </si>
  <si>
    <t>International Units</t>
  </si>
  <si>
    <t>Percent Franchised (%)</t>
  </si>
  <si>
    <t>% International Units</t>
  </si>
  <si>
    <t>US Franchised Units</t>
  </si>
  <si>
    <t>International Franchised Units</t>
  </si>
  <si>
    <t>Sales Growth (%)</t>
  </si>
  <si>
    <t>Unit Growth (%)</t>
  </si>
  <si>
    <t>Link</t>
  </si>
  <si>
    <t>https://www.franchisetimes.com/top-400-2024/1-mcdonald-s/article_14c11e4c-5655-11ef-a6d6-fbc5a1b08153.html</t>
  </si>
  <si>
    <t>https://www.franchisetimes.com/top-400-2024/2-7-eleven/article_f9199c4e-5665-11ef-9c03-97a80c626518.html</t>
  </si>
  <si>
    <t>https://www.franchisetimes.com/top-400-2024/3-kfc/article_64418334-566a-11ef-9b51-9b41faf894de.html</t>
  </si>
  <si>
    <t>https://www.franchisetimes.com/top-400-2024/4-burger-king/article_7dc7491c-566d-11ef-bafe-fb84dc8479e0.html</t>
  </si>
  <si>
    <t>https://www.franchisetimes.com/top-400-2024/5-ace-hardware/article_c43e81fe-58b0-11ef-ab9f-4ff1198d5729.html</t>
  </si>
  <si>
    <t>https://www.franchisetimes.com/top-400-2024/6-chick-fil-a/article_8c8a2348-58b1-11ef-8b3b-575419b7d821.html</t>
  </si>
  <si>
    <t>https://www.franchisetimes.com/top-400-2024/7-subway/article_ddf85448-58b1-11ef-bc56-eb28f46f2a17.html</t>
  </si>
  <si>
    <t>https://www.franchisetimes.com/top-400-2024/8-dominos/article_31b2e454-58b2-11ef-ba56-df462add9517.html</t>
  </si>
  <si>
    <t>https://www.franchisetimes.com/top-400-2024/9-circle-k/article_8a1d26e0-58b2-11ef-8ddd-eb600afb8dff.html</t>
  </si>
  <si>
    <t>https://www.franchisetimes.com/top-400-2024/10-taco-bell/article_1bbfd5cc-5659-11ef-817a-9710858b5996.html</t>
  </si>
  <si>
    <t>https://www.franchisetimes.com/top-400-2024/11-wendy-s/article_12fa84ba-565d-11ef-ad0d-97408dc30b89.html</t>
  </si>
  <si>
    <t>https://www.franchisetimes.com/top-400-2024/12-dunkin/article_053eadb4-565e-11ef-b256-ef62e54df900.html</t>
  </si>
  <si>
    <t>https://www.franchisetimes.com/top-400-2024/13-pizza-hut/article_6610888e-565d-11ef-8579-ef23469cd95a.html</t>
  </si>
  <si>
    <t>https://www.franchisetimes.com/top-400-2024/14-re-max/article_b4f3bef8-565d-11ef-a586-fbd6341d194f.html</t>
  </si>
  <si>
    <t>https://www.franchisetimes.com/top-400-2024/15-keller-williams-realty/article_dcd04788-565e-11ef-a99a-034fe92e1b94.html</t>
  </si>
  <si>
    <t>https://www.franchisetimes.com/top-400-2024/16-tim-hortons/article_ceff4c44-5663-11ef-8ea2-83ab077a74c0.html</t>
  </si>
  <si>
    <t>https://www.franchisetimes.com/top-400-2024/17-popeyes-louisiana-kitchen/article_4a63f2e0-5664-11ef-9c6b-bfc1611e1794.html</t>
  </si>
  <si>
    <t>https://www.franchisetimes.com/top-400-2024/18-dairy-queen/article_9791d284-5665-11ef-b898-879afb5e2054.html</t>
  </si>
  <si>
    <t>https://www.franchisetimes.com/top-400-2024/19-panera-bread/article_0c1d7b6e-5664-11ef-a3d6-b3e7c99d2d39.html</t>
  </si>
  <si>
    <t>https://www.franchisetimes.com/top-400-2024/20-sonic-drive-in/article_0954cdea-5666-11ef-ae9a-27e683fb4086.html</t>
  </si>
  <si>
    <t>https://www.franchisetimes.com/top-400-2024/21-papa-johns/article_9621381c-5666-11ef-b58a-bb1986cff9b0.html</t>
  </si>
  <si>
    <t>https://www.franchisetimes.com/top-400-2024/22-arby-s/article_d9591cb2-5666-11ef-8b4e-c7b232dd2fbb.html</t>
  </si>
  <si>
    <t>https://www.franchisetimes.com/top-400-2024/23-applebee-s/article_e30e166c-5667-11ef-980b-c733c160e96e.html</t>
  </si>
  <si>
    <t>https://www.franchisetimes.com/top-400-2024/24-servpro/article_e4fad75a-566a-11ef-ae1d-3ff2edcb5729.html</t>
  </si>
  <si>
    <t>https://www.franchisetimes.com/top-400-2024/25-planet-fitness/article_1ff4a9b8-566a-11ef-8702-2fd79e89334c.html</t>
  </si>
  <si>
    <t>https://www.franchisetimes.com/top-400-2024/26-chilis/article_67d6fca6-5668-11ef-9c7c-03e75a70ff0b.html</t>
  </si>
  <si>
    <t>https://www.franchisetimes.com/top-400-2024/27-jack-in-the-box/article_a9093086-5668-11ef-8503-6bc96d327c76.html</t>
  </si>
  <si>
    <t>https://www.franchisetimes.com/top-400-2024/28-express-employment-professionals/article_26f2a956-5668-11ef-993f-3f89b493bd47.html</t>
  </si>
  <si>
    <t>https://www.franchisetimes.com/top-400-2024/29-buffalo-wild-wings/article_a86b27f0-5669-11ef-9025-db98ee832093.html</t>
  </si>
  <si>
    <t>https://www.franchisetimes.com/top-400-2024/30-the-ups-store/article_a7dae626-566a-11ef-a177-ab1a9a1d4c41.html</t>
  </si>
  <si>
    <t>https://www.franchisetimes.com/top-400-2024/31-whataburger/article_9fdab0d6-566b-11ef-906d-8fdec8cbb389.html</t>
  </si>
  <si>
    <t>https://www.franchisetimes.com/top-400-2024/32-ihop/article_5a12f3ec-566b-11ef-9917-c3dfc75e944f.html</t>
  </si>
  <si>
    <t>https://www.franchisetimes.com/top-400-2024/33-wingstop/article_be450fc0-566c-11ef-832e-13b014e60ef8.html</t>
  </si>
  <si>
    <t>https://www.franchisetimes.com/top-400-2024/34-jersey-mike-s-subs/article_408addd4-566d-11ef-8633-8f9b688b3f15.html</t>
  </si>
  <si>
    <t>https://www.franchisetimes.com/top-400-2024/35-culver-s-butterburgers-frozen-custard/article_7db12250-566c-11ef-a9cb-e7f8a5925775.html</t>
  </si>
  <si>
    <t>https://www.franchisetimes.com/top-400-2024/36-berkshire-hathaway-homeservices/article_69d6e4a6-566a-11ef-8d99-377f493d0e18.html</t>
  </si>
  <si>
    <t>https://www.franchisetimes.com/top-400-2024/37-five-guys/article_de52d99c-566b-11ef-8cac-130da9f1dd53.html</t>
  </si>
  <si>
    <t>https://www.franchisetimes.com/top-400-2024/38-denny-s/article_1cb5fc3c-566c-11ef-8cf6-6f00bc41a2cf.html</t>
  </si>
  <si>
    <t>https://www.franchisetimes.com/top-400-2024/39-paris-baguette/article_82f973ce-566d-11ef-bb82-9fa96a821f13.html</t>
  </si>
  <si>
    <t>https://www.franchisetimes.com/top-400-2024/40-valvoline-instant-oil-change/article_4d5224ae-566e-11ef-8eb8-13811a27b7e0.html</t>
  </si>
  <si>
    <t>https://www.franchisetimes.com/top-400-2024/41-home-instead-senior-care/article_ea6bf05c-566f-11ef-9d2a-1fabf8a5a90f.html</t>
  </si>
  <si>
    <t>https://www.franchisetimes.com/top-400-2024/42-carl-s-jr/article_890d40bc-58af-11ef-b118-03f85d08867c.html</t>
  </si>
  <si>
    <t>https://www.franchisetimes.com/top-400-2024/43-jimmy-john-s/article_1109b71e-566e-11ef-8906-17585f60bee4.html</t>
  </si>
  <si>
    <t>https://www.franchisetimes.com/top-400-2024/44-zaxby-s/article_0e1156e2-566f-11ef-9d53-b3f69b05a14c.html</t>
  </si>
  <si>
    <t>https://www.franchisetimes.com/top-400-2024/45-hardee-s/article_bcb82fba-566d-11ef-ae80-27450f0b9df5.html</t>
  </si>
  <si>
    <t>https://www.franchisetimes.com/top-400-2024/46-jiffy-lube/article_cbea613e-58b0-11ef-a284-1bbc2dac3c22.html</t>
  </si>
  <si>
    <t>https://www.franchisetimes.com/top-400-2024/47-rent-a-center/article_1b7d6364-58b0-11ef-a9d7-478edb4b37a2.html</t>
  </si>
  <si>
    <t>https://www.franchisetimes.com/top-400-2024/48-baskin-robbins/article_ceacaa86-58af-11ef-ba97-a3e67270cbec.html</t>
  </si>
  <si>
    <t>https://www.franchisetimes.com/top-400-2024/49-snap-on-tools/article_72954a68-58b0-11ef-a59f-3bd58971f09d.html</t>
  </si>
  <si>
    <t>https://www.franchisetimes.com/top-400-2024/50-anytime-fitness/article_dd1375c2-58b0-11ef-a45a-73a0c5a67929.html</t>
  </si>
  <si>
    <t>https://www.franchisetimes.com/top-400-2024/51-midas/article_e4ff3a50-58b0-11ef-baca-b3aaa9179de5.html</t>
  </si>
  <si>
    <t>https://www.franchisetimes.com/top-400-2024/52-pet-supplies-plus/article_6a34faac-58b1-11ef-9efd-3f626a77cf02.html</t>
  </si>
  <si>
    <t>https://www.franchisetimes.com/top-400-2024/53-bojangles-famous-chicken-n-biscuits/article_77ca61ca-58b1-11ef-9f47-2f6d959c0807.html</t>
  </si>
  <si>
    <t>https://www.franchisetimes.com/top-400-2024/54-great-clips/article_861e2626-58b1-11ef-ab04-4f6469643817.html</t>
  </si>
  <si>
    <t>https://www.franchisetimes.com/top-400-2024/55-roto-rooter/article_7f7df486-58b1-11ef-bf09-cf84f52cce24.html</t>
  </si>
  <si>
    <t>https://www.franchisetimes.com/top-400-2024/56-ampm/article_70e6aa76-58b1-11ef-9a9d-8f1a4fcc889f.html</t>
  </si>
  <si>
    <t>https://www.franchisetimes.com/top-400-2024/57-homevestors/article_50a37f8c-58b1-11ef-a1fd-8b1d5688d989.html</t>
  </si>
  <si>
    <t>https://www.franchisetimes.com/top-400-2024/58-golden-corral/article_aa5c9d74-58b1-11ef-803b-7765761f14b7.html</t>
  </si>
  <si>
    <t>https://www.franchisetimes.com/top-400-2024/59-carstar/article_a30932ee-58b1-11ef-9a18-67e888ecbf37.html</t>
  </si>
  <si>
    <t>https://www.franchisetimes.com/top-400-2024/60-red-robin/article_9c6e066c-58b1-11ef-a8b2-e7f3e4b2d6c5.html</t>
  </si>
  <si>
    <t>https://www.franchisetimes.com/top-400-2024/61-church-s-chicken/article_b4479ad2-58b1-11ef-88cb-77038cc68947.html</t>
  </si>
  <si>
    <t>https://www.franchisetimes.com/top-400-2024/62-paul-davis-restoration/article_ef224828-58b1-11ef-bb43-93019db53722.html</t>
  </si>
  <si>
    <t>https://www.franchisetimes.com/top-400-2024/63-the-goddard-school/article_e897cd84-58b1-11ef-9854-2731cfd7e36a.html</t>
  </si>
  <si>
    <t>https://www.franchisetimes.com/top-400-2024/64-primrose-schools/article_f540c4c8-58b1-11ef-83f2-cbf5375630c2.html</t>
  </si>
  <si>
    <t>https://www.franchisetimes.com/top-400-2024/65-big-o-tires/article_028d2ec8-58b2-11ef-982f-7f308e174e41.html</t>
  </si>
  <si>
    <t>https://www.franchisetimes.com/top-400-2024/66-tropical-smoothie-cafe/article_099002f4-58b2-11ef-bc2c-77d48b9890ff.html</t>
  </si>
  <si>
    <t>https://www.franchisetimes.com/top-400-2024/67-firehouse-subs/article_fc21d1a6-58b1-11ef-9973-e7e6062b41b7.html</t>
  </si>
  <si>
    <t>https://www.franchisetimes.com/top-400-2024/68-window-world/article_d7967b3e-58b1-11ef-90a0-f7bd421164cb.html?block_id=1855301</t>
  </si>
  <si>
    <t>https://www.franchisetimes.com/top-400-2024/69-take-5-oil-change/article_70b31dae-58b2-11ef-bea4-a3fe85608c57.html</t>
  </si>
  <si>
    <t>https://www.franchisetimes.com/top-400-2024/70-marco-s-pizza/article_18836ac6-58b2-11ef-9e17-7b59dbac2b67.html</t>
  </si>
  <si>
    <t>https://www.franchisetimes.com/top-400-2024/71-qdoba-mexican-eats/article_22609456-58b2-11ef-b00a-3b3a535024e6.html</t>
  </si>
  <si>
    <t>https://www.franchisetimes.com/top-400-2024/468-ivy-kids-early-learning-center/article_b619d7e6-58af-11ef-921b-53402c2d09a4.html</t>
  </si>
  <si>
    <t>https://www.franchisetimes.com/top-400-2024/73-el-pollo-loco/article_1152ca58-58b2-11ef-bfb6-c784c9e4b9b9.html</t>
  </si>
  <si>
    <t>https://www.franchisetimes.com/top-400-2024/74-mcalister-s-deli/article_4f80e7e2-58b2-11ef-adb9-272c51ef8453.html</t>
  </si>
  <si>
    <t>https://www.franchisetimes.com/top-400-2024/75-tous-les-jours/article_5f91c336-58b2-11ef-87c2-97edb66d97c5.html</t>
  </si>
  <si>
    <t>https://www.franchisetimes.com/top-400-2024/76-bostons-pizza/article_82cceccc-58b2-11ef-9516-6b85543db3fc.html</t>
  </si>
  <si>
    <t>https://www.franchisetimes.com/top-400-2024/77-visiting-angels/article_91b318ce-58b2-11ef-a251-d368169857c7.html</t>
  </si>
  <si>
    <t>https://www.franchisetimes.com/top-400-2024/78-del-taco/article_417ad7fc-58b2-11ef-b073-0725f76b8dff.html</t>
  </si>
  <si>
    <t>https://www.franchisetimes.com/top-400-2024/79-crunch-fitness/article_453c6c0e-565d-11ef-ad2e-ff2279d3a895.html</t>
  </si>
  <si>
    <t>https://www.franchisetimes.com/top-400-2024/80-european-wax-center/article_98991530-58b2-11ef-b012-bf902dfbc40f.html</t>
  </si>
  <si>
    <t>https://www.franchisetimes.com/top-400-2024/81-jani-king/article_6735211e-58b2-11ef-84eb-77a5764d2e84.html</t>
  </si>
  <si>
    <t>https://www.franchisetimes.com/top-400-2024/82-freddy-s-frozen-custard-steakburgers/article_c65e6236-58b2-11ef-bcf0-bb20db81e296.html</t>
  </si>
  <si>
    <t>https://www.franchisetimes.com/top-400-2024/83-keystone-insurers-group/article_cc73ae54-565c-11ef-a40c-172440891497.html</t>
  </si>
  <si>
    <t>https://www.franchisetimes.com/top-400-2024/85-auntie-anne-s/article_ceee63ec-58b2-11ef-9125-df2c2a97b24d.html</t>
  </si>
  <si>
    <t>https://www.franchisetimes.com/top-400-2024/475-advantaclean/article_1d7fc334-566f-11ef-ab33-cb913a0b824e.html</t>
  </si>
  <si>
    <t>https://www.franchisetimes.com/top-400-2024/87-linc-service/article_9f60edc0-58b2-11ef-be8c-6767e31fb490.html</t>
  </si>
  <si>
    <t>https://www.franchisetimes.com/top-400-2024/88-wireless-zone/article_b6ccc34e-58b2-11ef-ab80-8beb9c76a388.html</t>
  </si>
  <si>
    <t>https://www.franchisetimes.com/top-400-2024/89-right-at-home/article_64300cfa-5659-11ef-a644-9fb2720ed70b.html</t>
  </si>
  <si>
    <t>https://www.franchisetimes.com/top-400-2024/90-vital-care-infusion/article_d81db41e-565e-11ef-9ff6-e39e3ad7273c.html</t>
  </si>
  <si>
    <t>https://www.franchisetimes.com/top-400-2024/91-color-glo-international/article_a79906d0-58b2-11ef-9c53-e74b013cb04b.html</t>
  </si>
  <si>
    <t>https://www.franchisetimes.com/top-400-2024/92-realty-one-group/article_292f5682-58b2-11ef-94c5-17a8c6db0ed0.html</t>
  </si>
  <si>
    <t>https://www.franchisetimes.com/top-400-2024/93-pollo-campero/article_0b858f40-565d-11ef-a161-cbe36ec7d18d.html</t>
  </si>
  <si>
    <t>https://www.franchisetimes.com/top-400-2024/94-fastsigns/article_be896f40-565c-11ef-97fe-1fdf3e12e146.html</t>
  </si>
  <si>
    <t>https://www.franchisetimes.com/top-400-2024/95-sport-clips/article_90ba90a0-565a-11ef-b16b-7f964ebe1cef.html</t>
  </si>
  <si>
    <t>https://www.franchisetimes.com/top-400-2024/96-certapro-painters/article_d6297582-565c-11ef-a2fc-ab824f3f3906.html</t>
  </si>
  <si>
    <t>https://www.franchisetimes.com/top-400-2024/97-papa-murphys/article_65d13330-565a-11ef-91b7-af6f3a2b81ab.html</t>
  </si>
  <si>
    <t>https://www.franchisetimes.com/top-400-2024/98-christian-brothers-automotive/article_78af0272-565d-11ef-aba5-c301fd7a7ac6.html</t>
  </si>
  <si>
    <t>https://www.franchisetimes.com/top-400-2024/99-crumbl-cookies/article_05041740-565d-11ef-bd9b-1b2f005f4415.html</t>
  </si>
  <si>
    <t>https://www.franchisetimes.com/top-400-2024/100-epcon-communities/article_80839da8-565a-11ef-864f-f7ebb4eb5b53.html</t>
  </si>
  <si>
    <t>https://www.franchisetimes.com/top-400-2024/101-nothing-bundt-cakes/article_a45b4692-565d-11ef-9d1b-3bae92dd8aa1.html</t>
  </si>
  <si>
    <t>https://www.franchisetimes.com/top-400-2024/102-club-pilates/article_9b844266-5663-11ef-8437-d37950c485fb.html</t>
  </si>
  <si>
    <t>https://www.franchisetimes.com/top-400-2024/103-moe-s-southwest-grill/article_f0ce37ce-565c-11ef-8692-c3ffd387c3e4.html</t>
  </si>
  <si>
    <t>https://www.franchisetimes.com/top-400-2024/104-cold-stone-creamery/article_3fb4f88c-565d-11ef-a6b5-a7ba863fb408.html</t>
  </si>
  <si>
    <t>https://www.franchisetimes.com/top-400-2024/105-smoothie-king/article_7f65ea72-565d-11ef-b20a-6bc9de6b5910.html</t>
  </si>
  <si>
    <t>https://www.franchisetimes.com/top-400-2024/106-city-wide-facility-solutions/article_c6949b46-565d-11ef-81e5-2bc917c74ae0.html</t>
  </si>
  <si>
    <t>https://www.franchisetimes.com/top-400-2024/107-charleys-philly-steaks/article_85a8ff28-565d-11ef-841e-fb3e95d9ea63.html</t>
  </si>
  <si>
    <t>https://www.franchisetimes.com/top-400-2024/108-hand-stone-massage-and-facial-spa/article_5e2376f4-565d-11ef-a57b-8f01350d6b37.html</t>
  </si>
  <si>
    <t>https://www.franchisetimes.com/top-400-2024/109-unishippers/article_e26e916c-58b2-11ef-9a56-17a34ac2fbb4.html</t>
  </si>
  <si>
    <t>https://www.franchisetimes.com/top-400-2024/110-brightstar-care/article_4f16ddc2-565d-11ef-aeaf-03dd9d643855.html</t>
  </si>
  <si>
    <t>https://www.franchisetimes.com/top-400-2024/111-habit-burger-grill/article_2941779c-565d-11ef-835a-8b0bff4f4889.html</t>
  </si>
  <si>
    <t>https://www.franchisetimes.com/top-400-2024/112-jason-s-deli/article_a97ec766-565d-11ef-b71e-738847f05a30.html</t>
  </si>
  <si>
    <t>https://www.franchisetimes.com/top-400-2024/113-honeybaked-ham/article_e4240f02-565d-11ef-9d64-b7da217fd8ec.html</t>
  </si>
  <si>
    <t>https://www.franchisetimes.com/top-400-2024/114-the-learning-experience/article_f64bd372-565d-11ef-8150-63ac5c46f59a.html</t>
  </si>
  <si>
    <t>https://www.franchisetimes.com/top-400-2024/115-meineke-car-care-centers/article_38fab86a-565d-11ef-a806-bb50f9711c8a.html</t>
  </si>
  <si>
    <t>https://www.franchisetimes.com/top-400-2024/116-plato-s-closet/article_7096aefa-565d-11ef-bcf8-67b68b9f7320.html</t>
  </si>
  <si>
    <t>https://www.franchisetimes.com/top-400-2024/117-pirtek/article_f0774652-565d-11ef-8544-c3c780a479ac.html</t>
  </si>
  <si>
    <t>https://www.franchisetimes.com/top-400-2024/118-miracle-ear/article_af5b5f46-565d-11ef-9b7d-ab2326eb7b87.html</t>
  </si>
  <si>
    <t>https://www.franchisetimes.com/top-400-2024/119-jan-pro/article_3309e340-565d-11ef-ade2-ebcc46d2e76b.html</t>
  </si>
  <si>
    <t>https://www.franchisetimes.com/top-400-2024/120-kampgrounds-of-america/article_95f647e6-565d-11ef-b2c6-87f28c13eac6.html</t>
  </si>
  <si>
    <t>https://www.franchisetimes.com/top-400-2024/121-proforma/article_9cd49a5e-565d-11ef-bd75-83bcfd558424.html</t>
  </si>
  <si>
    <t>https://www.franchisetimes.com/top-400-2024/122-two-men-and-a-truck/article_22e50882-565d-11ef-9b44-bb90206d1101.html</t>
  </si>
  <si>
    <t>https://www.franchisetimes.com/top-400-2024/123-coverall/article_de661cc2-565d-11ef-aafb-33c8d13a6469.html</t>
  </si>
  <si>
    <t>https://www.franchisetimes.com/top-400-2024/124-united-real-estate/article_1b190a22-565d-11ef-a041-83d940f833de.html</t>
  </si>
  <si>
    <t>https://www.franchisetimes.com/top-400-2024/125-pearle-vision/article_cbdcbfa2-565d-11ef-a5dd-cfaf6daf9c55.html</t>
  </si>
  <si>
    <t>https://www.franchisetimes.com/top-400-2024/126-kiddie-academy/article_c0968406-565e-11ef-a988-a388dbed2cb6.html</t>
  </si>
  <si>
    <t>https://www.franchisetimes.com/top-400-2024/127-steak-n-shake/article_d61b114e-565d-11ef-9259-bf67cad154d4.html</t>
  </si>
  <si>
    <t>https://www.franchisetimes.com/top-400-2024/128-batteries-plus/article_bb5e7d6e-565d-11ef-a276-8fca949a75ec.html</t>
  </si>
  <si>
    <t>https://www.franchisetimes.com/top-400-2024/129-noodles-company/article_bd222faa-5663-11ef-9279-c7c59fab4037.html</t>
  </si>
  <si>
    <t>https://www.franchisetimes.com/top-400-2024/130-the-coffee-bean-tea-leaf/article_582c23e0-565d-11ef-a9e0-537cd7edee40.html</t>
  </si>
  <si>
    <t>https://www.franchisetimes.com/top-400-2024/131-golds-gym/article_8ce2a4f6-565d-11ef-8a28-a78543dead5b.html</t>
  </si>
  <si>
    <t>https://www.franchisetimes.com/top-400-2024/132-precision-door-service/article_c5e0e550-565e-11ef-87f0-ab76c0af265b.html</t>
  </si>
  <si>
    <t>https://www.franchisetimes.com/top-400-2024/133-einstein-bros-bagels/article_a8794dfe-5663-11ef-9a19-6765de89c3b6.html</t>
  </si>
  <si>
    <t>https://www.franchisetimes.com/top-400-2024/134-minuteman-press/article_cb416a60-565e-11ef-8c6d-bbfa79832101.html</t>
  </si>
  <si>
    <t>https://www.franchisetimes.com/top-400-2024/135-urban-air-adventure-parks/article_eb19e7d2-565d-11ef-8b62-878fb0075b59.html</t>
  </si>
  <si>
    <t>https://www.franchisetimes.com/top-400-2024/136-maaco/article_16e3912e-565e-11ef-ba99-f3a387ebacf9.html</t>
  </si>
  <si>
    <t>https://www.franchisetimes.com/top-400-2024/137-captain-d-s/article_245e1f4a-565e-11ef-81e2-7373252f0a72.html</t>
  </si>
  <si>
    <t>https://www.franchisetimes.com/top-400-2024/138-scooter-s-coffee/article_235c337e-5664-11ef-be78-9780e13c51c9.html</t>
  </si>
  <si>
    <t>https://www.franchisetimes.com/top-400-2024/139-potbelly-sandwich-shop/article_f0f0c454-5663-11ef-8845-2f71f5dc9cd3.html</t>
  </si>
  <si>
    <t>https://www.franchisetimes.com/top-400-2024/140-gong-cha/article_93f3085c-5663-11ef-a915-df547dc7b179.html</t>
  </si>
  <si>
    <t>https://www.franchisetimes.com/top-400-2024/141-pinch-a-penny/article_b8105a6e-565e-11ef-9f97-471ab7344a19.html</t>
  </si>
  <si>
    <t>https://www.franchisetimes.com/top-400-2024/272-great-american-cookies/article_d8d9c6d0-5669-11ef-85bd-5f89d157f86e.html</t>
  </si>
  <si>
    <t>https://www.franchisetimes.com/top-400-2024/143-aamco-transmission/article_b7c71aca-5663-11ef-99dc-1f28fda891f4.html</t>
  </si>
  <si>
    <t>https://www.franchisetimes.com/top-400-2024/144-perkins/article_d16b07de-565e-11ef-abd2-9f36468c1203.html</t>
  </si>
  <si>
    <t>https://www.franchisetimes.com/top-400-2024/145-jamba/article_a2ac077c-5663-11ef-8f9a-eb0e2da44a1e.html</t>
  </si>
  <si>
    <t>https://www.franchisetimes.com/top-400-2024/146-1-800-got-junk/article_8dec9914-5663-11ef-b250-43d85331b360.html</t>
  </si>
  <si>
    <t>https://www.franchisetimes.com/top-400-2024/147-once-upon-a-child/article_da556d62-5663-11ef-aa2d-eb43fd23e0fa.html</t>
  </si>
  <si>
    <t>https://www.franchisetimes.com/top-400-2024/148-sky-zone/article_070ea7a6-5664-11ef-94bf-ab3ad33d74a5.html</t>
  </si>
  <si>
    <t>https://www.franchisetimes.com/top-400-2024/149-cinnabon/article_d495c43a-5663-11ef-9a15-838aff024638.html</t>
  </si>
  <si>
    <t>https://www.franchisetimes.com/top-400-2024/150-the-joint-chiropractic/article_01368aec-5664-11ef-9efa-bbeee389dc5d.html</t>
  </si>
  <si>
    <t>https://www.franchisetimes.com/top-400-2024/151-re-bath/article_ebdec2b8-5663-11ef-b26b-d759a0b37c9a.html</t>
  </si>
  <si>
    <t>https://www.franchisetimes.com/top-400-2024/152-hungry-howie-s-pizza/article_c8d2bbc6-5663-11ef-99da-c7eca0462232.html</t>
  </si>
  <si>
    <t>https://www.franchisetimes.com/top-400-2024/154-puroclean/article_c20abdc8-5665-11ef-a63d-8ba7a45c8fef.html</t>
  </si>
  <si>
    <t>https://www.franchisetimes.com/top-400-2024/155-mr-rooter/article_fbf6fb02-5663-11ef-8911-cfec9d7dd050.html</t>
  </si>
  <si>
    <t>https://www.franchisetimes.com/top-400-2024/157-black-bear-diner/article_1c884f42-5664-11ef-89e6-7b48810b974b.html</t>
  </si>
  <si>
    <t>https://www.franchisetimes.com/top-400-2024/158-taco-john-s/article_119e0090-5664-11ef-9a2e-bb4ed23886e7.html</t>
  </si>
  <si>
    <t>https://www.franchisetimes.com/top-400-2024/159-spherion-staffing/article_0b66ae26-565e-11ef-b9e7-07989e4153c0.html</t>
  </si>
  <si>
    <t>https://www.franchisetimes.com/top-400-2024/160-signarama/article_39d56792-5664-11ef-bbf1-33f2dbd20ee0.html</t>
  </si>
  <si>
    <t>https://www.franchisetimes.com/top-400-2024/161-one-hour-heating-air-conditioning/article_e598b85a-5663-11ef-954a-3b8f8b282120.html</t>
  </si>
  <si>
    <t>https://www.franchisetimes.com/top-400-2024/162-1-800-radiator/article_f70fbf84-5663-11ef-85cd-97a1fd7a42d1.html</t>
  </si>
  <si>
    <t>https://www.franchisetimes.com/top-400-2024/163-round-table-pizza/article_172833a0-5664-11ef-9411-2b074418002c.html</t>
  </si>
  <si>
    <t>https://www.franchisetimes.com/top-400-2024/164-chesters/article_28a0b7ce-5664-11ef-840a-1b12141a52d6.html</t>
  </si>
  <si>
    <t>https://www.franchisetimes.com/top-400-2024/165-daves-hot-chicken/article_23cae088-5666-11ef-9564-fb559bcd5899.html</t>
  </si>
  <si>
    <t>https://www.franchisetimes.com/top-400-2024/166-tegg-service/article_b9ba0e58-5665-11ef-8b33-53ac51ceebfc.html</t>
  </si>
  <si>
    <t>https://www.franchisetimes.com/top-400-2024/167-logans-roadhouse/article_fc964258-565d-11ef-a173-df5f92e65f54.html</t>
  </si>
  <si>
    <t>https://www.franchisetimes.com/top-400-2024/168-slim-chickens/article_4f59e282-5664-11ef-bc9f-e33887a2f8f5.html</t>
  </si>
  <si>
    <t>https://www.franchisetimes.com/top-400-2024/169-slumberland/article_2d7ace3e-565e-11ef-9867-c3fd2b5af670.html</t>
  </si>
  <si>
    <t>https://www.franchisetimes.com/top-400-2024/177-chicken-salad-chick/article_d49d4802-5665-11ef-80b3-9b06170304f4.html</t>
  </si>
  <si>
    <t>https://www.franchisetimes.com/top-400-2024/171-blaze-pizza/article_40220786-5664-11ef-af1d-438ba81e4ce0.html</t>
  </si>
  <si>
    <t>https://www.franchisetimes.com/top-400-2024/172-vanguard-cleaning-systems/article_5a2d17e2-5664-11ef-b33e-eb50369a8e0b.html</t>
  </si>
  <si>
    <t>https://www.franchisetimes.com/top-400-2024/174-schlotzsky-s-bakery-caf/article_6034ce6e-5664-11ef-9166-cf8c634c7e49.html</t>
  </si>
  <si>
    <t>https://www.franchisetimes.com/top-400-2024/175-cicis-pizza/article_6bfef954-5664-11ef-86f4-0f466bf058c9.html</t>
  </si>
  <si>
    <t>https://www.franchisetimes.com/top-400-2024/176-pizza-ranch/article_7ecaa33a-5664-11ef-a227-9f9ae669f495.html</t>
  </si>
  <si>
    <t>https://www.franchisetimes.com/top-400-2024/178-weed-man/article_c861cdf6-5665-11ef-a493-6f1728c3a66e.html</t>
  </si>
  <si>
    <t>https://www.franchisetimes.com/top-400-2024/179-mathnasium-learning-centers/article_b1a870f6-5665-11ef-9a71-4f795cc58b92.html</t>
  </si>
  <si>
    <t>https://www.franchisetimes.com/top-400-2024/180-atwork-group/article_45854d32-5664-11ef-9d8b-832b59abd18f.html</t>
  </si>
  <si>
    <t>https://www.franchisetimes.com/top-400-2024/181-bonchon/article_72040fce-5664-11ef-9a49-8fa8b9440f81.html</t>
  </si>
  <si>
    <t>https://www.franchisetimes.com/top-400-2024/182-mountain-mike-s-pizza/article_37f95350-5666-11ef-8320-cb71d525c883.html</t>
  </si>
  <si>
    <t>https://www.franchisetimes.com/top-400-2024/183-alphagraphics/article_b0c27da0-5663-11ef-ab40-df6a5aabdd01.html</t>
  </si>
  <si>
    <t>https://www.franchisetimes.com/top-400-2024/184-rainbow-international/article_6500a894-5666-11ef-aae5-2fa1e324a9f1.html</t>
  </si>
  <si>
    <t>https://www.franchisetimes.com/top-400-2024/185-walk-ons-sports-bistreaux/article_e2164d76-5665-11ef-b93e-53a44d2cf613.html</t>
  </si>
  <si>
    <t>https://www.franchisetimes.com/top-400-2024/186-rnr-tire-express/article_3d7130e6-5666-11ef-a229-4b2cd9bd492c.html</t>
  </si>
  <si>
    <t>https://www.franchisetimes.com/top-400-2024/187-play-it-again-sports/article_8488e9d0-5664-11ef-bde2-cb448f0f261a.html</t>
  </si>
  <si>
    <t>https://www.franchisetimes.com/top-400-2024/188-grease-monkey/article_2af7c312-5666-11ef-ba7d-1bc047b54f52.html</t>
  </si>
  <si>
    <t>https://www.franchisetimes.com/top-400-2024/189-goldfish-swim-school/article_8feb69c2-5666-11ef-85c3-53e68a39fba0.html</t>
  </si>
  <si>
    <t>https://www.franchisetimes.com/top-400-2024/190-the-original-pancake-house/article_6b7ceaca-5666-11ef-a514-a773ccfec94b.html</t>
  </si>
  <si>
    <t>https://www.franchisetimes.com/top-400-2024/191-inxpress/article_666a0826-5664-11ef-8272-4b9ace030782.html</t>
  </si>
  <si>
    <t>https://www.franchisetimes.com/top-400-2024/192-the-cleaning-authority/article_1016e0e6-5666-11ef-9b08-df82a60e7036.html</t>
  </si>
  <si>
    <t>https://www.franchisetimes.com/top-400-2024/193-shipley-do-nuts/article_4ecda004-5666-11ef-a815-ab0408b0109b.html</t>
  </si>
  <si>
    <t>https://www.franchisetimes.com/top-400-2024/194-the-krystal-company/article_ce77b7e6-5665-11ef-9a5c-d39e79e57573.html</t>
  </si>
  <si>
    <t>https://www.franchisetimes.com/top-400-2024/195-molly-maid/article_427f5a9a-5666-11ef-bbaf-7f40ae0f837f.html</t>
  </si>
  <si>
    <t>https://www.franchisetimes.com/top-400-2024/196-sola-salons/article_5f7f394e-5666-11ef-96b1-7334081218d5.html</t>
  </si>
  <si>
    <t>https://www.franchisetimes.com/top-400-2024/197-golden-chick/article_599fc3ae-5666-11ef-bbaf-2b785502809a.html</t>
  </si>
  <si>
    <t>https://www.franchisetimes.com/top-400-2024/198-johnny-rockets/article_716fecfc-5666-11ef-acb7-7f0a78d8c69c.html</t>
  </si>
  <si>
    <t>https://www.franchisetimes.com/top-400-2024/199-fazoli-s/article_163d45dc-5666-11ef-b70d-2badb5458ec5.html</t>
  </si>
  <si>
    <t>https://www.franchisetimes.com/top-400-2024/200-biggby-coffee/article_e858d904-5667-11ef-a4de-872008d24cbd.html</t>
  </si>
  <si>
    <t>https://www.franchisetimes.com/top-400-2024/201-wild-birds-unlimited/article_1e73afa2-5666-11ef-8b1e-639bd4f7fff9.html</t>
  </si>
  <si>
    <t>https://www.franchisetimes.com/top-400-2024/202-donatos-pizza/article_e85e035e-5665-11ef-9dc5-8f04c989cad1.html</t>
  </si>
  <si>
    <t>https://www.franchisetimes.com/top-400-2024/203-aire-serv/article_8a81819c-5666-11ef-987d-3b01007d1cb9.html</t>
  </si>
  <si>
    <t>https://www.franchisetimes.com/top-400-2024/204-pridestaff/article_7793f17a-5664-11ef-ad93-8f8bc9878ad2.html</t>
  </si>
  <si>
    <t>https://www.franchisetimes.com/top-400-2024/205-metal-supermarkets/article_8529544a-5666-11ef-9599-c3adef6547aa.html</t>
  </si>
  <si>
    <t>https://www.franchisetimes.com/top-400-2024/206-pepper-lunch/article_774b9dd8-5666-11ef-a21e-0fb1a3b9ccbe.html</t>
  </si>
  <si>
    <t>https://www.franchisetimes.com/top-400-2024/207-signal-security/article_fa51f852-5667-11ef-a965-e3b121e6b761.html</t>
  </si>
  <si>
    <t>https://www.franchisetimes.com/top-400-2024/208-penn-station-east-coast-subs/article_7d1d5d78-5666-11ef-a216-6744974738bc.html</t>
  </si>
  <si>
    <t>https://www.franchisetimes.com/top-400-2024/209-wetzels-pretzels/article_e5edb1cc-5666-11ef-86f8-2f12b5ef4171.html</t>
  </si>
  <si>
    <t>https://www.franchisetimes.com/top-400-2024/210-college-hunks-hauling-junk/article_9d6de5fc-5666-11ef-bce9-a763270fd396.html</t>
  </si>
  <si>
    <t>https://www.franchisetimes.com/top-400-2024/211-kona-ice/article_ba1a2b92-5667-11ef-8a13-1fa75613fb95.html</t>
  </si>
  <si>
    <t>https://www.franchisetimes.com/top-400-2024/212-buddys-home-furnishing/article_49331476-5666-11ef-8052-e381efd44c9c.html</t>
  </si>
  <si>
    <t>https://www.franchisetimes.com/top-400-2024/213-tommys-express/article_20fb18da-5668-11ef-a4cd-472fcbe15bba.html</t>
  </si>
  <si>
    <t>https://www.franchisetimes.com/top-400-2024/214-comforcare-home-care/article_b9ce4b1a-5666-11ef-97a6-63562220e697.html</t>
  </si>
  <si>
    <t>https://www.franchisetimes.com/top-400-2024/215-farmer-boys-hamburgers/article_d3fff272-5666-11ef-9334-27f199a33070.html</t>
  </si>
  <si>
    <t>https://www.franchisetimes.com/top-400-2024/216-home-helpers-home-care/article_def067a2-5666-11ef-b0a1-8fe30af1a47f.html</t>
  </si>
  <si>
    <t>https://www.franchisetimes.com/top-400-2024/217-real-property-management/article_d8b6cb6e-5667-11ef-b0ea-671adf6b5fa5.html</t>
  </si>
  <si>
    <t>https://www.franchisetimes.com/top-400-2024/218-benjamin-franklin-plumbing/article_ed74b192-5667-11ef-9efe-1f9269dc5908.html</t>
  </si>
  <si>
    <t>https://www.franchisetimes.com/top-400-2024/219-homewatch-caregivers/article_1019ad88-5668-11ef-b9ac-231b23208225.html</t>
  </si>
  <si>
    <t>https://www.franchisetimes.com/top-400-2024/221-glass-doctor/article_c1a690da-5667-11ef-b5dd-4b71e5226002.html</t>
  </si>
  <si>
    <t>https://www.franchisetimes.com/top-400-2024/222-always-best-care/article_0b0db2ee-5668-11ef-8b5a-8763f4a07531.html</t>
  </si>
  <si>
    <t>https://www.franchisetimes.com/top-400-2024/223-allegra-marketing-print-mail/article_b42fbb58-5666-11ef-8995-7335a98bb341.html</t>
  </si>
  <si>
    <t>https://www.franchisetimes.com/top-400-2024/224-yogi-bear-s-jellystone-park/article_cd2ec22a-5666-11ef-b95a-e75bb5cb8b35.html</t>
  </si>
  <si>
    <t>https://www.franchisetimes.com/top-400-2024/226-firstlight-home-care/article_5579ba12-5668-11ef-bf7a-37fd90d1942b.html</t>
  </si>
  <si>
    <t>https://www.franchisetimes.com/top-400-2024/227-lee-s-famous-recipe-chicken/article_01f92d50-5668-11ef-bfb7-f79ee2d0c9b1.html</t>
  </si>
  <si>
    <t>https://www.franchisetimes.com/top-400-2024/228-chem-dry/article_a2b9dd5e-5666-11ef-bc23-0b77c0b54fea.html</t>
  </si>
  <si>
    <t>https://www.franchisetimes.com/top-400-2024/229-united-country/article_a86359ec-5666-11ef-9f9a-eb4ee97ea2c4.html</t>
  </si>
  <si>
    <t>https://www.franchisetimes.com/top-400-2024/230-playa-bowls/article_b385279e-5669-11ef-aacb-1f26062cbf06.html</t>
  </si>
  <si>
    <t>https://www.franchisetimes.com/top-400-2024/231-beef-o-bradys/article_e03a1ac0-5663-11ef-9421-9b79c4e77189.html</t>
  </si>
  <si>
    <t>https://www.franchisetimes.com/top-400-2024/232-l-l-hawaiian-barbecue/article_2d226bae-5668-11ef-988d-b7d389ca3071.html</t>
  </si>
  <si>
    <t>https://www.franchisetimes.com/top-400-2024/233-lawn-doctor/article_cd626872-5667-11ef-91fa-4f94c513eae6.html</t>
  </si>
  <si>
    <t>https://www.franchisetimes.com/top-400-2024/234-huddle-house/article_d309473c-5667-11ef-886b-cb42b01cfcb1.html</t>
  </si>
  <si>
    <t>https://www.franchisetimes.com/top-400-2024/235-the-melting-pot/article_f4672698-5666-11ef-9647-ab33eedf2549.html</t>
  </si>
  <si>
    <t>https://www.franchisetimes.com/top-400-2024/236-newks-eatery/article_f4a52b90-5667-11ef-b501-bb2ca7475bcd.html</t>
  </si>
  <si>
    <t>https://www.franchisetimes.com/top-400-2024/239-elements-massage/article_1adce410-5668-11ef-82f5-4310b423b3a3.html</t>
  </si>
  <si>
    <t>https://www.franchisetimes.com/top-400-2024/240-fantastic-sams/article_eefe117c-5665-11ef-8ae3-2f99af11e076.html</t>
  </si>
  <si>
    <t>https://www.franchisetimes.com/top-400-2024/241-superior-fence-rail/article_fd458cb0-566a-11ef-bcc5-6be50b44db35.html</t>
  </si>
  <si>
    <t>https://www.franchisetimes.com/top-400-2024/242-image360/article_3977748a-5668-11ef-8e2c-876a4d1df168.html</t>
  </si>
  <si>
    <t>https://www.franchisetimes.com/top-400-2024/243-crdn/article_e32ff1aa-5668-11ef-9729-a7949b6543a3.html</t>
  </si>
  <si>
    <t>https://www.franchisetimes.com/top-400-2024/244-school-of-rock/article_85f7500a-5668-11ef-baaf-a7cb5f800f9a.html</t>
  </si>
  <si>
    <t>https://www.franchisetimes.com/top-400-2024/245-precision-tune-auto-care/article_4440ef36-5668-11ef-8b97-077e51d7b6de.html</t>
  </si>
  <si>
    <t>https://www.franchisetimes.com/top-400-2024/246-mighty-auto-parts/article_49b30602-5668-11ef-a24a-774999ab5b1b.html</t>
  </si>
  <si>
    <t>https://www.franchisetimes.com/top-400-2024/247-stretchlab/article_6abf42ae-566b-11ef-81bd-575862f70458.html?block_id=1855301</t>
  </si>
  <si>
    <t>https://www.franchisetimes.com/top-400-2024/248-burn-boot-camp/article_d34ac8d2-5668-11ef-8f66-23b6b605e860.html</t>
  </si>
  <si>
    <t>https://www.franchisetimes.com/top-400-2024/249-yogen-fruz/article_5429ff8e-5666-11ef-8801-8b0c143309c1.html</t>
  </si>
  <si>
    <t>https://www.franchisetimes.com/top-400-2024/250-la-madeleine/article_5005733c-5668-11ef-8c67-8f65964c7552.html</t>
  </si>
  <si>
    <t>https://www.franchisetimes.com/top-400-2024/251-7-brew/article_ade5a104-5666-11ef-a456-43ea190308b1.html</t>
  </si>
  <si>
    <t>https://www.franchisetimes.com/top-400-2024/252-dogtopia/article_9cd46f9c-5668-11ef-87e1-8b878f6deae5.html</t>
  </si>
  <si>
    <t>https://www.franchisetimes.com/top-400-2024/253-bar-louie/article_c009b12c-5666-11ef-885c-57f7dafe1e4a.html</t>
  </si>
  <si>
    <t>https://www.franchisetimes.com/top-400-2024/254-andys-frozen-custard/article_ced8c6fe-5669-11ef-a755-d70ead688c84.html</t>
  </si>
  <si>
    <t>https://www.franchisetimes.com/top-400-2024/255-stratus-building-solutions/article_b8c67d08-5668-11ef-886d-571c3ec7dbe1.html</t>
  </si>
  <si>
    <t>https://www.franchisetimes.com/top-400-2024/256-old-chicago-pizza-taproom/article_c65d704a-5666-11ef-8015-23661430f79e.html</t>
  </si>
  <si>
    <t>https://www.franchisetimes.com/top-400-2024/257-floor-coverings-international/article_79947fb8-5668-11ef-9e1f-3f18fd5a5068.html</t>
  </si>
  <si>
    <t>https://www.franchisetimes.com/top-400-2024/258-teamlogic-it/article_e9502064-5668-11ef-9de1-07885999c888.html?block_id=1855301</t>
  </si>
  <si>
    <t>https://www.franchisetimes.com/top-400-2024/259-woodhouse-spa/article_97850060-5668-11ef-81bd-838a6bb0adff.html</t>
  </si>
  <si>
    <t>https://www.franchisetimes.com/top-400-2024/260-ritas-italian-ice/article_da68e5fe-5668-11ef-81b9-5b09e6569431.html</t>
  </si>
  <si>
    <t>https://www.franchisetimes.com/top-400-2024/261-larosas-pizzeria/article_c728caa0-5667-11ef-813f-9b0be9290388.html</t>
  </si>
  <si>
    <t>https://www.franchisetimes.com/top-400-2024/262-ziebart/article_157c7666-5668-11ef-a078-178178b9bf27.html</t>
  </si>
  <si>
    <t>https://www.franchisetimes.com/top-400-2024/263-mr-electric/article_8c7ef360-5668-11ef-81ad-27d8c442b7a6.html</t>
  </si>
  <si>
    <t>https://www.franchisetimes.com/top-400-2024/264-mr-appliance/article_ae16a5ae-5668-11ef-ac7c-af976f920f0c.html</t>
  </si>
  <si>
    <t>https://www.franchisetimes.com/top-400-2024/265-wings-rings/article_251cabf2-566a-11ef-9533-d3da8af3d28d.html</t>
  </si>
  <si>
    <t>https://www.franchisetimes.com/top-400-2024/266-waba-grill/article_80d4b536-5668-11ef-a171-f77d951aadb9.html</t>
  </si>
  <si>
    <t>https://www.franchisetimes.com/top-400-2024/267-mister-sparky/article_bfab7380-5668-11ef-8a12-ab99da5ef742.html</t>
  </si>
  <si>
    <t>https://www.franchisetimes.com/top-400-2024/268-mr-handyman/article_b36f0636-5668-11ef-b363-638b05c9e6cd.html</t>
  </si>
  <si>
    <t>https://www.franchisetimes.com/top-400-2024/269-tazikis-mediterranean-cafe/article_bdf60ba8-5669-11ef-9067-6717195b8365.html</t>
  </si>
  <si>
    <t>https://www.franchisetimes.com/top-400-2024/270-phenix-salon-suites/article_c4576fe6-5669-11ef-8d69-4b68632dc74a.html</t>
  </si>
  <si>
    <t>https://www.franchisetimes.com/top-400-2024/271-another-broken-egg-cafe/article_a2d53d04-5668-11ef-9b68-97cc78c24471.html</t>
  </si>
  <si>
    <t>https://www.franchisetimes.com/top-400-2024/273-sir-speedy-print-signs-marketing/article_cd2824c2-5668-11ef-87f5-0b85eb83c591.html</t>
  </si>
  <si>
    <t>https://www.franchisetimes.com/top-400-2024/274-lightbridge-academy/article_4f5d15f0-566a-11ef-9312-d3181923c637.html</t>
  </si>
  <si>
    <t>https://www.franchisetimes.com/top-400-2024/275-amazing-lash-studio/article_6d111116-5668-11ef-a256-fba60116067b.html</t>
  </si>
  <si>
    <t>https://www.franchisetimes.com/top-400-2024/276-burgerfi/article_923454bc-5668-11ef-b357-7b72243a087c.html</t>
  </si>
  <si>
    <t>https://www.franchisetimes.com/top-400-2024/277-qc-kinetix/article_648ef604-566b-11ef-b1fc-5bed0914ee3b.html</t>
  </si>
  <si>
    <t>https://www.franchisetimes.com/top-400-2024/278-jinya-ramen-bar/article_3fd5bad8-566a-11ef-ae72-4b4d4fd3156e.html</t>
  </si>
  <si>
    <t>https://www.franchisetimes.com/top-400-2024/279-assisting-hands-home-care/article_5ea3ebe2-566a-11ef-8a2c-8b5b4540fe2f.html</t>
  </si>
  <si>
    <t>https://www.franchisetimes.com/top-400-2024/280-altitude-trampoline-park/article_62dfb77e-5668-11ef-830b-3fadeecb24d3.html</t>
  </si>
  <si>
    <t>https://www.franchisetimes.com/top-400-2024/281-fatburger/article_c960c6c2-5669-11ef-a46c-2b7334f6fc69.html</t>
  </si>
  <si>
    <t>https://www.franchisetimes.com/top-400-2024/282-aqua-tots-swim-schools/article_3aa8ba6a-566a-11ef-9515-032a24f6636b.html</t>
  </si>
  <si>
    <t>https://www.franchisetimes.com/top-400-2024/283-huntington-learning-center/article_2acd6938-566a-11ef-ad3d-23b10d25724e.html</t>
  </si>
  <si>
    <t>https://www.franchisetimes.com/top-400-2024/284-hobbytown/article_b8c6ba92-5669-11ef-947f-976bef16c2c7.html</t>
  </si>
  <si>
    <t>https://www.franchisetimes.com/top-400-2024/285-mosquito-joe/article_de076c0c-5669-11ef-ad8b-5399be005798.html</t>
  </si>
  <si>
    <t>https://www.franchisetimes.com/top-400-2024/286-ledo-pizza/article_4a46d4de-566a-11ef-867f-1f52272cd888.html</t>
  </si>
  <si>
    <t>https://www.franchisetimes.com/top-400-2024/287-fords-garage/article_334955ba-5668-11ef-85d3-2f5be3ed864e.html</t>
  </si>
  <si>
    <t>https://www.franchisetimes.com/top-400-2024/288-postnet/article_45473a78-566a-11ef-84e3-970649ba61a3.html</t>
  </si>
  <si>
    <t>https://www.franchisetimes.com/top-400-2024/289-nathan-s-famous/article_4292d642-566b-11ef-afef-97d3235c90bb.html</t>
  </si>
  <si>
    <t>https://www.franchisetimes.com/top-400-2024/290-dale-carnegie-training/article_5479161a-566a-11ef-95c9-3794a52e2001.html</t>
  </si>
  <si>
    <t>https://www.franchisetimes.com/top-400-2024/291-anago-cleaning-systems/article_d9120e40-566a-11ef-a382-7f236b1ebad4.html</t>
  </si>
  <si>
    <t>https://www.franchisetimes.com/top-400-2024/292-childrens-lighthouse/article_a2a8dc30-566a-11ef-9ab8-c35ca718f4c0.html</t>
  </si>
  <si>
    <t>https://www.franchisetimes.com/top-400-2024/293-teriyaki-madness/article_c48020a2-566a-11ef-a585-9b444f100e94.html</t>
  </si>
  <si>
    <t>https://www.franchisetimes.com/top-400-2024/294-speedee-oil-change-tune-up/article_8e7d9b42-566a-11ef-bf7d-8b203ac5d869.html</t>
  </si>
  <si>
    <t>https://www.franchisetimes.com/top-400-2024/295-the-human-bean/article_5976f542-566a-11ef-8be0-c35c2b7449b1.html</t>
  </si>
  <si>
    <t>https://www.franchisetimes.com/top-400-2024/296-fish-window-cleaning/article_9d5a0bdc-566a-11ef-9aa6-e3bb2daaa558.html</t>
  </si>
  <si>
    <t>https://www.franchisetimes.com/top-400-2024/297-tide-dry-cleaners/article_72c892a0-5668-11ef-9156-1b292cb82075.html</t>
  </si>
  <si>
    <t>https://www.franchisetimes.com/top-400-2024/298-five-star-painting/article_e391d7f2-5669-11ef-b9c2-f7ab291df61a.html</t>
  </si>
  <si>
    <t>https://www.franchisetimes.com/top-400-2024/299-capriotti-s/article_7eaf06ba-566a-11ef-84d9-db12769d17f4.html</t>
  </si>
  <si>
    <t>https://www.franchisetimes.com/top-400-2024/300-property-management/article_c59fca7a-5668-11ef-a67c-1b134e8b2250.html</t>
  </si>
  <si>
    <t>https://www.franchisetimes.com/top-400-2024/301-cmit-solutions/article_bf96a9da-566a-11ef-8f83-63c021c268ad.html</t>
  </si>
  <si>
    <t>https://www.franchisetimes.com/top-400-2024/302-the-grounds-guys/article_b3738736-566a-11ef-8ef1-17fd555ed761.html</t>
  </si>
  <si>
    <t>https://www.franchisetimes.com/top-400-2024/303-brightway-insurance/article_d3f2daa8-5669-11ef-95fe-cfc78d66b6f0.html</t>
  </si>
  <si>
    <t>https://www.franchisetimes.com/top-400-2024/304-mr-gattis/article_c98c9d96-566a-11ef-9a9c-bb1b29992bb1.html</t>
  </si>
  <si>
    <t>https://www.franchisetimes.com/top-400-2024/305-cheba-hut-toasted-subs/article_95596f08-566b-11ef-a537-3f7fd23861f4.html</t>
  </si>
  <si>
    <t>https://www.franchisetimes.com/top-400-2024/306-my-salon-suite/article_5fc90484-566b-11ef-8409-7fc7fbf98ea5.html</t>
  </si>
  <si>
    <t>https://www.franchisetimes.com/top-400-2024/307-nekter-juice-bar/article_74d4ae10-566a-11ef-b9eb-b38758757d9f.html</t>
  </si>
  <si>
    <t>https://www.franchisetimes.com/top-400-2024/308-massage-heights/article_6fca3624-566a-11ef-ab4e-5f60e0ccf799.html</t>
  </si>
  <si>
    <t>https://www.franchisetimes.com/top-400-2024/309-hawaiian-bros-island-grill/article_8466d042-566a-11ef-8b7d-0f5fba16692c.html</t>
  </si>
  <si>
    <t>https://www.franchisetimes.com/top-400-2024/402-mosquito-authority/article_78bdbde8-566d-11ef-b9c5-77daa241cb28.html</t>
  </si>
  <si>
    <t>https://www.franchisetimes.com/top-400-2024/311-wings-etc/article_ce97bc8a-566a-11ef-be24-a74771e18ea4.html</t>
  </si>
  <si>
    <t>https://www.franchisetimes.com/top-400-2024/312-salata/article_79dcf674-566a-11ef-854a-fba7fc08cf6f.html</t>
  </si>
  <si>
    <t>https://www.franchisetimes.com/top-400-2024/313-strickland-brothers-oil-change/article_ba006f06-566a-11ef-bfbd-b302ecc33dd6.html</t>
  </si>
  <si>
    <t>https://www.franchisetimes.com/top-400-2024/314-pizza-inn/article_ea77a24e-566a-11ef-a6a8-9f8435ef1413.html</t>
  </si>
  <si>
    <t>https://www.franchisetimes.com/top-400-2024/315-drybar/article_47ec38a4-566b-11ef-95c4-132a87281c96.html</t>
  </si>
  <si>
    <t>https://www.franchisetimes.com/top-400-2024/316-kitchen-tune-up/article_effa958c-566a-11ef-ad8a-abbf1c694f65.html</t>
  </si>
  <si>
    <t>https://www.franchisetimes.com/top-400-2024/317-stretch-zone/article_06439360-566c-11ef-868a-2385d5a73c70.html</t>
  </si>
  <si>
    <t>https://www.franchisetimes.com/top-400-2024/318-woof-gang-bakery/article_7b140e14-566b-11ef-846c-a78691f566c9.html</t>
  </si>
  <si>
    <t>https://www.franchisetimes.com/top-400-2024/319-fully-promoted/article_807461d8-566b-11ef-8a17-6f753e0a475d.html</t>
  </si>
  <si>
    <t>https://www.franchisetimes.com/top-400-2024/320-handels-ice-cream/article_119ef0ba-566c-11ef-bff8-cb833656245d.html</t>
  </si>
  <si>
    <t>https://www.franchisetimes.com/top-400-2024/321-speedpro/article_704adee0-566b-11ef-b331-4bfd12fb874a.html</t>
  </si>
  <si>
    <t>https://www.franchisetimes.com/top-400-2024/322-shakey-s-pizza-parlor/article_7591e060-566b-11ef-b983-c78bd55e4084.html</t>
  </si>
  <si>
    <t>https://www.franchisetimes.com/top-400-2024/323-frsteam/article_def47014-566a-11ef-96a9-a3532ded681a.html</t>
  </si>
  <si>
    <t>https://www.franchisetimes.com/top-400-2024/324-americas-swimming-pool-company/article_4ce85130-566b-11ef-8d94-9326432702b0.html</t>
  </si>
  <si>
    <t>https://www.franchisetimes.com/top-400-2024/325-stroll/article_8b2e9f30-566b-11ef-93ae-4f37b073290b.html</t>
  </si>
  <si>
    <t>https://www.franchisetimes.com/top-400-2024/326-which-wich/article_2da3761a-566b-11ef-99ef-67a1648758d4.html</t>
  </si>
  <si>
    <t>https://www.franchisetimes.com/top-400-2024/327-marble-slab-creamery/article_d4587e52-566a-11ef-a1ce-73aeb252329c.html</t>
  </si>
  <si>
    <t>https://www.franchisetimes.com/top-400-2024/328-soccer-shots/article_39ebe452-566b-11ef-974b-5b962b39928e.html</t>
  </si>
  <si>
    <t>https://www.franchisetimes.com/top-400-2024/329-junk-king/article_f59dc81a-566a-11ef-a402-d74faeeaf2cf.html</t>
  </si>
  <si>
    <t>https://www.franchisetimes.com/top-400-2024/330-mighty-dog-roofing/article_53bc324c-566b-11ef-acf7-77e6c5817cf0.html</t>
  </si>
  <si>
    <t>https://www.franchisetimes.com/top-400-2024/331-broken-yolk-cafe/article_cce0d402-566b-11ef-a315-0f6ffcdd7704.html</t>
  </si>
  <si>
    <t>https://www.franchisetimes.com/top-400-2024/332-dream-vacations/article_988aab28-566c-11ef-b2b6-ebba87c1e248.html</t>
  </si>
  <si>
    <t>https://www.franchisetimes.com/top-400-2024/333-retro-fitness/article_a599d57e-566b-11ef-879e-7f8e20539186.html</t>
  </si>
  <si>
    <t>https://www.franchisetimes.com/top-400-2024/334-cyclebar/article_ef47fbf6-566b-11ef-b64c-c73f94a44a1e.html</t>
  </si>
  <si>
    <t>https://www.franchisetimes.com/top-400-2024/335-bubbakoo-s-burritos/article_3ef631ea-566c-11ef-a200-5b4936614714.html</t>
  </si>
  <si>
    <t>https://www.franchisetimes.com/top-400-2024/336-911-restoration/article_b622bc30-566b-11ef-9546-637bd5fa88c3.html</t>
  </si>
  <si>
    <t>https://www.franchisetimes.com/top-400-2024/337-miracle-method-surface-refinishing/article_c71f1844-566b-11ef-95c2-4f36d8a57bd5.html</t>
  </si>
  <si>
    <t>https://www.franchisetimes.com/top-400-2024/338-ace-handyman-services/article_387afb98-566c-11ef-a8ab-fb4713efbeea.html</t>
  </si>
  <si>
    <t>https://www.franchisetimes.com/top-400-2024/339-workout-anytime/article_f66f528a-566b-11ef-b8ce-e7624c4e5b12.html</t>
  </si>
  <si>
    <t>https://www.franchisetimes.com/top-400-2024/340-sterling-optical/article_ab2552d4-566b-11ef-986f-1762a7d1d99d.html</t>
  </si>
  <si>
    <t>https://www.franchisetimes.com/top-400-2024/341-clothes-mentor/article_c0d1b6c2-566b-11ef-ae5d-e3fdd65fe4ed.html</t>
  </si>
  <si>
    <t>https://www.franchisetimes.com/top-400-2024/342-enviro-master/article_85a94e66-566b-11ef-9380-1752b5d560f1.html</t>
  </si>
  <si>
    <t>https://www.franchisetimes.com/top-400-2024/343-primo-hoagies/article_275cad02-566c-11ef-b8b5-278bfcf4692b.html</t>
  </si>
  <si>
    <t>https://www.franchisetimes.com/top-400-2024/344-pizza-factory/article_0bd10dee-566c-11ef-9b42-4ff4d4d7ef03.html</t>
  </si>
  <si>
    <t>https://www.franchisetimes.com/top-400-2024/345-tint-world/article_87283f4e-566c-11ef-a7aa-4336f8673be3.html</t>
  </si>
  <si>
    <t>https://www.franchisetimes.com/top-400-2024/346-storm-guard-roofing-and-construction/article_4591d6d4-566d-11ef-9355-6f374b90e165.html</t>
  </si>
  <si>
    <t>https://www.franchisetimes.com/top-400-2024/347-office-pride-commercial-cleaning/article_171c9ec0-566c-11ef-8922-03f3b98192f1.html</t>
  </si>
  <si>
    <t>https://www.franchisetimes.com/top-400-2024/348-archadeck-outdoor-living/article_bbb37aae-566b-11ef-8936-1b7259abf1a9.html</t>
  </si>
  <si>
    <t>https://www.franchisetimes.com/top-400-2024/349-brothers-that-just-do-gutters/article_d8ec8c3c-566b-11ef-bb9b-c773c50e5807.html</t>
  </si>
  <si>
    <t>https://www.franchisetimes.com/top-400-2024/350-cousins-subs/article_2c67d7d6-566c-11ef-9772-afb5528c3b5b.html</t>
  </si>
  <si>
    <t>https://www.franchisetimes.com/top-400-2024/351-clean-eatz/article_51d634a4-566c-11ef-bdce-4734a619d412.html</t>
  </si>
  <si>
    <t>https://www.franchisetimes.com/top-400-2024/352-transworld-business-advisors/article_00705342-566c-11ef-bf17-ab34b57d42b4.html</t>
  </si>
  <si>
    <t>https://www.franchisetimes.com/top-400-2024/353-rocky-mountain-chocolate-factory/article_89aa5434-566a-11ef-bb04-f7363638db13.html</t>
  </si>
  <si>
    <t>https://www.franchisetimes.com/top-400-2024/354-pizza-guys/article_fba5b14a-566b-11ef-bfeb-8768a4c9b83e.html</t>
  </si>
  <si>
    <t>https://www.franchisetimes.com/top-400-2024/355-koala-insulation/article_fd9edd08-566d-11ef-b2c4-bbe1a2d96c00.html</t>
  </si>
  <si>
    <t>https://www.franchisetimes.com/top-400-2024/356-celebree-school/article_5fef7aa4-566d-11ef-9f33-fb61e8c24c68.html</t>
  </si>
  <si>
    <t>https://www.franchisetimes.com/top-400-2024/357-nick-the-greek/article_e9bce16a-566b-11ef-aaff-ab43cdaf7fb1.html</t>
  </si>
  <si>
    <t>https://www.franchisetimes.com/top-400-2024/358-eggs-up-grill/article_2654ac7e-566d-11ef-b155-b306172832eb.html</t>
  </si>
  <si>
    <t>https://www.franchisetimes.com/top-400-2024/359-hteao/article_47f05bf2-566e-11ef-ba16-07e42369b0a9.html</t>
  </si>
  <si>
    <t>https://www.franchisetimes.com/top-400-2024/360-saladworks/article_220766ee-566c-11ef-8f78-7b043678abab.html</t>
  </si>
  <si>
    <t>https://www.franchisetimes.com/top-400-2024/361-1-800-water-damage/article_c208c6d2-566d-11ef-b7ff-c3b7af5208f8.html</t>
  </si>
  <si>
    <t>https://www.franchisetimes.com/top-400-2024/362-toppers-pizza/article_e462e732-566b-11ef-8c8f-fb90ac678606.html</t>
  </si>
  <si>
    <t>https://www.franchisetimes.com/top-400-2024/363-dog-haus/article_ae773690-566c-11ef-9664-efcd7ec3172e.html</t>
  </si>
  <si>
    <t>https://www.franchisetimes.com/top-400-2024/364-christmas-decor/article_580b1fd8-566c-11ef-8f75-579b74537372.html</t>
  </si>
  <si>
    <t>https://www.franchisetimes.com/top-400-2024/365-pj-s-coffee-of-new-orleans/article_d3b29f0c-566d-11ef-89c5-0754b0af6046.html</t>
  </si>
  <si>
    <t>https://www.franchisetimes.com/top-400-2024/366-the-greene-turtle-sports-bar/article_32c0310a-566c-11ef-9585-9ba06e803014.html</t>
  </si>
  <si>
    <t>https://www.franchisetimes.com/top-400-2024/367-buildingstars/article_a9c98198-566c-11ef-8abb-afa7e892cbe5.html</t>
  </si>
  <si>
    <t>https://www.franchisetimes.com/top-400-2024/368-waxing-the-city/article_4a8b3b90-566c-11ef-a1ea-a3c5b66e00e6.html</t>
  </si>
  <si>
    <t>https://www.franchisetimes.com/top-400-2024/369-pip-marketing-signs-print/article_1576220c-566d-11ef-9be7-bff15fd49255.html</t>
  </si>
  <si>
    <t>https://www.franchisetimes.com/top-400-2024/370-hurricane-grill-wings/article_44674ea2-566c-11ef-aeb8-5f71b454f83c.html</t>
  </si>
  <si>
    <t>https://www.franchisetimes.com/top-400-2024/371-mooyah-burgers-fries-shakes/article_8c57a3ec-566c-11ef-8792-6799fb1eb47e.html</t>
  </si>
  <si>
    <t>https://www.franchisetimes.com/top-400-2024/372-100-chiropractic/article_1abcdf44-566d-11ef-8da1-63ab04303f9e.html</t>
  </si>
  <si>
    <t>https://www.franchisetimes.com/top-400-2024/373-port-of-subs/article_b95a7838-566c-11ef-bf17-3b3ed91a32b0.html</t>
  </si>
  <si>
    <t>https://www.franchisetimes.com/top-400-2024/374-yogasix/article_5714c46a-566e-11ef-b2de-5fe55fd7a610.html</t>
  </si>
  <si>
    <t>https://www.franchisetimes.com/top-400-2024/375-five-star-bath-solutions/article_2e15571e-566e-11ef-a0c9-bb3f6716ecf0.html</t>
  </si>
  <si>
    <t>https://www.franchisetimes.com/top-400-2024/376-guss-world-famous-fried-chicken/article_3b13e274-566d-11ef-b79d-372fd7e57a75.html</t>
  </si>
  <si>
    <t>https://www.franchisetimes.com/top-400-2024/377-roy-rogers/article_a4e2259a-566c-11ef-8d90-ef2022733d1a.html</t>
  </si>
  <si>
    <t>https://www.franchisetimes.com/top-400-2024/378-rodizio-grill/article_3607e280-566d-11ef-8dcc-27c081977147.html</t>
  </si>
  <si>
    <t>https://www.franchisetimes.com/top-400-2024/379-british-swim-school/article_42e939f8-566e-11ef-beb5-7fdb29ee4690.html</t>
  </si>
  <si>
    <t>https://www.franchisetimes.com/top-400-2024/380-caring-transitions/article_4a1d9d82-566d-11ef-a3c5-b7ff5ebbc4fa.html</t>
  </si>
  <si>
    <t>https://www.franchisetimes.com/top-400-2024/381-pretzelmaker/article_09e53216-566d-11ef-88f5-c34c387e308f.html</t>
  </si>
  <si>
    <t>https://www.franchisetimes.com/top-400-2024/382-massageluxe/article_6d998438-566d-11ef-9b5f-8787162d158b.html</t>
  </si>
  <si>
    <t>https://www.franchisetimes.com/top-400-2024/383-iron-valley-real-estate/article_5ab36ba4-566d-11ef-a4b1-4f40245ebab5.html</t>
  </si>
  <si>
    <t>https://www.franchisetimes.com/top-400-2024/384-maid-brigade/article_b37325a0-566c-11ef-a744-8f389dcd5c74.html</t>
  </si>
  <si>
    <t>https://www.franchisetimes.com/top-400-2024/385-any-lab-test-now/article_d3496e9e-566b-11ef-afd3-478c298c8a26.html</t>
  </si>
  <si>
    <t>https://www.franchisetimes.com/top-400-2024/386-rock-n-roll-sushi/article_87cfd3fc-566d-11ef-ad46-47e5f38c9085.html</t>
  </si>
  <si>
    <t>https://www.franchisetimes.com/top-400-2024/387-duck-donuts/article_72cff752-566d-11ef-b037-1b82a2e6ba04.html</t>
  </si>
  <si>
    <t>https://www.franchisetimes.com/top-400-2024/388-the-lash-lounge/article_20751e6a-566d-11ef-8bee-b7c0da190cb7.html</t>
  </si>
  <si>
    <t>https://www.franchisetimes.com/top-400-2024/389-the-flying-biscuit-cafe/article_30f5b3c6-566d-11ef-bdaf-cbba15cad6cf.html</t>
  </si>
  <si>
    <t>https://www.franchisetimes.com/top-400-2024/391-healthsource-chiropractic/article_2b8b92ac-566d-11ef-8439-e35ecdbf3a8c.html</t>
  </si>
  <si>
    <t>https://www.franchisetimes.com/top-400-2024/392-ellie-mental-health/article_9d979360-58b0-11ef-a9c3-275d8345eb28.html</t>
  </si>
  <si>
    <t>https://www.franchisetimes.com/top-400-2024/393-gotcha-covered/article_c6fdb0e4-566d-11ef-9b49-b7572f77d66c.html</t>
  </si>
  <si>
    <t>https://www.franchisetimes.com/top-400-2024/394-units-moving-and-portable-storage/article_0ff0c814-566d-11ef-a9c3-1ff013bd2cf7.html</t>
  </si>
  <si>
    <t>https://www.franchisetimes.com/top-400-2024/395-hoodz/article_0298ec2c-566e-11ef-b207-5b98f40ee73c.html</t>
  </si>
  <si>
    <t>https://www.franchisetimes.com/top-400-2024/396-cousins-maine-lobster/article_3303729c-566e-11ef-99d2-77ea45c3cecd.html</t>
  </si>
  <si>
    <t>https://www.franchisetimes.com/top-400-2024/397-flylock-security-solutions/article_0770a302-566e-11ef-9378-031af7e427e3.html</t>
  </si>
  <si>
    <t>https://www.franchisetimes.com/top-400-2024/398-mr-transmission/article_661cab5e-566d-11ef-959e-9bdc44f0e8a1.html</t>
  </si>
  <si>
    <t>https://www.franchisetimes.com/top-400-2024/399-the-junkluggers/article_91fac24c-566d-11ef-93b0-c75253fea08c.html</t>
  </si>
  <si>
    <t>https://www.franchisetimes.com/top-400-2024/400-baja-fresh/article_4f233922-566d-11ef-a275-a3a0ef4c1107.html</t>
  </si>
  <si>
    <t>X</t>
  </si>
  <si>
    <t>Rank '24</t>
  </si>
  <si>
    <t>Rank '23</t>
  </si>
  <si>
    <t>Franchise Concept</t>
  </si>
  <si>
    <t>Global Sales ($M)</t>
  </si>
  <si>
    <t>INT'L Units</t>
  </si>
  <si>
    <t>Total Units</t>
  </si>
  <si>
    <t>Sales Growth %</t>
  </si>
  <si>
    <t>Unit Growth %</t>
  </si>
  <si>
    <t>% Franchised</t>
  </si>
  <si>
    <t>McDonald’s</t>
  </si>
  <si>
    <t>4,465*</t>
  </si>
  <si>
    <t>8.40%</t>
  </si>
  <si>
    <t>0.60%</t>
  </si>
  <si>
    <t>7-Eleven</t>
  </si>
  <si>
    <t>7.50%</t>
  </si>
  <si>
    <t>0.20%</t>
  </si>
  <si>
    <t>KFC</t>
  </si>
  <si>
    <t>-8.00%</t>
  </si>
  <si>
    <t>0.70%</t>
  </si>
  <si>
    <t>Burger King</t>
  </si>
  <si>
    <t>1.20%</t>
  </si>
  <si>
    <t>1.30%</t>
  </si>
  <si>
    <t>Ace Hardware</t>
  </si>
  <si>
    <t>3,800*</t>
  </si>
  <si>
    <t>3.50%</t>
  </si>
  <si>
    <t>2.00%</t>
  </si>
  <si>
    <t>Chick-fil-A</t>
  </si>
  <si>
    <t>12.80%</t>
  </si>
  <si>
    <t>7.80%</t>
  </si>
  <si>
    <t>Subway</t>
  </si>
  <si>
    <t>6.00%</t>
  </si>
  <si>
    <t>1.90%</t>
  </si>
  <si>
    <t>Domino’s</t>
  </si>
  <si>
    <t>27.10%</t>
  </si>
  <si>
    <t>13.00%</t>
  </si>
  <si>
    <t>Circle K</t>
  </si>
  <si>
    <t>24.7%</t>
  </si>
  <si>
    <t>11.9%</t>
  </si>
  <si>
    <t>Taco Bell</t>
  </si>
  <si>
    <t>16.0%</t>
  </si>
  <si>
    <t>5.8%</t>
  </si>
  <si>
    <t>Wendy’s</t>
  </si>
  <si>
    <t>-17.3%</t>
  </si>
  <si>
    <t>2.1%</t>
  </si>
  <si>
    <t>Dunkin’</t>
  </si>
  <si>
    <t>3,200*</t>
  </si>
  <si>
    <t>5.6%</t>
  </si>
  <si>
    <t>3.5%</t>
  </si>
  <si>
    <t>Pizza Hut</t>
  </si>
  <si>
    <t>4.4%</t>
  </si>
  <si>
    <t>-1.8%</t>
  </si>
  <si>
    <t>RE/MAX</t>
  </si>
  <si>
    <t>9.9%</t>
  </si>
  <si>
    <t>2.5%</t>
  </si>
  <si>
    <t>Keller Williams Realty</t>
  </si>
  <si>
    <t>16.7%</t>
  </si>
  <si>
    <t>10.9%</t>
  </si>
  <si>
    <t>Tim Hortons</t>
  </si>
  <si>
    <t>9.8%</t>
  </si>
  <si>
    <t>-0.3%</t>
  </si>
  <si>
    <t>Popeyes Louisiana Kitchen</t>
  </si>
  <si>
    <t>8.4%</t>
  </si>
  <si>
    <t>1.9%</t>
  </si>
  <si>
    <t>Dairy Queen</t>
  </si>
  <si>
    <t>6.3%</t>
  </si>
  <si>
    <t>0.2%</t>
  </si>
  <si>
    <t>Panera Bread</t>
  </si>
  <si>
    <t>5.0%</t>
  </si>
  <si>
    <t>2.0%</t>
  </si>
  <si>
    <t>Sonic Drive-In</t>
  </si>
  <si>
    <t>-1.9%</t>
  </si>
  <si>
    <t>-2.6%</t>
  </si>
  <si>
    <t>Papa John’s</t>
  </si>
  <si>
    <t>6.2%</t>
  </si>
  <si>
    <t>1.4%</t>
  </si>
  <si>
    <t>Arby’s</t>
  </si>
  <si>
    <t>-1.6%</t>
  </si>
  <si>
    <t>-3.0%</t>
  </si>
  <si>
    <t>Applebee’s</t>
  </si>
  <si>
    <t>1.5%</t>
  </si>
  <si>
    <t>SERVPRO</t>
  </si>
  <si>
    <t>2.6%</t>
  </si>
  <si>
    <t>-0.2%</t>
  </si>
  <si>
    <t>Planet Fitness</t>
  </si>
  <si>
    <t>4.8%</t>
  </si>
  <si>
    <t>1.3%</t>
  </si>
  <si>
    <t>Chili’s</t>
  </si>
  <si>
    <t>4.0%</t>
  </si>
  <si>
    <t>-0.1%</t>
  </si>
  <si>
    <t>Jack In The Box</t>
  </si>
  <si>
    <t>5.1%</t>
  </si>
  <si>
    <t>Express Employment Professionals</t>
  </si>
  <si>
    <t>10.5%</t>
  </si>
  <si>
    <t>2.8%</t>
  </si>
  <si>
    <t>Buffalo Wild Wings</t>
  </si>
  <si>
    <t>9.3%</t>
  </si>
  <si>
    <t>0.0%</t>
  </si>
  <si>
    <t>The UPS Store</t>
  </si>
  <si>
    <t>Whataburger</t>
  </si>
  <si>
    <t>1.2%</t>
  </si>
  <si>
    <t>IHOP</t>
  </si>
  <si>
    <t>-5.5%</t>
  </si>
  <si>
    <t>-4.8%</t>
  </si>
  <si>
    <t xml:space="preserve"> </t>
  </si>
  <si>
    <t>Wingstop</t>
  </si>
  <si>
    <t>17.1%</t>
  </si>
  <si>
    <t>Jersey Mike’s Subs</t>
  </si>
  <si>
    <t>1,600*</t>
  </si>
  <si>
    <t>12.3%</t>
  </si>
  <si>
    <t>0.1%</t>
  </si>
  <si>
    <t>Culver’s</t>
  </si>
  <si>
    <t>1,560*</t>
  </si>
  <si>
    <t>2.3%</t>
  </si>
  <si>
    <t>-1.0%</t>
  </si>
  <si>
    <t>Berkshire Hathaway HomeServices</t>
  </si>
  <si>
    <t>12.5%</t>
  </si>
  <si>
    <t>0.7%</t>
  </si>
  <si>
    <t>Five Guys</t>
  </si>
  <si>
    <t>21.5%</t>
  </si>
  <si>
    <t>7.6%</t>
  </si>
  <si>
    <t>Denny’s</t>
  </si>
  <si>
    <t>Paris Baguette</t>
  </si>
  <si>
    <t>11.6%</t>
  </si>
  <si>
    <t>4.6%</t>
  </si>
  <si>
    <t>Valvoline Instant Oil Change</t>
  </si>
  <si>
    <t>16.9%</t>
  </si>
  <si>
    <t>-1.7%</t>
  </si>
  <si>
    <t>Home Instead Senior Care</t>
  </si>
  <si>
    <t>16.5%</t>
  </si>
  <si>
    <t>14.7%</t>
  </si>
  <si>
    <t>Carl’s Jr.</t>
  </si>
  <si>
    <t>3.2%</t>
  </si>
  <si>
    <t>Jimmy John’s</t>
  </si>
  <si>
    <t>-1.3%</t>
  </si>
  <si>
    <t>Zaxby’s</t>
  </si>
  <si>
    <t>1,150*</t>
  </si>
  <si>
    <t>24.6%</t>
  </si>
  <si>
    <t>18.4%</t>
  </si>
  <si>
    <t>Hardee’s</t>
  </si>
  <si>
    <t>7.5%</t>
  </si>
  <si>
    <t>6.8%</t>
  </si>
  <si>
    <t>Jiffy Lube</t>
  </si>
  <si>
    <t>0.8%</t>
  </si>
  <si>
    <t>Rent-A-Center</t>
  </si>
  <si>
    <t>-13.4%</t>
  </si>
  <si>
    <t>24.1%</t>
  </si>
  <si>
    <t>Baskin Robbins</t>
  </si>
  <si>
    <t>1.1%</t>
  </si>
  <si>
    <t>3.1%</t>
  </si>
  <si>
    <t>Snap-On Tools</t>
  </si>
  <si>
    <t>6.9%</t>
  </si>
  <si>
    <t>2.7%</t>
  </si>
  <si>
    <t>Anytime Fitness</t>
  </si>
  <si>
    <t>7.7%</t>
  </si>
  <si>
    <t>Midas</t>
  </si>
  <si>
    <t>10.7%</t>
  </si>
  <si>
    <t>Pet Supplies Plus</t>
  </si>
  <si>
    <t>11.1%</t>
  </si>
  <si>
    <t>Bojangles' Famous Chicken 'n Biscuits</t>
  </si>
  <si>
    <t>1.8%</t>
  </si>
  <si>
    <t>Great Clips</t>
  </si>
  <si>
    <t>23.3%</t>
  </si>
  <si>
    <t>16.8%</t>
  </si>
  <si>
    <t>Roto-Rooter</t>
  </si>
  <si>
    <t>11.3%</t>
  </si>
  <si>
    <t>ampm</t>
  </si>
  <si>
    <t>HomeVestors</t>
  </si>
  <si>
    <t>14.5%</t>
  </si>
  <si>
    <t>12.9%</t>
  </si>
  <si>
    <t>Golden Corral</t>
  </si>
  <si>
    <t>25.9%</t>
  </si>
  <si>
    <t>12.0%</t>
  </si>
  <si>
    <t>CARSTAR</t>
  </si>
  <si>
    <t>-7.6%</t>
  </si>
  <si>
    <t>Red Robin</t>
  </si>
  <si>
    <t>Church’s Chicken</t>
  </si>
  <si>
    <t>-3.6%</t>
  </si>
  <si>
    <t>3.3%</t>
  </si>
  <si>
    <t>Paul Davis Restoration</t>
  </si>
  <si>
    <t>-8.3%</t>
  </si>
  <si>
    <t>The Goddard School</t>
  </si>
  <si>
    <t>61.1%</t>
  </si>
  <si>
    <t>Primrose Schools</t>
  </si>
  <si>
    <t>12.7%</t>
  </si>
  <si>
    <t>2.4%</t>
  </si>
  <si>
    <t>Big O Tires</t>
  </si>
  <si>
    <t>64.2%</t>
  </si>
  <si>
    <t>15.2%</t>
  </si>
  <si>
    <t>Tropical Smoothie Café</t>
  </si>
  <si>
    <t>-7.8%</t>
  </si>
  <si>
    <t>Firehouse Subs</t>
  </si>
  <si>
    <t>-15.1%</t>
  </si>
  <si>
    <t>Window World</t>
  </si>
  <si>
    <t>18.6%</t>
  </si>
  <si>
    <t>3.0%</t>
  </si>
  <si>
    <t>Take 5 Oil Change</t>
  </si>
  <si>
    <t>Marco’s Pizza</t>
  </si>
  <si>
    <t>0.4%</t>
  </si>
  <si>
    <t>Qdoba Mexican Eats</t>
  </si>
  <si>
    <t>6.6%</t>
  </si>
  <si>
    <t>American Family Care</t>
  </si>
  <si>
    <t>El Pollo Loco</t>
  </si>
  <si>
    <t>19.5%</t>
  </si>
  <si>
    <t>5.7%</t>
  </si>
  <si>
    <t>McAlister’s Deli</t>
  </si>
  <si>
    <t>760*</t>
  </si>
  <si>
    <t>41.9%</t>
  </si>
  <si>
    <t>TOUS les JOURS</t>
  </si>
  <si>
    <t>-1.1%</t>
  </si>
  <si>
    <t>-15.8%</t>
  </si>
  <si>
    <t>Boston Pizza</t>
  </si>
  <si>
    <t>20.0%</t>
  </si>
  <si>
    <t>17.2%</t>
  </si>
  <si>
    <t>Visiting Angels</t>
  </si>
  <si>
    <t>Del Taco</t>
  </si>
  <si>
    <t>19.3%</t>
  </si>
  <si>
    <t>Crunch Fitness</t>
  </si>
  <si>
    <t>European Wax Center</t>
  </si>
  <si>
    <t>Jani-King</t>
  </si>
  <si>
    <t>9.6%</t>
  </si>
  <si>
    <t>Freddy’s Frozen Custard &amp; Steakburgers</t>
  </si>
  <si>
    <t>12.8%</t>
  </si>
  <si>
    <t>-2.7%</t>
  </si>
  <si>
    <t>Keystone Insurers Group</t>
  </si>
  <si>
    <t>8.7%</t>
  </si>
  <si>
    <t>ProSource Wholesale</t>
  </si>
  <si>
    <t>Auntie Anne’s</t>
  </si>
  <si>
    <t>575*</t>
  </si>
  <si>
    <t>4.5%</t>
  </si>
  <si>
    <t>-4.6%</t>
  </si>
  <si>
    <t>Budget Blinds</t>
  </si>
  <si>
    <t>3.6%</t>
  </si>
  <si>
    <t>Linc Service</t>
  </si>
  <si>
    <t>41.4%</t>
  </si>
  <si>
    <t>35.1%</t>
  </si>
  <si>
    <t>Wireless Zone</t>
  </si>
  <si>
    <t>2.2%</t>
  </si>
  <si>
    <t>Right at Home</t>
  </si>
  <si>
    <t>20.1%</t>
  </si>
  <si>
    <t>Vital Care Infusion</t>
  </si>
  <si>
    <t>Color Glo International</t>
  </si>
  <si>
    <t>13.7%</t>
  </si>
  <si>
    <t>Realty One Group</t>
  </si>
  <si>
    <t>Pollo Campero</t>
  </si>
  <si>
    <t>-6.2%</t>
  </si>
  <si>
    <t>FASTSIGNS</t>
  </si>
  <si>
    <t>1.6%</t>
  </si>
  <si>
    <t>Sport Clips</t>
  </si>
  <si>
    <t>0.9%</t>
  </si>
  <si>
    <t>CertaPro Painters</t>
  </si>
  <si>
    <t>8.3%</t>
  </si>
  <si>
    <t>Papa Murphy’s</t>
  </si>
  <si>
    <t>Christian Brothers Automotive</t>
  </si>
  <si>
    <t>4.7%</t>
  </si>
  <si>
    <t>Crumbl Cookies</t>
  </si>
  <si>
    <t>12.1%</t>
  </si>
  <si>
    <t>Epcon Communities</t>
  </si>
  <si>
    <t>Nothing Bundt Cakes</t>
  </si>
  <si>
    <t>-2.3%</t>
  </si>
  <si>
    <t>-2.2%</t>
  </si>
  <si>
    <t>Club Pilates</t>
  </si>
  <si>
    <t>18.7%</t>
  </si>
  <si>
    <t>19.9%</t>
  </si>
  <si>
    <t>Moe’s Southwest Grill</t>
  </si>
  <si>
    <t>44.4%</t>
  </si>
  <si>
    <t>Cold Stone Creamery</t>
  </si>
  <si>
    <t>Smoothie King</t>
  </si>
  <si>
    <t>-0.7%</t>
  </si>
  <si>
    <t>City Wide</t>
  </si>
  <si>
    <t>6.7%</t>
  </si>
  <si>
    <t>Charleys Philly Steaks</t>
  </si>
  <si>
    <t>Hand &amp; Stone Massage and Facial Spa</t>
  </si>
  <si>
    <t>-23.2%</t>
  </si>
  <si>
    <t>Unishippers</t>
  </si>
  <si>
    <t>8.5%</t>
  </si>
  <si>
    <t>0.6%</t>
  </si>
  <si>
    <t>BrightStar Care</t>
  </si>
  <si>
    <t>410*</t>
  </si>
  <si>
    <t>-10.9%</t>
  </si>
  <si>
    <t>Habit Burger Grill</t>
  </si>
  <si>
    <t>-8.8%</t>
  </si>
  <si>
    <t>Jason’s Deli</t>
  </si>
  <si>
    <t>-0.8%</t>
  </si>
  <si>
    <t>-2.0%</t>
  </si>
  <si>
    <t>HoneyBaked Ham</t>
  </si>
  <si>
    <t>3.7%</t>
  </si>
  <si>
    <t>-6.6%</t>
  </si>
  <si>
    <t>The Learning Experience</t>
  </si>
  <si>
    <t>40.1%</t>
  </si>
  <si>
    <t>76.5%</t>
  </si>
  <si>
    <t>Meineke Car Care Centers</t>
  </si>
  <si>
    <t>26.4%</t>
  </si>
  <si>
    <t>14.3%</t>
  </si>
  <si>
    <t>Plato’s Closet</t>
  </si>
  <si>
    <t>Pirtek</t>
  </si>
  <si>
    <t>7.4%</t>
  </si>
  <si>
    <t>33.1%</t>
  </si>
  <si>
    <t>Miracle-Ear</t>
  </si>
  <si>
    <t>-11.0%</t>
  </si>
  <si>
    <t>JAN-PRO</t>
  </si>
  <si>
    <t>5.5%</t>
  </si>
  <si>
    <t>5.4%</t>
  </si>
  <si>
    <t>Kampgrounds of America</t>
  </si>
  <si>
    <t>-1.2%</t>
  </si>
  <si>
    <t>-7.0%</t>
  </si>
  <si>
    <t>Proforma</t>
  </si>
  <si>
    <t>Two Men and A Truck</t>
  </si>
  <si>
    <t>20.3%</t>
  </si>
  <si>
    <t>-2.4%</t>
  </si>
  <si>
    <t>Coverall</t>
  </si>
  <si>
    <t>4.3%</t>
  </si>
  <si>
    <t>-2.8%</t>
  </si>
  <si>
    <t>United Real Estate</t>
  </si>
  <si>
    <t>-1.4%</t>
  </si>
  <si>
    <t>Pearle Vision</t>
  </si>
  <si>
    <t>Kiddie Academy</t>
  </si>
  <si>
    <t>14.9%</t>
  </si>
  <si>
    <t>15.9%</t>
  </si>
  <si>
    <t>Steak 'n Shake</t>
  </si>
  <si>
    <t>14.0%</t>
  </si>
  <si>
    <t>7.9%</t>
  </si>
  <si>
    <t>Batteries Plus Bulbs</t>
  </si>
  <si>
    <t>4.2%</t>
  </si>
  <si>
    <t>Noodles &amp; Company</t>
  </si>
  <si>
    <t>The Coffee Bean &amp; Tea Leaf</t>
  </si>
  <si>
    <t>6.1%</t>
  </si>
  <si>
    <t>Gold’s Gym</t>
  </si>
  <si>
    <t>23.5%</t>
  </si>
  <si>
    <t>5.3%</t>
  </si>
  <si>
    <t>Precision Door Service</t>
  </si>
  <si>
    <t>10.8%</t>
  </si>
  <si>
    <t>Einstein Bros. Bagels</t>
  </si>
  <si>
    <t>26.2%</t>
  </si>
  <si>
    <t>Minuteman Press</t>
  </si>
  <si>
    <t>Urban Air Adventure Parks</t>
  </si>
  <si>
    <t>Maaco</t>
  </si>
  <si>
    <t>Captain D’s</t>
  </si>
  <si>
    <t>14.4%</t>
  </si>
  <si>
    <t>Scooter’s Coffee</t>
  </si>
  <si>
    <t>20.9%</t>
  </si>
  <si>
    <t>Potbelly Sandwich Shop</t>
  </si>
  <si>
    <t>17.5%</t>
  </si>
  <si>
    <t>Gong Cha</t>
  </si>
  <si>
    <t>-9.1%</t>
  </si>
  <si>
    <t>-8.0%</t>
  </si>
  <si>
    <t>Pinch A Penny</t>
  </si>
  <si>
    <t>Twin Peaks</t>
  </si>
  <si>
    <t>10.1%</t>
  </si>
  <si>
    <t>AAMCO Transmission</t>
  </si>
  <si>
    <t>-3.2%</t>
  </si>
  <si>
    <t>Perkins Restaurant &amp; Bakery</t>
  </si>
  <si>
    <t>-3.5%</t>
  </si>
  <si>
    <t>Jamba</t>
  </si>
  <si>
    <t>9.2%</t>
  </si>
  <si>
    <t>1-800-GOT-JUNK?</t>
  </si>
  <si>
    <t>8.6%</t>
  </si>
  <si>
    <t>Once Upon A Child</t>
  </si>
  <si>
    <t>7.8%</t>
  </si>
  <si>
    <t>-6.4%</t>
  </si>
  <si>
    <t>Sky Zone</t>
  </si>
  <si>
    <t>Cinnabon</t>
  </si>
  <si>
    <t>22.3%</t>
  </si>
  <si>
    <t>The Joint Chiropractic</t>
  </si>
  <si>
    <t>Re-Bath</t>
  </si>
  <si>
    <t>Hungry Howie’s Pizza</t>
  </si>
  <si>
    <t>Senior Helpers</t>
  </si>
  <si>
    <t>-16.2%</t>
  </si>
  <si>
    <t>-6.0%</t>
  </si>
  <si>
    <t>PuroClean</t>
  </si>
  <si>
    <t>Mr. Rooter</t>
  </si>
  <si>
    <t>Murphy Business &amp; Financial Corp.</t>
  </si>
  <si>
    <t>25.8%</t>
  </si>
  <si>
    <t>Black Bear Diner</t>
  </si>
  <si>
    <t>Taco John’s</t>
  </si>
  <si>
    <t>Spherion</t>
  </si>
  <si>
    <t>SIGNARAMA</t>
  </si>
  <si>
    <t>17.8%</t>
  </si>
  <si>
    <t>10.4%</t>
  </si>
  <si>
    <t>One Hour Heating &amp; Air Conditioning</t>
  </si>
  <si>
    <t>1-800-Radiator</t>
  </si>
  <si>
    <t>29.5%</t>
  </si>
  <si>
    <t>35.7%</t>
  </si>
  <si>
    <t>Round Table Pizza</t>
  </si>
  <si>
    <t>8.0%</t>
  </si>
  <si>
    <t>Chester’s</t>
  </si>
  <si>
    <t>Dave’s Hot Chicken</t>
  </si>
  <si>
    <t>4.9%</t>
  </si>
  <si>
    <t>TEGG Service</t>
  </si>
  <si>
    <t>14.6%</t>
  </si>
  <si>
    <t>Logan’s Roadhouse</t>
  </si>
  <si>
    <t>250*</t>
  </si>
  <si>
    <t>15.1%</t>
  </si>
  <si>
    <t>Slim Chickens</t>
  </si>
  <si>
    <t>15.3%</t>
  </si>
  <si>
    <t>5.9%</t>
  </si>
  <si>
    <t>Slumberland</t>
  </si>
  <si>
    <t>Wienerschnitzel</t>
  </si>
  <si>
    <t>-4.5%</t>
  </si>
  <si>
    <t>Blaze Pizza</t>
  </si>
  <si>
    <t>8.2%</t>
  </si>
  <si>
    <t>Vanguard Cleaning Systems</t>
  </si>
  <si>
    <t>-2.9%</t>
  </si>
  <si>
    <t>-3.3%</t>
  </si>
  <si>
    <t>Snap Fitness</t>
  </si>
  <si>
    <t>-3.7%</t>
  </si>
  <si>
    <t>Schlotzsky’s Bakery Café</t>
  </si>
  <si>
    <t>23.9%</t>
  </si>
  <si>
    <t>-18.0%</t>
  </si>
  <si>
    <t>CiCi’s Pizza</t>
  </si>
  <si>
    <t>23.1%</t>
  </si>
  <si>
    <t>4.1%</t>
  </si>
  <si>
    <t>Pizza Ranch</t>
  </si>
  <si>
    <t>-3.1%</t>
  </si>
  <si>
    <t>Chicken Salad Chick</t>
  </si>
  <si>
    <t>-10.4%</t>
  </si>
  <si>
    <t>Weed Man</t>
  </si>
  <si>
    <t>226*</t>
  </si>
  <si>
    <t>-8.7%</t>
  </si>
  <si>
    <t>Mathnasium Learning Centers</t>
  </si>
  <si>
    <t>44.1%</t>
  </si>
  <si>
    <t>49.1%</t>
  </si>
  <si>
    <t>AtWork Group</t>
  </si>
  <si>
    <t>5.2%</t>
  </si>
  <si>
    <t>Bonchon</t>
  </si>
  <si>
    <t>10.6%</t>
  </si>
  <si>
    <t>6.0%</t>
  </si>
  <si>
    <t>Mountain Mike’s Pizza</t>
  </si>
  <si>
    <t>AlphaGraphics</t>
  </si>
  <si>
    <t>-0.5%</t>
  </si>
  <si>
    <t>Rainbow International</t>
  </si>
  <si>
    <t>Walk-On's Bistreaux &amp; Bar</t>
  </si>
  <si>
    <t>0.90%</t>
  </si>
  <si>
    <t>-4.00%</t>
  </si>
  <si>
    <t>RNR Tire Express</t>
  </si>
  <si>
    <t>214*</t>
  </si>
  <si>
    <t>15.70%</t>
  </si>
  <si>
    <t>0.00%</t>
  </si>
  <si>
    <t>Play It Again Sports</t>
  </si>
  <si>
    <t>7.10%</t>
  </si>
  <si>
    <t>4.30%</t>
  </si>
  <si>
    <t>Grease Monkey</t>
  </si>
  <si>
    <t>4.60%</t>
  </si>
  <si>
    <t>-0.40%</t>
  </si>
  <si>
    <t>Goldfish Swim School</t>
  </si>
  <si>
    <t>210*</t>
  </si>
  <si>
    <t>The Original Pancake House</t>
  </si>
  <si>
    <t>96.00%</t>
  </si>
  <si>
    <t>210.30%</t>
  </si>
  <si>
    <t>InXpress</t>
  </si>
  <si>
    <t>-3.50%</t>
  </si>
  <si>
    <t>The Cleaning Authority</t>
  </si>
  <si>
    <t>30.60%</t>
  </si>
  <si>
    <t>Shipley Do-Nuts</t>
  </si>
  <si>
    <t>10.20%</t>
  </si>
  <si>
    <t>8.60%</t>
  </si>
  <si>
    <t>The Krystal Company</t>
  </si>
  <si>
    <t>6.30%</t>
  </si>
  <si>
    <t>2.70%</t>
  </si>
  <si>
    <t>Molly Maid</t>
  </si>
  <si>
    <t>5.10%</t>
  </si>
  <si>
    <t>-3.90%</t>
  </si>
  <si>
    <t>Sola Salon Studios</t>
  </si>
  <si>
    <t>200*</t>
  </si>
  <si>
    <t>100.00%</t>
  </si>
  <si>
    <t>53.10%</t>
  </si>
  <si>
    <t>Golden Chick</t>
  </si>
  <si>
    <t>25.30%</t>
  </si>
  <si>
    <t>6.90%</t>
  </si>
  <si>
    <t>Johnny Rockets</t>
  </si>
  <si>
    <t>7.00%</t>
  </si>
  <si>
    <t>1.70%</t>
  </si>
  <si>
    <t>Fazoli’s</t>
  </si>
  <si>
    <t>3.40%</t>
  </si>
  <si>
    <t>Biggby Coffee</t>
  </si>
  <si>
    <t>267.30%</t>
  </si>
  <si>
    <t>373.70%</t>
  </si>
  <si>
    <t>Wild Birds Unlimited</t>
  </si>
  <si>
    <t>14.70%</t>
  </si>
  <si>
    <t>19.30%</t>
  </si>
  <si>
    <t>Donatos Pizza</t>
  </si>
  <si>
    <t>Aire Serv</t>
  </si>
  <si>
    <t>30.70%</t>
  </si>
  <si>
    <t>16.70%</t>
  </si>
  <si>
    <t>PrideStaff</t>
  </si>
  <si>
    <t>17.90%</t>
  </si>
  <si>
    <t>Metal Supermarkets</t>
  </si>
  <si>
    <t>Pepper Lunch</t>
  </si>
  <si>
    <t>17.10%</t>
  </si>
  <si>
    <t>Signal Security</t>
  </si>
  <si>
    <t>16.40%</t>
  </si>
  <si>
    <t>Penn Station East Coast Subs</t>
  </si>
  <si>
    <t>11.70%</t>
  </si>
  <si>
    <t>9.50%</t>
  </si>
  <si>
    <t>Wetzel's Pretzels</t>
  </si>
  <si>
    <t>15.50%</t>
  </si>
  <si>
    <t>9.60%</t>
  </si>
  <si>
    <t>College Hunks Hauling Junk</t>
  </si>
  <si>
    <t>3.80%</t>
  </si>
  <si>
    <t>-1.50%</t>
  </si>
  <si>
    <t>Kona Ice</t>
  </si>
  <si>
    <t>-2.70%</t>
  </si>
  <si>
    <t>Buddy’s Home Furnishings</t>
  </si>
  <si>
    <t>4.20%</t>
  </si>
  <si>
    <t>Tommy’s Express</t>
  </si>
  <si>
    <t>-0.30%</t>
  </si>
  <si>
    <t>ComForCare Home Care</t>
  </si>
  <si>
    <t>5.70%</t>
  </si>
  <si>
    <t>-6.00%</t>
  </si>
  <si>
    <t>Farmer Boys Hamburgers</t>
  </si>
  <si>
    <t>-3.30%</t>
  </si>
  <si>
    <t>-0.50%</t>
  </si>
  <si>
    <t>Home Helpers Home Care</t>
  </si>
  <si>
    <t>15.80%</t>
  </si>
  <si>
    <t>Real Property Management</t>
  </si>
  <si>
    <t>3.00%</t>
  </si>
  <si>
    <t>5.20%</t>
  </si>
  <si>
    <t>Benjamin Franklin Plumbing</t>
  </si>
  <si>
    <t>10.60%</t>
  </si>
  <si>
    <t>Homewatch CareGivers</t>
  </si>
  <si>
    <t>10.70%</t>
  </si>
  <si>
    <t>8.50%</t>
  </si>
  <si>
    <t>FYZICAL Therapy &amp; Balance Centers</t>
  </si>
  <si>
    <t>Glass Doctor</t>
  </si>
  <si>
    <t>12.90%</t>
  </si>
  <si>
    <t>6.60%</t>
  </si>
  <si>
    <t>Always Best Care Senior Services</t>
  </si>
  <si>
    <t>2.50%</t>
  </si>
  <si>
    <t>-2.20%</t>
  </si>
  <si>
    <t>Allegra Marketing Print Mail</t>
  </si>
  <si>
    <t>21.40%</t>
  </si>
  <si>
    <t>Yogi Bear’s Jellystone Park</t>
  </si>
  <si>
    <t>-5.10%</t>
  </si>
  <si>
    <t>-1.90%</t>
  </si>
  <si>
    <t>Goosehead Insurance</t>
  </si>
  <si>
    <t>-3.10%</t>
  </si>
  <si>
    <t>-10.50%</t>
  </si>
  <si>
    <t>FirstLight Home Care</t>
  </si>
  <si>
    <t>56.30%</t>
  </si>
  <si>
    <t>7.70%</t>
  </si>
  <si>
    <t>Lee’s Famous Recipe Chicken</t>
  </si>
  <si>
    <t>22.90%</t>
  </si>
  <si>
    <t>9.20%</t>
  </si>
  <si>
    <t>Chem-Dry</t>
  </si>
  <si>
    <t>24.20%</t>
  </si>
  <si>
    <t>United Country</t>
  </si>
  <si>
    <t>-4.80%</t>
  </si>
  <si>
    <t>Playa Bowls</t>
  </si>
  <si>
    <t>-2.10%</t>
  </si>
  <si>
    <t>Beef O’Brady’s</t>
  </si>
  <si>
    <t>8.10%</t>
  </si>
  <si>
    <t>15.10%</t>
  </si>
  <si>
    <t>L&amp;L Hawaiian Barbecue</t>
  </si>
  <si>
    <t>7.90%</t>
  </si>
  <si>
    <t>2.60%</t>
  </si>
  <si>
    <t>Lawn Doctor</t>
  </si>
  <si>
    <t>-6.40%</t>
  </si>
  <si>
    <t>-2.80%</t>
  </si>
  <si>
    <t>Huddle House</t>
  </si>
  <si>
    <t>0.50%</t>
  </si>
  <si>
    <t>5.60%</t>
  </si>
  <si>
    <t>The Melting Pot</t>
  </si>
  <si>
    <t>3.70%</t>
  </si>
  <si>
    <t>5.40%</t>
  </si>
  <si>
    <t>Newk’s Eatery</t>
  </si>
  <si>
    <t>23.70%</t>
  </si>
  <si>
    <t>20.00%</t>
  </si>
  <si>
    <t>Pure Barre</t>
  </si>
  <si>
    <t>3.20%</t>
  </si>
  <si>
    <t>Camp Bow Wow</t>
  </si>
  <si>
    <t>32.80%</t>
  </si>
  <si>
    <t>Elements Massage</t>
  </si>
  <si>
    <t>-6.10%</t>
  </si>
  <si>
    <t>Fantastic Sams</t>
  </si>
  <si>
    <t>21.00%</t>
  </si>
  <si>
    <t>Superior Fence &amp; Rail</t>
  </si>
  <si>
    <t>14.30%</t>
  </si>
  <si>
    <t>Image360</t>
  </si>
  <si>
    <t>17.40%</t>
  </si>
  <si>
    <t>12.70%</t>
  </si>
  <si>
    <t>CRDN</t>
  </si>
  <si>
    <t>School Of Rock</t>
  </si>
  <si>
    <t>Precision Tune Auto Care</t>
  </si>
  <si>
    <t>10.80%</t>
  </si>
  <si>
    <t>Mighty Auto Parts</t>
  </si>
  <si>
    <t>3.10%</t>
  </si>
  <si>
    <t>StretchLab</t>
  </si>
  <si>
    <t>-11.30%</t>
  </si>
  <si>
    <t>Burn Boot Camp</t>
  </si>
  <si>
    <t>4.90%</t>
  </si>
  <si>
    <t>Yogen Fruz</t>
  </si>
  <si>
    <t>25.10%</t>
  </si>
  <si>
    <t>La Madeleine</t>
  </si>
  <si>
    <t>11.10%</t>
  </si>
  <si>
    <t>7 Brew</t>
  </si>
  <si>
    <t>9.00%</t>
  </si>
  <si>
    <t>5.90%</t>
  </si>
  <si>
    <t>Dogtopia</t>
  </si>
  <si>
    <t>Bar Louie</t>
  </si>
  <si>
    <t>10.0%</t>
  </si>
  <si>
    <t>13.2%</t>
  </si>
  <si>
    <t>Andy’s Frozen Custard</t>
  </si>
  <si>
    <t>28.3%</t>
  </si>
  <si>
    <t>17.6%</t>
  </si>
  <si>
    <t>Stratus Building Solutions</t>
  </si>
  <si>
    <t>19.8%</t>
  </si>
  <si>
    <t>21.4%</t>
  </si>
  <si>
    <t>Old Chicago Pizza &amp; Taproom</t>
  </si>
  <si>
    <t>Floor Coverings International</t>
  </si>
  <si>
    <t>TeamLogic IT</t>
  </si>
  <si>
    <t>29.7%</t>
  </si>
  <si>
    <t>The Woodhouse Day Spa</t>
  </si>
  <si>
    <t>Rita’s Italian Ice</t>
  </si>
  <si>
    <t>LaRosa’s Pizzeria</t>
  </si>
  <si>
    <t>Ziebart</t>
  </si>
  <si>
    <t>65.5%</t>
  </si>
  <si>
    <t>71.2%</t>
  </si>
  <si>
    <t>Mr. Electric</t>
  </si>
  <si>
    <t>Mr. Appliance</t>
  </si>
  <si>
    <t>Wings &amp; Rings</t>
  </si>
  <si>
    <t>WaBa Grill</t>
  </si>
  <si>
    <t>32.5%</t>
  </si>
  <si>
    <t>20.5%</t>
  </si>
  <si>
    <t>Mister Sparky</t>
  </si>
  <si>
    <t>10.3%</t>
  </si>
  <si>
    <t>Mr. Handyman</t>
  </si>
  <si>
    <t>11.2%</t>
  </si>
  <si>
    <t>3.4%</t>
  </si>
  <si>
    <t>Taziki’s Mediterranean Cafe</t>
  </si>
  <si>
    <t>28.8%</t>
  </si>
  <si>
    <t>31.9%</t>
  </si>
  <si>
    <t>Phenix Salon Suites</t>
  </si>
  <si>
    <t>Another Broken Egg Café</t>
  </si>
  <si>
    <t>-5.6%</t>
  </si>
  <si>
    <t>Great American Cookies</t>
  </si>
  <si>
    <t>Sir Speedy Print Signs Marketing</t>
  </si>
  <si>
    <t>3.9%</t>
  </si>
  <si>
    <t>Lightbridge Academy</t>
  </si>
  <si>
    <t>7.1%</t>
  </si>
  <si>
    <t>Amazing Lash Studio</t>
  </si>
  <si>
    <t>-14.8%</t>
  </si>
  <si>
    <t>BURGERFI</t>
  </si>
  <si>
    <t>-7.3%</t>
  </si>
  <si>
    <t>QC Kinetix</t>
  </si>
  <si>
    <t>21.3%</t>
  </si>
  <si>
    <t>JINYA Ramen Bar</t>
  </si>
  <si>
    <t>-7.5%</t>
  </si>
  <si>
    <t>Assisting Hands Home Care</t>
  </si>
  <si>
    <t>Altitude Trampoline Park</t>
  </si>
  <si>
    <t>Fatburger</t>
  </si>
  <si>
    <t>97*</t>
  </si>
  <si>
    <t>36.2%</t>
  </si>
  <si>
    <t>Aqua-Tots Swim Schools</t>
  </si>
  <si>
    <t>Huntington Learning Center</t>
  </si>
  <si>
    <t>95*</t>
  </si>
  <si>
    <t>11.8%</t>
  </si>
  <si>
    <t>HobbyTown</t>
  </si>
  <si>
    <t>18.9%</t>
  </si>
  <si>
    <t>Mosquito Joe</t>
  </si>
  <si>
    <t>16.3%</t>
  </si>
  <si>
    <t>14.1%</t>
  </si>
  <si>
    <t>Ledo Pizza</t>
  </si>
  <si>
    <t>11.5%</t>
  </si>
  <si>
    <t>Ford’s Garage</t>
  </si>
  <si>
    <t>92*</t>
  </si>
  <si>
    <t>15.0%</t>
  </si>
  <si>
    <t>PostNet</t>
  </si>
  <si>
    <t>Nathan’s Famous</t>
  </si>
  <si>
    <t>Dale Carnegie Training</t>
  </si>
  <si>
    <t>-0.4%</t>
  </si>
  <si>
    <t>Anago Cleaning Systems</t>
  </si>
  <si>
    <t>Children’s Lighthouse</t>
  </si>
  <si>
    <t>13.5%</t>
  </si>
  <si>
    <t>Teriyaki Madness</t>
  </si>
  <si>
    <t>11.7%</t>
  </si>
  <si>
    <t>SpeeDee Oil Change &amp; Auto Service</t>
  </si>
  <si>
    <t>19.7%</t>
  </si>
  <si>
    <t>The Human Bean</t>
  </si>
  <si>
    <t>30.9%</t>
  </si>
  <si>
    <t>-7.9%</t>
  </si>
  <si>
    <t>Fish Window Cleaning</t>
  </si>
  <si>
    <t>7.2%</t>
  </si>
  <si>
    <t>Tide Dry Cleaners</t>
  </si>
  <si>
    <t>Five Star Painting</t>
  </si>
  <si>
    <t>56.9%</t>
  </si>
  <si>
    <t>Capriotti’s</t>
  </si>
  <si>
    <t>6.4%</t>
  </si>
  <si>
    <t>-2.1%</t>
  </si>
  <si>
    <t>Property Management Inc.</t>
  </si>
  <si>
    <t>12.6%</t>
  </si>
  <si>
    <t>CMIT Solutions</t>
  </si>
  <si>
    <t>15.7%</t>
  </si>
  <si>
    <t>The Grounds Guys</t>
  </si>
  <si>
    <t>-4.9%</t>
  </si>
  <si>
    <t>Brightway Insurance</t>
  </si>
  <si>
    <t>-0.9%</t>
  </si>
  <si>
    <t>Mr. Gatti’s</t>
  </si>
  <si>
    <t>52.7%</t>
  </si>
  <si>
    <t>20.6%</t>
  </si>
  <si>
    <t>Cheba Hut Toasted Subs</t>
  </si>
  <si>
    <t>32.3%</t>
  </si>
  <si>
    <t>33.3%</t>
  </si>
  <si>
    <t>MY SALON Suite</t>
  </si>
  <si>
    <t>36.1%</t>
  </si>
  <si>
    <t>44.7%</t>
  </si>
  <si>
    <t>Nekter Juice Bar</t>
  </si>
  <si>
    <t>25.6%</t>
  </si>
  <si>
    <t>22.0%</t>
  </si>
  <si>
    <t>Massage Heights</t>
  </si>
  <si>
    <t>56.3%</t>
  </si>
  <si>
    <t>54.7%</t>
  </si>
  <si>
    <t>Hawaiian Bros Island Grill</t>
  </si>
  <si>
    <t>78*</t>
  </si>
  <si>
    <t>Mosquito Squad</t>
  </si>
  <si>
    <t>37.1%</t>
  </si>
  <si>
    <t>Wings Etc.</t>
  </si>
  <si>
    <t>-6.5%</t>
  </si>
  <si>
    <t>Salata</t>
  </si>
  <si>
    <t>1.7%</t>
  </si>
  <si>
    <t>Strickland Brothers Oil Change</t>
  </si>
  <si>
    <t>Pizza Inn</t>
  </si>
  <si>
    <t>38.9%</t>
  </si>
  <si>
    <t>19.6%</t>
  </si>
  <si>
    <t>Drybar</t>
  </si>
  <si>
    <t>Kitchen Tune-Up</t>
  </si>
  <si>
    <t>Stretch Zone</t>
  </si>
  <si>
    <t>-3.9%</t>
  </si>
  <si>
    <t>Woof Gang Bakery</t>
  </si>
  <si>
    <t>Fully Promoted</t>
  </si>
  <si>
    <t>Handel’s Ice Cream</t>
  </si>
  <si>
    <t>-5.7%</t>
  </si>
  <si>
    <t>SpeedPro</t>
  </si>
  <si>
    <t>18.2%</t>
  </si>
  <si>
    <t>Shakey’s Pizza Parlor</t>
  </si>
  <si>
    <t>FRSTeam</t>
  </si>
  <si>
    <t>73*</t>
  </si>
  <si>
    <t>46.0%</t>
  </si>
  <si>
    <t>America’s Swimming Pool Company</t>
  </si>
  <si>
    <t>36.5%</t>
  </si>
  <si>
    <t>Stroll</t>
  </si>
  <si>
    <t>Which Wich</t>
  </si>
  <si>
    <t>Marble Slab Creamery</t>
  </si>
  <si>
    <t>11.4%</t>
  </si>
  <si>
    <t>Soccer Shots</t>
  </si>
  <si>
    <t>48.3%</t>
  </si>
  <si>
    <t>Junk King</t>
  </si>
  <si>
    <t>12.2%</t>
  </si>
  <si>
    <t>Mighty Dog Roofing</t>
  </si>
  <si>
    <t>Broken Yolk Café</t>
  </si>
  <si>
    <t>Dream Vacations</t>
  </si>
  <si>
    <t>13.4%</t>
  </si>
  <si>
    <t>Retrofiteness</t>
  </si>
  <si>
    <t>CycleBar</t>
  </si>
  <si>
    <t>-23.6%</t>
  </si>
  <si>
    <t>6.5%</t>
  </si>
  <si>
    <t>Bubbakoo’s Burritos</t>
  </si>
  <si>
    <t>911 Restoration</t>
  </si>
  <si>
    <t>Miracle Method Surface Refinishing</t>
  </si>
  <si>
    <t>Ace Handyman Services</t>
  </si>
  <si>
    <t>46.9%</t>
  </si>
  <si>
    <t>30.8%</t>
  </si>
  <si>
    <t>Workout Anytime</t>
  </si>
  <si>
    <t>13.9%</t>
  </si>
  <si>
    <t>Sterling Optical</t>
  </si>
  <si>
    <t>Clothes Mentor</t>
  </si>
  <si>
    <t>133.2%</t>
  </si>
  <si>
    <t>274.5%</t>
  </si>
  <si>
    <t>Enviro-Master</t>
  </si>
  <si>
    <t>14.2%</t>
  </si>
  <si>
    <t>Primo Hoagies</t>
  </si>
  <si>
    <t>-5.8%</t>
  </si>
  <si>
    <t>27.9%</t>
  </si>
  <si>
    <t>Pizza Factory</t>
  </si>
  <si>
    <t>17.7%</t>
  </si>
  <si>
    <t>Tint World</t>
  </si>
  <si>
    <t>19.0%</t>
  </si>
  <si>
    <t>Storm Guard</t>
  </si>
  <si>
    <t>Office Pride Commercial Cleaning</t>
  </si>
  <si>
    <t>1.0%</t>
  </si>
  <si>
    <t>-4.3%</t>
  </si>
  <si>
    <t>Archadeck Outdoor Living</t>
  </si>
  <si>
    <t>18.8%</t>
  </si>
  <si>
    <t>Brothers that Just do Gutters</t>
  </si>
  <si>
    <t>61*</t>
  </si>
  <si>
    <t>Cousins Subs</t>
  </si>
  <si>
    <t>Clean Eatz</t>
  </si>
  <si>
    <t>Transworld Business Advisors</t>
  </si>
  <si>
    <t>Rocky Mountain Chocolate Factory</t>
  </si>
  <si>
    <t>Pizza Guys</t>
  </si>
  <si>
    <t>Koala Insulation</t>
  </si>
  <si>
    <t>Celebree School</t>
  </si>
  <si>
    <t>Nick The Greek</t>
  </si>
  <si>
    <t>Eggs Up Grill</t>
  </si>
  <si>
    <t>HTeaO</t>
  </si>
  <si>
    <t>Saladworks</t>
  </si>
  <si>
    <t>1-800-Water Damage</t>
  </si>
  <si>
    <t>Toppers Pizza</t>
  </si>
  <si>
    <t>Dog Haus</t>
  </si>
  <si>
    <t>Christmas Décor</t>
  </si>
  <si>
    <t>PJ’s Coffee of New Orleans</t>
  </si>
  <si>
    <t>The Greene Turtle Sports Bar &amp; Grille</t>
  </si>
  <si>
    <t>BuildingStars</t>
  </si>
  <si>
    <t>Waxing The City</t>
  </si>
  <si>
    <t>PIP Marketing Signs Print</t>
  </si>
  <si>
    <t>Hurricane Grill &amp; Wings</t>
  </si>
  <si>
    <t>MOOYAH Burgers, Fries &amp; Shakes</t>
  </si>
  <si>
    <t>100% Chiropractic</t>
  </si>
  <si>
    <t>Port of Subs</t>
  </si>
  <si>
    <t>YogaSix</t>
  </si>
  <si>
    <t>Bath Solutions</t>
  </si>
  <si>
    <t>Gus's World Famous Fried Chicken</t>
  </si>
  <si>
    <t>Roy Rogers</t>
  </si>
  <si>
    <t>Rodizio Grill</t>
  </si>
  <si>
    <t>British Swim School</t>
  </si>
  <si>
    <t>Caring Transitions</t>
  </si>
  <si>
    <t>Pretzelmaker</t>
  </si>
  <si>
    <t>MassageLuXe</t>
  </si>
  <si>
    <t>Iron Valley Real Estate</t>
  </si>
  <si>
    <t>Maid Brigade</t>
  </si>
  <si>
    <t>Any Lab Test Now</t>
  </si>
  <si>
    <t>Rock N Roll Sushi</t>
  </si>
  <si>
    <t>Duck Donuts</t>
  </si>
  <si>
    <t>The Lash Lounge</t>
  </si>
  <si>
    <t>The Flying Biscuit Café</t>
  </si>
  <si>
    <t>ZIPS Cleaners</t>
  </si>
  <si>
    <t>Healthsource Chiropractic</t>
  </si>
  <si>
    <t>Ellie Mental Health</t>
  </si>
  <si>
    <t>Gotcha Covered</t>
  </si>
  <si>
    <t>UNITS Moving and Portable Storage</t>
  </si>
  <si>
    <t>HOODZ</t>
  </si>
  <si>
    <t>Cousins Maine Lobster</t>
  </si>
  <si>
    <t>The Flying Locksmith</t>
  </si>
  <si>
    <t>Mr. Transmission</t>
  </si>
  <si>
    <t>The Junkluggers</t>
  </si>
  <si>
    <t>Baja Fresh</t>
  </si>
  <si>
    <t>Fast-Fix Jewelry and Watch Repairs</t>
  </si>
  <si>
    <t>Mosquito Authority</t>
  </si>
  <si>
    <t>Robeks Fresh Juices &amp; Smoothies</t>
  </si>
  <si>
    <t>Available Franchise Disclosure Documents</t>
  </si>
  <si>
    <t>Name</t>
  </si>
  <si>
    <t>Notes</t>
  </si>
  <si>
    <t>Y</t>
  </si>
  <si>
    <t>N</t>
  </si>
  <si>
    <t>year: 2013, 2014, 2015</t>
  </si>
  <si>
    <t>Rank</t>
  </si>
  <si>
    <t>api</t>
  </si>
  <si>
    <t>cx</t>
  </si>
  <si>
    <t>https://www.google.com/search?q=McDonald%E2%80%99s%20franchise%20times%20site%3Afranchisetimes.com%2Ftop-400-2024</t>
  </si>
  <si>
    <t>https://www.google.com/search?q=7-Eleven%20franchise%20times%20site%3Afranchisetimes.com%2Ftop-400-2024</t>
  </si>
  <si>
    <t>https://www.google.com/search?q=KFC%20franchise%20times%20site%3Afranchisetimes.com%2Ftop-400-2024</t>
  </si>
  <si>
    <t>https://www.google.com/search?q=Burger%20King%20franchise%20times%20site%3Afranchisetimes.com%2Ftop-400-2024</t>
  </si>
  <si>
    <t>https://www.google.com/search?q=Ace%20Hardware%20franchise%20times%20site%3Afranchisetimes.com%2Ftop-400-2024</t>
  </si>
  <si>
    <t>https://www.google.com/search?q=Chick-fil-A%20franchise%20times%20site%3Afranchisetimes.com%2Ftop-400-2024</t>
  </si>
  <si>
    <t>https://www.google.com/search?q=Subway%20franchise%20times%20site%3Afranchisetimes.com%2Ftop-400-2024</t>
  </si>
  <si>
    <t>https://www.google.com/search?q=Domino%E2%80%99s%20franchise%20times%20site%3Afranchisetimes.com%2Ftop-400-2024</t>
  </si>
  <si>
    <t>https://www.google.com/search?q=Circle%20K%20franchise%20times%20site%3Afranchisetimes.com%2Ftop-400-2024</t>
  </si>
  <si>
    <t>https://www.google.com/search?q=Taco%20Bell%20franchise%20times%20site%3Afranchisetimes.com%2Ftop-400-2024</t>
  </si>
  <si>
    <t>https://www.google.com/search?q=Wendy%E2%80%99s%20franchise%20times%20site%3Afranchisetimes.com%2Ftop-400-2024</t>
  </si>
  <si>
    <t>https://www.google.com/search?q=Dunkin%E2%80%99%20franchise%20times%20site%3Afranchisetimes.com%2Ftop-400-2024</t>
  </si>
  <si>
    <t>https://www.google.com/search?q=Pizza%20Hut%20franchise%20times%20site%3Afranchisetimes.com%2Ftop-400-2024</t>
  </si>
  <si>
    <t>https://www.google.com/search?q=RE%2FMAX%20franchise%20times%20site%3Afranchisetimes.com%2Ftop-400-2024</t>
  </si>
  <si>
    <t>https://www.google.com/search?q=Keller%20Williams%20Realty%20franchise%20times%20site%3Afranchisetimes.com%2Ftop-400-2024</t>
  </si>
  <si>
    <t>https://www.google.com/search?q=Tim%20Hortons%20franchise%20times%20site%3Afranchisetimes.com%2Ftop-400-2024</t>
  </si>
  <si>
    <t>https://www.google.com/search?q=Popeyes%20Louisiana%20Kitchen%20franchise%20times%20site%3Afranchisetimes.com%2Ftop-400-2024</t>
  </si>
  <si>
    <t>https://www.google.com/search?q=Dairy%20Queen%20franchise%20times%20site%3Afranchisetimes.com%2Ftop-400-2024</t>
  </si>
  <si>
    <t>https://www.google.com/search?q=Panera%20Bread%20franchise%20times%20site%3Afranchisetimes.com%2Ftop-400-2024</t>
  </si>
  <si>
    <t>https://www.google.com/search?q=Sonic%20Drive-In%20franchise%20times%20site%3Afranchisetimes.com%2Ftop-400-2024</t>
  </si>
  <si>
    <t>https://www.google.com/search?q=Papa%20John%E2%80%99s%20franchise%20times%20site%3Afranchisetimes.com%2Ftop-400-2024</t>
  </si>
  <si>
    <t>https://www.google.com/search?q=Arby%E2%80%99s%20franchise%20times%20site%3Afranchisetimes.com%2Ftop-400-2024</t>
  </si>
  <si>
    <t>https://www.google.com/search?q=Applebee%E2%80%99s%20franchise%20times%20site%3Afranchisetimes.com%2Ftop-400-2024</t>
  </si>
  <si>
    <t>https://www.google.com/search?q=SERVPRO%20franchise%20times%20site%3Afranchisetimes.com%2Ftop-400-2024</t>
  </si>
  <si>
    <t>https://www.google.com/search?q=Planet%20Fitness%20franchise%20times%20site%3Afranchisetimes.com%2Ftop-400-2024</t>
  </si>
  <si>
    <t>https://www.google.com/search?q=Chili%E2%80%99s%20franchise%20times%20site%3Afranchisetimes.com%2Ftop-400-2024</t>
  </si>
  <si>
    <t>https://www.google.com/search?q=Jack%20In%20The%20Box%20franchise%20times%20site%3Afranchisetimes.com%2Ftop-400-2024</t>
  </si>
  <si>
    <t>https://www.google.com/search?q=Express%20Employment%20Professionals%20franchise%20times%20site%3Afranchisetimes.com%2Ftop-400-2024</t>
  </si>
  <si>
    <t>https://www.google.com/search?q=Buffalo%20Wild%20Wings%20franchise%20times%20site%3Afranchisetimes.com%2Ftop-400-2024</t>
  </si>
  <si>
    <t>https://www.google.com/search?q=The%20UPS%20Store%20franchise%20times%20site%3Afranchisetimes.com%2Ftop-400-2024</t>
  </si>
  <si>
    <t>https://www.google.com/search?q=Whataburger%20franchise%20times%20site%3Afranchisetimes.com%2Ftop-400-2024</t>
  </si>
  <si>
    <t>https://www.google.com/search?q=IHOP%20franchise%20times%20site%3Afranchisetimes.com%2Ftop-400-2024</t>
  </si>
  <si>
    <t>https://www.google.com/search?q=Wingstop%20franchise%20times%20site%3Afranchisetimes.com%2Ftop-400-2024</t>
  </si>
  <si>
    <t>https://www.google.com/search?q=Jersey%20Mike%E2%80%99s%20Subs%20franchise%20times%20site%3Afranchisetimes.com%2Ftop-400-2024</t>
  </si>
  <si>
    <t>https://www.google.com/search?q=Culver%E2%80%99s%20franchise%20times%20site%3Afranchisetimes.com%2Ftop-400-2024</t>
  </si>
  <si>
    <t>https://www.google.com/search?q=Berkshire%20Hathaway%20HomeServices%20franchise%20times%20site%3Afranchisetimes.com%2Ftop-400-2024</t>
  </si>
  <si>
    <t>https://www.google.com/search?q=Five%20Guys%20franchise%20times%20site%3Afranchisetimes.com%2Ftop-400-2024</t>
  </si>
  <si>
    <t>https://www.google.com/search?q=Denny%E2%80%99s%20franchise%20times%20site%3Afranchisetimes.com%2Ftop-400-2024</t>
  </si>
  <si>
    <t>https://www.google.com/search?q=Paris%20Baguette%20franchise%20times%20site%3Afranchisetimes.com%2Ftop-400-2024</t>
  </si>
  <si>
    <t>https://www.google.com/search?q=Valvoline%20Instant%20Oil%20Change%20franchise%20times%20site%3Afranchisetimes.com%2Ftop-400-2024</t>
  </si>
  <si>
    <t>https://www.google.com/search?q=Home%20Instead%20Senior%20Care%20franchise%20times%20site%3Afranchisetimes.com%2Ftop-400-2024</t>
  </si>
  <si>
    <t>https://www.google.com/search?q=Carl%E2%80%99s%20Jr.%20franchise%20times%20site%3Afranchisetimes.com%2Ftop-400-2024</t>
  </si>
  <si>
    <t>https://www.google.com/search?q=Jimmy%20John%E2%80%99s%20franchise%20times%20site%3Afranchisetimes.com%2Ftop-400-2024</t>
  </si>
  <si>
    <t>https://www.google.com/search?q=Zaxby%E2%80%99s%20franchise%20times%20site%3Afranchisetimes.com%2Ftop-400-2024</t>
  </si>
  <si>
    <t>https://www.google.com/search?q=Hardee%E2%80%99s%20franchise%20times%20site%3Afranchisetimes.com%2Ftop-400-2024</t>
  </si>
  <si>
    <t>https://www.google.com/search?q=Jiffy%20Lube%20franchise%20times%20site%3Afranchisetimes.com%2Ftop-400-2024</t>
  </si>
  <si>
    <t>https://www.google.com/search?q=Rent-A-Center%20franchise%20times%20site%3Afranchisetimes.com%2Ftop-400-2024</t>
  </si>
  <si>
    <t>https://www.google.com/search?q=Baskin%20Robbins%20franchise%20times%20site%3Afranchisetimes.com%2Ftop-400-2024</t>
  </si>
  <si>
    <t>https://www.google.com/search?q=Snap-On%20Tools%20franchise%20times%20site%3Afranchisetimes.com%2Ftop-400-2024</t>
  </si>
  <si>
    <t>https://www.google.com/search?q=Anytime%20Fitness%20franchise%20times%20site%3Afranchisetimes.com%2Ftop-400-2024</t>
  </si>
  <si>
    <t>https://www.google.com/search?q=Midas%20franchise%20times%20site%3Afranchisetimes.com%2Ftop-400-2024</t>
  </si>
  <si>
    <t>https://www.google.com/search?q=Pet%20Supplies%20Plus%20franchise%20times%20site%3Afranchisetimes.com%2Ftop-400-2024</t>
  </si>
  <si>
    <t>https://www.google.com/search?q=Bojangles%27%20Famous%20Chicken%20%27n%20Biscuits%20franchise%20times%20site%3Afranchisetimes.com%2Ftop-400-2024</t>
  </si>
  <si>
    <t>https://www.google.com/search?q=Great%20Clips%20franchise%20times%20site%3Afranchisetimes.com%2Ftop-400-2024</t>
  </si>
  <si>
    <t>https://www.google.com/search?q=Roto-Rooter%20franchise%20times%20site%3Afranchisetimes.com%2Ftop-400-2024</t>
  </si>
  <si>
    <t>https://www.google.com/search?q=ampm%20franchise%20times%20site%3Afranchisetimes.com%2Ftop-400-2024</t>
  </si>
  <si>
    <t>https://www.google.com/search?q=HomeVestors%20franchise%20times%20site%3Afranchisetimes.com%2Ftop-400-2024</t>
  </si>
  <si>
    <t>https://www.google.com/search?q=Golden%20Corral%20franchise%20times%20site%3Afranchisetimes.com%2Ftop-400-2024</t>
  </si>
  <si>
    <t>https://www.google.com/search?q=CARSTAR%20franchise%20times%20site%3Afranchisetimes.com%2Ftop-400-2024</t>
  </si>
  <si>
    <t>https://www.google.com/search?q=Red%20Robin%20franchise%20times%20site%3Afranchisetimes.com%2Ftop-400-2024</t>
  </si>
  <si>
    <t>https://www.google.com/search?q=Church%E2%80%99s%20Chicken%20franchise%20times%20site%3Afranchisetimes.com%2Ftop-400-2024</t>
  </si>
  <si>
    <t>https://www.google.com/search?q=Paul%20Davis%20Restoration%20franchise%20times%20site%3Afranchisetimes.com%2Ftop-400-2024</t>
  </si>
  <si>
    <t>https://www.google.com/search?q=The%20Goddard%20School%20franchise%20times%20site%3Afranchisetimes.com%2Ftop-400-2024</t>
  </si>
  <si>
    <t>https://www.google.com/search?q=Primrose%20Schools%20franchise%20times%20site%3Afranchisetimes.com%2Ftop-400-2024</t>
  </si>
  <si>
    <t>https://www.google.com/search?q=Big%20O%20Tires%20franchise%20times%20site%3Afranchisetimes.com%2Ftop-400-2024</t>
  </si>
  <si>
    <t>https://www.google.com/search?q=Tropical%20Smoothie%20Caf%C3%A9%20franchise%20times%20site%3Afranchisetimes.com%2Ftop-400-2024</t>
  </si>
  <si>
    <t>https://www.google.com/search?q=Firehouse%20Subs%20franchise%20times%20site%3Afranchisetimes.com%2Ftop-400-2024</t>
  </si>
  <si>
    <t>https://www.google.com/search?q=Window%20World%20franchise%20times%20site%3Afranchisetimes.com%2Ftop-400-2024</t>
  </si>
  <si>
    <t>https://www.google.com/search?q=Take%205%20Oil%20Change%20franchise%20times%20site%3Afranchisetimes.com%2Ftop-400-2024</t>
  </si>
  <si>
    <t>https://www.google.com/search?q=Marco%E2%80%99s%20Pizza%20franchise%20times%20site%3Afranchisetimes.com%2Ftop-400-2024</t>
  </si>
  <si>
    <t>https://www.google.com/search?q=Qdoba%20Mexican%20Eats%20franchise%20times%20site%3Afranchisetimes.com%2Ftop-400-2024</t>
  </si>
  <si>
    <t>https://www.google.com/search?q=American%20Family%20Care%20franchise%20times%20site%3Afranchisetimes.com%2Ftop-400-2024</t>
  </si>
  <si>
    <t>https://www.google.com/search?q=El%20Pollo%20Loco%20franchise%20times%20site%3Afranchisetimes.com%2Ftop-400-2024</t>
  </si>
  <si>
    <t>https://www.google.com/search?q=McAlister%E2%80%99s%20Deli%20franchise%20times%20site%3Afranchisetimes.com%2Ftop-400-2024</t>
  </si>
  <si>
    <t>https://www.google.com/search?q=TOUS%20les%20JOURS%20franchise%20times%20site%3Afranchisetimes.com%2Ftop-400-2024</t>
  </si>
  <si>
    <t>https://www.google.com/search?q=Boston%20Pizza%20franchise%20times%20site%3Afranchisetimes.com%2Ftop-400-2024</t>
  </si>
  <si>
    <t>https://www.google.com/search?q=Visiting%20Angels%20franchise%20times%20site%3Afranchisetimes.com%2Ftop-400-2024</t>
  </si>
  <si>
    <t>https://www.google.com/search?q=Del%20Taco%20franchise%20times%20site%3Afranchisetimes.com%2Ftop-400-2024</t>
  </si>
  <si>
    <t>https://www.google.com/search?q=Crunch%20Fitness%20franchise%20times%20site%3Afranchisetimes.com%2Ftop-400-2024</t>
  </si>
  <si>
    <t>https://www.google.com/search?q=European%20Wax%20Center%20franchise%20times%20site%3Afranchisetimes.com%2Ftop-400-2024</t>
  </si>
  <si>
    <t>https://www.google.com/search?q=Jani-King%20franchise%20times%20site%3Afranchisetimes.com%2Ftop-400-2024</t>
  </si>
  <si>
    <t>https://www.google.com/search?q=Freddy%E2%80%99s%20Frozen%20Custard%20%26%20Steakburgers%20franchise%20times%20site%3Afranchisetimes.com%2Ftop-400-2024</t>
  </si>
  <si>
    <t>https://www.google.com/search?q=Keystone%20Insurers%20Group%20franchise%20times%20site%3Afranchisetimes.com%2Ftop-400-2024</t>
  </si>
  <si>
    <t>https://www.google.com/search?q=ProSource%20Wholesale%20franchise%20times%20site%3Afranchisetimes.com%2Ftop-400-2024</t>
  </si>
  <si>
    <t>https://www.google.com/search?q=Auntie%20Anne%E2%80%99s%20franchise%20times%20site%3Afranchisetimes.com%2Ftop-400-2024</t>
  </si>
  <si>
    <t>https://www.google.com/search?q=Budget%20Blinds%20franchise%20times%20site%3Afranchisetimes.com%2Ftop-400-2024</t>
  </si>
  <si>
    <t>https://www.google.com/search?q=Linc%20Service%20franchise%20times%20site%3Afranchisetimes.com%2Ftop-400-2024</t>
  </si>
  <si>
    <t>https://www.google.com/search?q=Wireless%20Zone%20franchise%20times%20site%3Afranchisetimes.com%2Ftop-400-2024</t>
  </si>
  <si>
    <t>https://www.google.com/search?q=Right%20at%20Home%20franchise%20times%20site%3Afranchisetimes.com%2Ftop-400-2024</t>
  </si>
  <si>
    <t>https://www.google.com/search?q=Vital%20Care%20Infusion%20franchise%20times%20site%3Afranchisetimes.com%2Ftop-400-2024</t>
  </si>
  <si>
    <t>https://www.google.com/search?q=Color%20Glo%20International%20franchise%20times%20site%3Afranchisetimes.com%2Ftop-400-2024</t>
  </si>
  <si>
    <t>https://www.google.com/search?q=Realty%20One%20Group%20franchise%20times%20site%3Afranchisetimes.com%2Ftop-400-2024</t>
  </si>
  <si>
    <t>https://www.google.com/search?q=Pollo%20Campero%20franchise%20times%20site%3Afranchisetimes.com%2Ftop-400-2024</t>
  </si>
  <si>
    <t>https://www.google.com/search?q=FASTSIGNS%20franchise%20times%20site%3Afranchisetimes.com%2Ftop-400-2024</t>
  </si>
  <si>
    <t>https://www.google.com/search?q=Sport%20Clips%20franchise%20times%20site%3Afranchisetimes.com%2Ftop-400-2024</t>
  </si>
  <si>
    <t>https://www.google.com/search?q=CertaPro%20Painters%20franchise%20times%20site%3Afranchisetimes.com%2Ftop-400-2024</t>
  </si>
  <si>
    <t>https://www.google.com/search?q=Papa%20Murphy%E2%80%99s%20franchise%20times%20site%3Afranchisetimes.com%2Ftop-400-2024</t>
  </si>
  <si>
    <t>https://www.google.com/search?q=Christian%20Brothers%20Automotive%20franchise%20times%20site%3Afranchisetimes.com%2Ftop-400-2024</t>
  </si>
  <si>
    <t>https://www.google.com/search?q=Crumbl%20Cookies%20franchise%20times%20site%3Afranchisetimes.com%2Ftop-400-2024</t>
  </si>
  <si>
    <t>https://www.google.com/search?q=Epcon%20Communities%20franchise%20times%20site%3Afranchisetimes.com%2Ftop-400-2024</t>
  </si>
  <si>
    <t>https://www.google.com/search?q=Nothing%20Bundt%20Cakes%20franchise%20times%20site%3Afranchisetimes.com%2Ftop-400-2024</t>
  </si>
  <si>
    <t>https://www.google.com/search?q=Club%20Pilates%20franchise%20times%20site%3Afranchisetimes.com%2Ftop-400-2024</t>
  </si>
  <si>
    <t>https://www.google.com/search?q=Moe%E2%80%99s%20Southwest%20Grill%20franchise%20times%20site%3Afranchisetimes.com%2Ftop-400-2024</t>
  </si>
  <si>
    <t>https://www.google.com/search?q=Cold%20Stone%20Creamery%20franchise%20times%20site%3Afranchisetimes.com%2Ftop-400-2024</t>
  </si>
  <si>
    <t>https://www.google.com/search?q=Smoothie%20King%20franchise%20times%20site%3Afranchisetimes.com%2Ftop-400-2024</t>
  </si>
  <si>
    <t>https://www.google.com/search?q=City%20Wide%20franchise%20times%20site%3Afranchisetimes.com%2Ftop-400-2024</t>
  </si>
  <si>
    <t>https://www.google.com/search?q=Charleys%20Philly%20Steaks%20franchise%20times%20site%3Afranchisetimes.com%2Ftop-400-2024</t>
  </si>
  <si>
    <t>https://www.google.com/search?q=Hand%20%26%20Stone%20Massage%20and%20Facial%20Spa%20franchise%20times%20site%3Afranchisetimes.com%2Ftop-400-2024</t>
  </si>
  <si>
    <t>https://www.google.com/search?q=Unishippers%20franchise%20times%20site%3Afranchisetimes.com%2Ftop-400-2024</t>
  </si>
  <si>
    <t>https://www.google.com/search?q=BrightStar%20Care%20franchise%20times%20site%3Afranchisetimes.com%2Ftop-400-2024</t>
  </si>
  <si>
    <t>https://www.google.com/search?q=Habit%20Burger%20Grill%20franchise%20times%20site%3Afranchisetimes.com%2Ftop-400-2024</t>
  </si>
  <si>
    <t>https://www.google.com/search?q=Jason%E2%80%99s%20Deli%20franchise%20times%20site%3Afranchisetimes.com%2Ftop-400-2024</t>
  </si>
  <si>
    <t>https://www.google.com/search?q=HoneyBaked%20Ham%20franchise%20times%20site%3Afranchisetimes.com%2Ftop-400-2024</t>
  </si>
  <si>
    <t>https://www.google.com/search?q=The%20Learning%20Experience%20franchise%20times%20site%3Afranchisetimes.com%2Ftop-400-2024</t>
  </si>
  <si>
    <t>https://www.google.com/search?q=Meineke%20Car%20Care%20Centers%20franchise%20times%20site%3Afranchisetimes.com%2Ftop-400-2024</t>
  </si>
  <si>
    <t>https://www.google.com/search?q=Plato%E2%80%99s%20Closet%20franchise%20times%20site%3Afranchisetimes.com%2Ftop-400-2024</t>
  </si>
  <si>
    <t>https://www.google.com/search?q=Pirtek%20franchise%20times%20site%3Afranchisetimes.com%2Ftop-400-2024</t>
  </si>
  <si>
    <t>https://www.google.com/search?q=Miracle-Ear%20franchise%20times%20site%3Afranchisetimes.com%2Ftop-400-2024</t>
  </si>
  <si>
    <t>https://www.google.com/search?q=JAN-PRO%20franchise%20times%20site%3Afranchisetimes.com%2Ftop-400-2024</t>
  </si>
  <si>
    <t>https://www.google.com/search?q=Kampgrounds%20of%20America%20franchise%20times%20site%3Afranchisetimes.com%2Ftop-400-2024</t>
  </si>
  <si>
    <t>https://www.google.com/search?q=Proforma%20franchise%20times%20site%3Afranchisetimes.com%2Ftop-400-2024</t>
  </si>
  <si>
    <t>https://www.google.com/search?q=Two%20Men%20and%20A%20Truck%20franchise%20times%20site%3Afranchisetimes.com%2Ftop-400-2024</t>
  </si>
  <si>
    <t>https://www.google.com/search?q=Coverall%20franchise%20times%20site%3Afranchisetimes.com%2Ftop-400-2024</t>
  </si>
  <si>
    <t>https://www.google.com/search?q=United%20Real%20Estate%20franchise%20times%20site%3Afranchisetimes.com%2Ftop-400-2024</t>
  </si>
  <si>
    <t>https://www.google.com/search?q=Pearle%20Vision%20franchise%20times%20site%3Afranchisetimes.com%2Ftop-400-2024</t>
  </si>
  <si>
    <t>https://www.google.com/search?q=Kiddie%20Academy%20franchise%20times%20site%3Afranchisetimes.com%2Ftop-400-2024</t>
  </si>
  <si>
    <t>https://www.google.com/search?q=Steak%20%27n%20Shake%20franchise%20times%20site%3Afranchisetimes.com%2Ftop-400-2024</t>
  </si>
  <si>
    <t>https://www.google.com/search?q=Batteries%20Plus%20Bulbs%20franchise%20times%20site%3Afranchisetimes.com%2Ftop-400-2024</t>
  </si>
  <si>
    <t>https://www.google.com/search?q=Noodles%20%26%20Company%20franchise%20times%20site%3Afranchisetimes.com%2Ftop-400-2024</t>
  </si>
  <si>
    <t>https://www.google.com/search?q=The%20Coffee%20Bean%20%26%20Tea%20Leaf%20franchise%20times%20site%3Afranchisetimes.com%2Ftop-400-2024</t>
  </si>
  <si>
    <t>https://www.google.com/search?q=Gold%E2%80%99s%20Gym%20franchise%20times%20site%3Afranchisetimes.com%2Ftop-400-2024</t>
  </si>
  <si>
    <t>https://www.google.com/search?q=Precision%20Door%20Service%20franchise%20times%20site%3Afranchisetimes.com%2Ftop-400-2024</t>
  </si>
  <si>
    <t>https://www.google.com/search?q=Einstein%20Bros.%20Bagels%20franchise%20times%20site%3Afranchisetimes.com%2Ftop-400-2024</t>
  </si>
  <si>
    <t>https://www.google.com/search?q=Minuteman%20Press%20franchise%20times%20site%3Afranchisetimes.com%2Ftop-400-2024</t>
  </si>
  <si>
    <t>https://www.google.com/search?q=Urban%20Air%20Adventure%20Parks%20franchise%20times%20site%3Afranchisetimes.com%2Ftop-400-2024</t>
  </si>
  <si>
    <t>https://www.google.com/search?q=Maaco%20franchise%20times%20site%3Afranchisetimes.com%2Ftop-400-2024</t>
  </si>
  <si>
    <t>https://www.google.com/search?q=Captain%20D%E2%80%99s%20franchise%20times%20site%3Afranchisetimes.com%2Ftop-400-2024</t>
  </si>
  <si>
    <t>https://www.google.com/search?q=Scooter%E2%80%99s%20Coffee%20franchise%20times%20site%3Afranchisetimes.com%2Ftop-400-2024</t>
  </si>
  <si>
    <t>https://www.google.com/search?q=Potbelly%20Sandwich%20Shop%20franchise%20times%20site%3Afranchisetimes.com%2Ftop-400-2024</t>
  </si>
  <si>
    <t>https://www.google.com/search?q=Gong%20Cha%20franchise%20times%20site%3Afranchisetimes.com%2Ftop-400-2024</t>
  </si>
  <si>
    <t>https://www.google.com/search?q=Pinch%20A%20Penny%20franchise%20times%20site%3Afranchisetimes.com%2Ftop-400-2024</t>
  </si>
  <si>
    <t>https://www.google.com/search?q=Twin%20Peaks%20franchise%20times%20site%3Afranchisetimes.com%2Ftop-400-2024</t>
  </si>
  <si>
    <t>https://www.google.com/search?q=AAMCO%20Transmission%20franchise%20times%20site%3Afranchisetimes.com%2Ftop-400-2024</t>
  </si>
  <si>
    <t>https://www.google.com/search?q=Perkins%20Restaurant%20%26%20Bakery%20franchise%20times%20site%3Afranchisetimes.com%2Ftop-400-2024</t>
  </si>
  <si>
    <t>https://www.google.com/search?q=Jamba%20franchise%20times%20site%3Afranchisetimes.com%2Ftop-400-2024</t>
  </si>
  <si>
    <t>https://www.google.com/search?q=1-800-GOT-JUNK%3F%20franchise%20times%20site%3Afranchisetimes.com%2Ftop-400-2024</t>
  </si>
  <si>
    <t>https://www.google.com/search?q=Once%20Upon%20A%20Child%20franchise%20times%20site%3Afranchisetimes.com%2Ftop-400-2024</t>
  </si>
  <si>
    <t>https://www.google.com/search?q=Sky%20Zone%20franchise%20times%20site%3Afranchisetimes.com%2Ftop-400-2024</t>
  </si>
  <si>
    <t>https://www.google.com/search?q=Cinnabon%20franchise%20times%20site%3Afranchisetimes.com%2Ftop-400-2024</t>
  </si>
  <si>
    <t>https://www.google.com/search?q=The%20Joint%20Chiropractic%20franchise%20times%20site%3Afranchisetimes.com%2Ftop-400-2024</t>
  </si>
  <si>
    <t>https://www.google.com/search?q=Re-Bath%20franchise%20times%20site%3Afranchisetimes.com%2Ftop-400-2024</t>
  </si>
  <si>
    <t>https://www.google.com/search?q=Hungry%20Howie%E2%80%99s%20Pizza%20franchise%20times%20site%3Afranchisetimes.com%2Ftop-400-2024</t>
  </si>
  <si>
    <t>https://www.google.com/search?q=Senior%20Helpers%20franchise%20times%20site%3Afranchisetimes.com%2Ftop-400-2024</t>
  </si>
  <si>
    <t>https://www.google.com/search?q=PuroClean%20franchise%20times%20site%3Afranchisetimes.com%2Ftop-400-2024</t>
  </si>
  <si>
    <t>https://www.google.com/search?q=Mr.%20Rooter%20franchise%20times%20site%3Afranchisetimes.com%2Ftop-400-2024</t>
  </si>
  <si>
    <t>https://www.google.com/search?q=Murphy%20Business%20%26%20Financial%20Corp.%20franchise%20times%20site%3Afranchisetimes.com%2Ftop-400-2024</t>
  </si>
  <si>
    <t>https://www.google.com/search?q=Black%20Bear%20Diner%20franchise%20times%20site%3Afranchisetimes.com%2Ftop-400-2024</t>
  </si>
  <si>
    <t>https://www.google.com/search?q=Taco%20John%E2%80%99s%20franchise%20times%20site%3Afranchisetimes.com%2Ftop-400-2024</t>
  </si>
  <si>
    <t>https://www.google.com/search?q=Spherion%20franchise%20times%20site%3Afranchisetimes.com%2Ftop-400-2024</t>
  </si>
  <si>
    <t>https://www.google.com/search?q=SIGNARAMA%20franchise%20times%20site%3Afranchisetimes.com%2Ftop-400-2024</t>
  </si>
  <si>
    <t>https://www.google.com/search?q=One%20Hour%20Heating%20%26%20Air%20Conditioning%20franchise%20times%20site%3Afranchisetimes.com%2Ftop-400-2024</t>
  </si>
  <si>
    <t>https://www.google.com/search?q=1-800-Radiator%20franchise%20times%20site%3Afranchisetimes.com%2Ftop-400-2024</t>
  </si>
  <si>
    <t>https://www.google.com/search?q=Round%20Table%20Pizza%20franchise%20times%20site%3Afranchisetimes.com%2Ftop-400-2024</t>
  </si>
  <si>
    <t>https://www.google.com/search?q=Chester%E2%80%99s%20franchise%20times%20site%3Afranchisetimes.com%2Ftop-400-2024</t>
  </si>
  <si>
    <t>https://www.google.com/search?q=Dave%E2%80%99s%20Hot%20Chicken%20franchise%20times%20site%3Afranchisetimes.com%2Ftop-400-2024</t>
  </si>
  <si>
    <t>https://www.google.com/search?q=TEGG%20Service%20franchise%20times%20site%3Afranchisetimes.com%2Ftop-400-2024</t>
  </si>
  <si>
    <t>https://www.google.com/search?q=Logan%E2%80%99s%20Roadhouse%20franchise%20times%20site%3Afranchisetimes.com%2Ftop-400-2024</t>
  </si>
  <si>
    <t>https://www.google.com/search?q=Slim%20Chickens%20franchise%20times%20site%3Afranchisetimes.com%2Ftop-400-2024</t>
  </si>
  <si>
    <t>https://www.google.com/search?q=Slumberland%20franchise%20times%20site%3Afranchisetimes.com%2Ftop-400-2024</t>
  </si>
  <si>
    <t>https://www.google.com/search?q=Wienerschnitzel%20franchise%20times%20site%3Afranchisetimes.com%2Ftop-400-2024</t>
  </si>
  <si>
    <t>https://www.google.com/search?q=Blaze%20Pizza%20franchise%20times%20site%3Afranchisetimes.com%2Ftop-400-2024</t>
  </si>
  <si>
    <t>https://www.google.com/search?q=Vanguard%20Cleaning%20Systems%20franchise%20times%20site%3Afranchisetimes.com%2Ftop-400-2024</t>
  </si>
  <si>
    <t>https://www.google.com/search?q=Snap%20Fitness%20franchise%20times%20site%3Afranchisetimes.com%2Ftop-400-2024</t>
  </si>
  <si>
    <t>https://www.google.com/search?q=Schlotzsky%E2%80%99s%20Bakery%20Caf%C3%A9%20franchise%20times%20site%3Afranchisetimes.com%2Ftop-400-2024</t>
  </si>
  <si>
    <t>https://www.google.com/search?q=CiCi%E2%80%99s%20Pizza%20franchise%20times%20site%3Afranchisetimes.com%2Ftop-400-2024</t>
  </si>
  <si>
    <t>https://www.google.com/search?q=Pizza%20Ranch%20franchise%20times%20site%3Afranchisetimes.com%2Ftop-400-2024</t>
  </si>
  <si>
    <t>https://www.google.com/search?q=Chicken%20Salad%20Chick%20franchise%20times%20site%3Afranchisetimes.com%2Ftop-400-2024</t>
  </si>
  <si>
    <t>https://www.google.com/search?q=Weed%20Man%20franchise%20times%20site%3Afranchisetimes.com%2Ftop-400-2024</t>
  </si>
  <si>
    <t>https://www.google.com/search?q=Mathnasium%20Learning%20Centers%20franchise%20times%20site%3Afranchisetimes.com%2Ftop-400-2024</t>
  </si>
  <si>
    <t>https://www.google.com/search?q=AtWork%20Group%20franchise%20times%20site%3Afranchisetimes.com%2Ftop-400-2024</t>
  </si>
  <si>
    <t>https://www.google.com/search?q=Bonchon%20franchise%20times%20site%3Afranchisetimes.com%2Ftop-400-2024</t>
  </si>
  <si>
    <t>https://www.google.com/search?q=Mountain%20Mike%E2%80%99s%20Pizza%20franchise%20times%20site%3Afranchisetimes.com%2Ftop-400-2024</t>
  </si>
  <si>
    <t>https://www.google.com/search?q=AlphaGraphics%20franchise%20times%20site%3Afranchisetimes.com%2Ftop-400-2024</t>
  </si>
  <si>
    <t>https://www.google.com/search?q=Rainbow%20International%20franchise%20times%20site%3Afranchisetimes.com%2Ftop-400-2024</t>
  </si>
  <si>
    <t>https://www.google.com/search?q=Walk-On%27s%20Bistreaux%20%26%20Bar%20franchise%20times%20site%3Afranchisetimes.com%2Ftop-400-2024</t>
  </si>
  <si>
    <t>https://www.google.com/search?q=RNR%20Tire%20Express%20franchise%20times%20site%3Afranchisetimes.com%2Ftop-400-2024</t>
  </si>
  <si>
    <t>https://www.google.com/search?q=Play%20It%20Again%20Sports%20franchise%20times%20site%3Afranchisetimes.com%2Ftop-400-2024</t>
  </si>
  <si>
    <t>https://www.google.com/search?q=Grease%20Monkey%20franchise%20times%20site%3Afranchisetimes.com%2Ftop-400-2024</t>
  </si>
  <si>
    <t>https://www.google.com/search?q=Goldfish%20Swim%20School%20franchise%20times%20site%3Afranchisetimes.com%2Ftop-400-2024</t>
  </si>
  <si>
    <t>https://www.google.com/search?q=The%20Original%20Pancake%20House%20franchise%20times%20site%3Afranchisetimes.com%2Ftop-400-2024</t>
  </si>
  <si>
    <t>https://www.google.com/search?q=InXpress%20franchise%20times%20site%3Afranchisetimes.com%2Ftop-400-2024</t>
  </si>
  <si>
    <t>https://www.google.com/search?q=The%20Cleaning%20Authority%20franchise%20times%20site%3Afranchisetimes.com%2Ftop-400-2024</t>
  </si>
  <si>
    <t>https://www.google.com/search?q=Shipley%20Do-Nuts%20franchise%20times%20site%3Afranchisetimes.com%2Ftop-400-2024</t>
  </si>
  <si>
    <t>https://www.google.com/search?q=The%20Krystal%20Company%20franchise%20times%20site%3Afranchisetimes.com%2Ftop-400-2024</t>
  </si>
  <si>
    <t>https://www.google.com/search?q=Molly%20Maid%20franchise%20times%20site%3Afranchisetimes.com%2Ftop-400-2024</t>
  </si>
  <si>
    <t>https://www.google.com/search?q=Sola%20Salon%20Studios%20franchise%20times%20site%3Afranchisetimes.com%2Ftop-400-2024</t>
  </si>
  <si>
    <t>https://www.google.com/search?q=Golden%20Chick%20franchise%20times%20site%3Afranchisetimes.com%2Ftop-400-2024</t>
  </si>
  <si>
    <t>https://www.google.com/search?q=Johnny%20Rockets%20franchise%20times%20site%3Afranchisetimes.com%2Ftop-400-2024</t>
  </si>
  <si>
    <t>https://www.google.com/search?q=Fazoli%E2%80%99s%20franchise%20times%20site%3Afranchisetimes.com%2Ftop-400-2024</t>
  </si>
  <si>
    <t>https://www.google.com/search?q=Biggby%20Coffee%20franchise%20times%20site%3Afranchisetimes.com%2Ftop-400-2024</t>
  </si>
  <si>
    <t>https://www.google.com/search?q=Wild%20Birds%20Unlimited%20franchise%20times%20site%3Afranchisetimes.com%2Ftop-400-2024</t>
  </si>
  <si>
    <t>https://www.google.com/search?q=Donatos%20Pizza%20franchise%20times%20site%3Afranchisetimes.com%2Ftop-400-2024</t>
  </si>
  <si>
    <t>https://www.google.com/search?q=Aire%20Serv%20franchise%20times%20site%3Afranchisetimes.com%2Ftop-400-2024</t>
  </si>
  <si>
    <t>https://www.google.com/search?q=PrideStaff%20franchise%20times%20site%3Afranchisetimes.com%2Ftop-400-2024</t>
  </si>
  <si>
    <t>https://www.google.com/search?q=Metal%20Supermarkets%20franchise%20times%20site%3Afranchisetimes.com%2Ftop-400-2024</t>
  </si>
  <si>
    <t>https://www.google.com/search?q=Pepper%20Lunch%20franchise%20times%20site%3Afranchisetimes.com%2Ftop-400-2024</t>
  </si>
  <si>
    <t>https://www.google.com/search?q=Signal%20Security%20franchise%20times%20site%3Afranchisetimes.com%2Ftop-400-2024</t>
  </si>
  <si>
    <t>https://www.google.com/search?q=Penn%20Station%20East%20Coast%20Subs%20franchise%20times%20site%3Afranchisetimes.com%2Ftop-400-2024</t>
  </si>
  <si>
    <t>https://www.google.com/search?q=Wetzel%27s%20Pretzels%20franchise%20times%20site%3Afranchisetimes.com%2Ftop-400-2024</t>
  </si>
  <si>
    <t>https://www.google.com/search?q=College%20Hunks%20Hauling%20Junk%20franchise%20times%20site%3Afranchisetimes.com%2Ftop-400-2024</t>
  </si>
  <si>
    <t>https://www.google.com/search?q=Kona%20Ice%20franchise%20times%20site%3Afranchisetimes.com%2Ftop-400-2024</t>
  </si>
  <si>
    <t>https://www.google.com/search?q=Buddy%E2%80%99s%20Home%20Furnishings%20franchise%20times%20site%3Afranchisetimes.com%2Ftop-400-2024</t>
  </si>
  <si>
    <t>https://www.google.com/search?q=Tommy%E2%80%99s%20Express%20franchise%20times%20site%3Afranchisetimes.com%2Ftop-400-2024</t>
  </si>
  <si>
    <t>https://www.google.com/search?q=ComForCare%20Home%20Care%20franchise%20times%20site%3Afranchisetimes.com%2Ftop-400-2024</t>
  </si>
  <si>
    <t>https://www.google.com/search?q=Farmer%20Boys%20Hamburgers%20franchise%20times%20site%3Afranchisetimes.com%2Ftop-400-2024</t>
  </si>
  <si>
    <t>https://www.google.com/search?q=Home%20Helpers%20Home%20Care%20franchise%20times%20site%3Afranchisetimes.com%2Ftop-400-2024</t>
  </si>
  <si>
    <t>https://www.google.com/search?q=Real%20Property%20Management%20franchise%20times%20site%3Afranchisetimes.com%2Ftop-400-2024</t>
  </si>
  <si>
    <t>https://www.google.com/search?q=Benjamin%20Franklin%20Plumbing%20franchise%20times%20site%3Afranchisetimes.com%2Ftop-400-2024</t>
  </si>
  <si>
    <t>https://www.google.com/search?q=Homewatch%20CareGivers%20franchise%20times%20site%3Afranchisetimes.com%2Ftop-400-2024</t>
  </si>
  <si>
    <t>https://www.google.com/search?q=FYZICAL%20Therapy%20%26%20Balance%20Centers%20franchise%20times%20site%3Afranchisetimes.com%2Ftop-400-2024</t>
  </si>
  <si>
    <t>https://www.google.com/search?q=Glass%20Doctor%20franchise%20times%20site%3Afranchisetimes.com%2Ftop-400-2024</t>
  </si>
  <si>
    <t>https://www.google.com/search?q=Always%20Best%20Care%20Senior%20Services%20franchise%20times%20site%3Afranchisetimes.com%2Ftop-400-2024</t>
  </si>
  <si>
    <t>https://www.google.com/search?q=Allegra%20Marketing%20Print%20Mail%20franchise%20times%20site%3Afranchisetimes.com%2Ftop-400-2024</t>
  </si>
  <si>
    <t>https://www.google.com/search?q=Yogi%20Bear%E2%80%99s%20Jellystone%20Park%20franchise%20times%20site%3Afranchisetimes.com%2Ftop-400-2024</t>
  </si>
  <si>
    <t>https://www.google.com/search?q=Goosehead%20Insurance%20franchise%20times%20site%3Afranchisetimes.com%2Ftop-400-2024</t>
  </si>
  <si>
    <t>https://www.google.com/search?q=FirstLight%20Home%20Care%20franchise%20times%20site%3Afranchisetimes.com%2Ftop-400-2024</t>
  </si>
  <si>
    <t>https://www.google.com/search?q=Lee%E2%80%99s%20Famous%20Recipe%20Chicken%20franchise%20times%20site%3Afranchisetimes.com%2Ftop-400-2024</t>
  </si>
  <si>
    <t>https://www.google.com/search?q=Chem-Dry%20franchise%20times%20site%3Afranchisetimes.com%2Ftop-400-2024</t>
  </si>
  <si>
    <t>https://www.google.com/search?q=United%20Country%20franchise%20times%20site%3Afranchisetimes.com%2Ftop-400-2024</t>
  </si>
  <si>
    <t>https://www.google.com/search?q=Playa%20Bowls%20franchise%20times%20site%3Afranchisetimes.com%2Ftop-400-2024</t>
  </si>
  <si>
    <t>https://www.google.com/search?q=Beef%20O%E2%80%99Brady%E2%80%99s%20franchise%20times%20site%3Afranchisetimes.com%2Ftop-400-2024</t>
  </si>
  <si>
    <t>https://www.google.com/search?q=L%26L%20Hawaiian%20Barbecue%20franchise%20times%20site%3Afranchisetimes.com%2Ftop-400-2024</t>
  </si>
  <si>
    <t>https://www.google.com/search?q=Lawn%20Doctor%20franchise%20times%20site%3Afranchisetimes.com%2Ftop-400-2024</t>
  </si>
  <si>
    <t>https://www.google.com/search?q=Huddle%20House%20franchise%20times%20site%3Afranchisetimes.com%2Ftop-400-2024</t>
  </si>
  <si>
    <t>https://www.google.com/search?q=The%20Melting%20Pot%20franchise%20times%20site%3Afranchisetimes.com%2Ftop-400-2024</t>
  </si>
  <si>
    <t>https://www.google.com/search?q=Newk%E2%80%99s%20Eatery%20franchise%20times%20site%3Afranchisetimes.com%2Ftop-400-2024</t>
  </si>
  <si>
    <t>https://www.google.com/search?q=Pure%20Barre%20franchise%20times%20site%3Afranchisetimes.com%2Ftop-400-2024</t>
  </si>
  <si>
    <t>https://www.google.com/search?q=Camp%20Bow%20Wow%20franchise%20times%20site%3Afranchisetimes.com%2Ftop-400-2024</t>
  </si>
  <si>
    <t>https://www.google.com/search?q=Elements%20Massage%20franchise%20times%20site%3Afranchisetimes.com%2Ftop-400-2024</t>
  </si>
  <si>
    <t>https://www.google.com/search?q=Fantastic%20Sams%20franchise%20times%20site%3Afranchisetimes.com%2Ftop-400-2024</t>
  </si>
  <si>
    <t>https://www.google.com/search?q=Superior%20Fence%20%26%20Rail%20franchise%20times%20site%3Afranchisetimes.com%2Ftop-400-2024</t>
  </si>
  <si>
    <t>https://www.google.com/search?q=Image360%20franchise%20times%20site%3Afranchisetimes.com%2Ftop-400-2024</t>
  </si>
  <si>
    <t>https://www.google.com/search?q=CRDN%20franchise%20times%20site%3Afranchisetimes.com%2Ftop-400-2024</t>
  </si>
  <si>
    <t>https://www.google.com/search?q=School%20Of%20Rock%20franchise%20times%20site%3Afranchisetimes.com%2Ftop-400-2024</t>
  </si>
  <si>
    <t>https://www.google.com/search?q=Precision%20Tune%20Auto%20Care%20franchise%20times%20site%3Afranchisetimes.com%2Ftop-400-2024</t>
  </si>
  <si>
    <t>https://www.google.com/search?q=Mighty%20Auto%20Parts%20franchise%20times%20site%3Afranchisetimes.com%2Ftop-400-2024</t>
  </si>
  <si>
    <t>https://www.google.com/search?q=StretchLab%20franchise%20times%20site%3Afranchisetimes.com%2Ftop-400-2024</t>
  </si>
  <si>
    <t>https://www.google.com/search?q=Burn%20Boot%20Camp%20franchise%20times%20site%3Afranchisetimes.com%2Ftop-400-2024</t>
  </si>
  <si>
    <t>https://www.google.com/search?q=Yogen%20Fruz%20franchise%20times%20site%3Afranchisetimes.com%2Ftop-400-2024</t>
  </si>
  <si>
    <t>https://www.google.com/search?q=La%20Madeleine%20franchise%20times%20site%3Afranchisetimes.com%2Ftop-400-2024</t>
  </si>
  <si>
    <t>https://www.google.com/search?q=7%20Brew%20franchise%20times%20site%3Afranchisetimes.com%2Ftop-400-2024</t>
  </si>
  <si>
    <t>https://www.google.com/search?q=Dogtopia%20franchise%20times%20site%3Afranchisetimes.com%2Ftop-400-2024</t>
  </si>
  <si>
    <t>https://www.google.com/search?q=Bar%20Louie%20franchise%20times%20site%3Afranchisetimes.com%2Ftop-400-2024</t>
  </si>
  <si>
    <t>https://www.google.com/search?q=Andy%E2%80%99s%20Frozen%20Custard%20franchise%20times%20site%3Afranchisetimes.com%2Ftop-400-2024</t>
  </si>
  <si>
    <t>https://www.google.com/search?q=Stratus%20Building%20Solutions%20franchise%20times%20site%3Afranchisetimes.com%2Ftop-400-2024</t>
  </si>
  <si>
    <t>https://www.google.com/search?q=Old%20Chicago%20Pizza%20%26%20Taproom%20franchise%20times%20site%3Afranchisetimes.com%2Ftop-400-2024</t>
  </si>
  <si>
    <t>https://www.google.com/search?q=Floor%20Coverings%20International%20franchise%20times%20site%3Afranchisetimes.com%2Ftop-400-2024</t>
  </si>
  <si>
    <t>https://www.google.com/search?q=TeamLogic%20IT%20franchise%20times%20site%3Afranchisetimes.com%2Ftop-400-2024</t>
  </si>
  <si>
    <t>https://www.google.com/search?q=The%20Woodhouse%20Day%20Spa%20franchise%20times%20site%3Afranchisetimes.com%2Ftop-400-2024</t>
  </si>
  <si>
    <t>https://www.google.com/search?q=Rita%E2%80%99s%20Italian%20Ice%20franchise%20times%20site%3Afranchisetimes.com%2Ftop-400-2024</t>
  </si>
  <si>
    <t>https://www.google.com/search?q=LaRosa%E2%80%99s%20Pizzeria%20franchise%20times%20site%3Afranchisetimes.com%2Ftop-400-2024</t>
  </si>
  <si>
    <t>https://www.google.com/search?q=Ziebart%20franchise%20times%20site%3Afranchisetimes.com%2Ftop-400-2024</t>
  </si>
  <si>
    <t>https://www.google.com/search?q=Mr.%20Electric%20franchise%20times%20site%3Afranchisetimes.com%2Ftop-400-2024</t>
  </si>
  <si>
    <t>https://www.google.com/search?q=Mr.%20Appliance%20franchise%20times%20site%3Afranchisetimes.com%2Ftop-400-2024</t>
  </si>
  <si>
    <t>https://www.google.com/search?q=Wings%20%26%20Rings%20franchise%20times%20site%3Afranchisetimes.com%2Ftop-400-2024</t>
  </si>
  <si>
    <t>https://www.google.com/search?q=WaBa%20Grill%20franchise%20times%20site%3Afranchisetimes.com%2Ftop-400-2024</t>
  </si>
  <si>
    <t>https://www.google.com/search?q=Mister%20Sparky%20franchise%20times%20site%3Afranchisetimes.com%2Ftop-400-2024</t>
  </si>
  <si>
    <t>https://www.google.com/search?q=Mr.%20Handyman%20franchise%20times%20site%3Afranchisetimes.com%2Ftop-400-2024</t>
  </si>
  <si>
    <t>https://www.google.com/search?q=Taziki%E2%80%99s%20Mediterranean%20Cafe%20franchise%20times%20site%3Afranchisetimes.com%2Ftop-400-2024</t>
  </si>
  <si>
    <t>https://www.google.com/search?q=Phenix%20Salon%20Suites%20franchise%20times%20site%3Afranchisetimes.com%2Ftop-400-2024</t>
  </si>
  <si>
    <t>https://www.google.com/search?q=Another%20Broken%20Egg%20Caf%C3%A9%20franchise%20times%20site%3Afranchisetimes.com%2Ftop-400-2024</t>
  </si>
  <si>
    <t>https://www.google.com/search?q=Great%20American%20Cookies%20franchise%20times%20site%3Afranchisetimes.com%2Ftop-400-2024</t>
  </si>
  <si>
    <t>https://www.google.com/search?q=Sir%20Speedy%20Print%20Signs%20Marketing%20franchise%20times%20site%3Afranchisetimes.com%2Ftop-400-2024</t>
  </si>
  <si>
    <t>https://www.google.com/search?q=Lightbridge%20Academy%20franchise%20times%20site%3Afranchisetimes.com%2Ftop-400-2024</t>
  </si>
  <si>
    <t>https://www.google.com/search?q=Amazing%20Lash%20Studio%20franchise%20times%20site%3Afranchisetimes.com%2Ftop-400-2024</t>
  </si>
  <si>
    <t>https://www.google.com/search?q=BURGERFI%20franchise%20times%20site%3Afranchisetimes.com%2Ftop-400-2024</t>
  </si>
  <si>
    <t>https://www.google.com/search?q=QC%20Kinetix%20franchise%20times%20site%3Afranchisetimes.com%2Ftop-400-2024</t>
  </si>
  <si>
    <t>https://www.google.com/search?q=JINYA%20Ramen%20Bar%20franchise%20times%20site%3Afranchisetimes.com%2Ftop-400-2024</t>
  </si>
  <si>
    <t>https://www.google.com/search?q=Assisting%20Hands%20Home%20Care%20franchise%20times%20site%3Afranchisetimes.com%2Ftop-400-2024</t>
  </si>
  <si>
    <t>https://www.google.com/search?q=Altitude%20Trampoline%20Park%20franchise%20times%20site%3Afranchisetimes.com%2Ftop-400-2024</t>
  </si>
  <si>
    <t>https://www.google.com/search?q=Fatburger%20franchise%20times%20site%3Afranchisetimes.com%2Ftop-400-2024</t>
  </si>
  <si>
    <t>https://www.google.com/search?q=Aqua-Tots%20Swim%20Schools%20franchise%20times%20site%3Afranchisetimes.com%2Ftop-400-2024</t>
  </si>
  <si>
    <t>https://www.google.com/search?q=Huntington%20Learning%20Center%20franchise%20times%20site%3Afranchisetimes.com%2Ftop-400-2024</t>
  </si>
  <si>
    <t>https://www.google.com/search?q=HobbyTown%20franchise%20times%20site%3Afranchisetimes.com%2Ftop-400-2024</t>
  </si>
  <si>
    <t>https://www.google.com/search?q=Mosquito%20Joe%20franchise%20times%20site%3Afranchisetimes.com%2Ftop-400-2024</t>
  </si>
  <si>
    <t>https://www.google.com/search?q=Ledo%20Pizza%20franchise%20times%20site%3Afranchisetimes.com%2Ftop-400-2024</t>
  </si>
  <si>
    <t>https://www.google.com/search?q=Ford%E2%80%99s%20Garage%20franchise%20times%20site%3Afranchisetimes.com%2Ftop-400-2024</t>
  </si>
  <si>
    <t>https://www.google.com/search?q=PostNet%20franchise%20times%20site%3Afranchisetimes.com%2Ftop-400-2024</t>
  </si>
  <si>
    <t>https://www.google.com/search?q=Nathan%E2%80%99s%20Famous%20franchise%20times%20site%3Afranchisetimes.com%2Ftop-400-2024</t>
  </si>
  <si>
    <t>https://www.google.com/search?q=Dale%20Carnegie%20Training%20franchise%20times%20site%3Afranchisetimes.com%2Ftop-400-2024</t>
  </si>
  <si>
    <t>https://www.google.com/search?q=Anago%20Cleaning%20Systems%20franchise%20times%20site%3Afranchisetimes.com%2Ftop-400-2024</t>
  </si>
  <si>
    <t>https://www.google.com/search?q=Children%E2%80%99s%20Lighthouse%20franchise%20times%20site%3Afranchisetimes.com%2Ftop-400-2024</t>
  </si>
  <si>
    <t>https://www.google.com/search?q=Teriyaki%20Madness%20franchise%20times%20site%3Afranchisetimes.com%2Ftop-400-2024</t>
  </si>
  <si>
    <t>https://www.google.com/search?q=SpeeDee%20Oil%20Change%20%26%20Auto%20Service%20franchise%20times%20site%3Afranchisetimes.com%2Ftop-400-2024</t>
  </si>
  <si>
    <t>https://www.google.com/search?q=The%20Human%20Bean%20franchise%20times%20site%3Afranchisetimes.com%2Ftop-400-2024</t>
  </si>
  <si>
    <t>https://www.google.com/search?q=Fish%20Window%20Cleaning%20franchise%20times%20site%3Afranchisetimes.com%2Ftop-400-2024</t>
  </si>
  <si>
    <t>https://www.google.com/search?q=Tide%20Dry%20Cleaners%20franchise%20times%20site%3Afranchisetimes.com%2Ftop-400-2024</t>
  </si>
  <si>
    <t>https://www.google.com/search?q=Five%20Star%20Painting%20franchise%20times%20site%3Afranchisetimes.com%2Ftop-400-2024</t>
  </si>
  <si>
    <t>https://www.google.com/search?q=Capriotti%E2%80%99s%20franchise%20times%20site%3Afranchisetimes.com%2Ftop-400-2024</t>
  </si>
  <si>
    <t>https://www.google.com/search?q=Property%20Management%20Inc.%20franchise%20times%20site%3Afranchisetimes.com%2Ftop-400-2024</t>
  </si>
  <si>
    <t>https://www.google.com/search?q=CMIT%20Solutions%20franchise%20times%20site%3Afranchisetimes.com%2Ftop-400-2024</t>
  </si>
  <si>
    <t>https://www.google.com/search?q=The%20Grounds%20Guys%20franchise%20times%20site%3Afranchisetimes.com%2Ftop-400-2024</t>
  </si>
  <si>
    <t>https://www.google.com/search?q=Brightway%20Insurance%20franchise%20times%20site%3Afranchisetimes.com%2Ftop-400-2024</t>
  </si>
  <si>
    <t>https://www.google.com/search?q=Mr.%20Gatti%E2%80%99s%20franchise%20times%20site%3Afranchisetimes.com%2Ftop-400-2024</t>
  </si>
  <si>
    <t>https://www.google.com/search?q=Cheba%20Hut%20Toasted%20Subs%20franchise%20times%20site%3Afranchisetimes.com%2Ftop-400-2024</t>
  </si>
  <si>
    <t>https://www.google.com/search?q=MY%20SALON%20Suite%20franchise%20times%20site%3Afranchisetimes.com%2Ftop-400-2024</t>
  </si>
  <si>
    <t>https://www.google.com/search?q=Nekter%20Juice%20Bar%20franchise%20times%20site%3Afranchisetimes.com%2Ftop-400-2024</t>
  </si>
  <si>
    <t>https://www.google.com/search?q=Massage%20Heights%20franchise%20times%20site%3Afranchisetimes.com%2Ftop-400-2024</t>
  </si>
  <si>
    <t>https://www.google.com/search?q=Hawaiian%20Bros%20Island%20Grill%20franchise%20times%20site%3Afranchisetimes.com%2Ftop-400-2024</t>
  </si>
  <si>
    <t>https://www.google.com/search?q=Mosquito%20Squad%20franchise%20times%20site%3Afranchisetimes.com%2Ftop-400-2024</t>
  </si>
  <si>
    <t>https://www.google.com/search?q=Wings%20Etc.%20franchise%20times%20site%3Afranchisetimes.com%2Ftop-400-2024</t>
  </si>
  <si>
    <t>https://www.google.com/search?q=Salata%20franchise%20times%20site%3Afranchisetimes.com%2Ftop-400-2024</t>
  </si>
  <si>
    <t>https://www.google.com/search?q=Strickland%20Brothers%20Oil%20Change%20franchise%20times%20site%3Afranchisetimes.com%2Ftop-400-2024</t>
  </si>
  <si>
    <t>https://www.google.com/search?q=Pizza%20Inn%20franchise%20times%20site%3Afranchisetimes.com%2Ftop-400-2024</t>
  </si>
  <si>
    <t>https://www.google.com/search?q=Drybar%20franchise%20times%20site%3Afranchisetimes.com%2Ftop-400-2024</t>
  </si>
  <si>
    <t>https://www.google.com/search?q=Kitchen%20Tune-Up%20franchise%20times%20site%3Afranchisetimes.com%2Ftop-400-2024</t>
  </si>
  <si>
    <t>https://www.google.com/search?q=Stretch%20Zone%20franchise%20times%20site%3Afranchisetimes.com%2Ftop-400-2024</t>
  </si>
  <si>
    <t>https://www.google.com/search?q=Woof%20Gang%20Bakery%20franchise%20times%20site%3Afranchisetimes.com%2Ftop-400-2024</t>
  </si>
  <si>
    <t>https://www.google.com/search?q=Fully%20Promoted%20franchise%20times%20site%3Afranchisetimes.com%2Ftop-400-2024</t>
  </si>
  <si>
    <t>https://www.google.com/search?q=Handel%E2%80%99s%20Ice%20Cream%20franchise%20times%20site%3Afranchisetimes.com%2Ftop-400-2024</t>
  </si>
  <si>
    <t>https://www.google.com/search?q=SpeedPro%20franchise%20times%20site%3Afranchisetimes.com%2Ftop-400-2024</t>
  </si>
  <si>
    <t>https://www.google.com/search?q=Shakey%E2%80%99s%20Pizza%20Parlor%20franchise%20times%20site%3Afranchisetimes.com%2Ftop-400-2024</t>
  </si>
  <si>
    <t>https://www.google.com/search?q=FRSTeam%20franchise%20times%20site%3Afranchisetimes.com%2Ftop-400-2024</t>
  </si>
  <si>
    <t>https://www.google.com/search?q=America%E2%80%99s%20Swimming%20Pool%20Company%20franchise%20times%20site%3Afranchisetimes.com%2Ftop-400-2024</t>
  </si>
  <si>
    <t>https://www.google.com/search?q=Stroll%20franchise%20times%20site%3Afranchisetimes.com%2Ftop-400-2024</t>
  </si>
  <si>
    <t>https://www.google.com/search?q=Which%20Wich%20franchise%20times%20site%3Afranchisetimes.com%2Ftop-400-2024</t>
  </si>
  <si>
    <t>https://www.google.com/search?q=Marble%20Slab%20Creamery%20franchise%20times%20site%3Afranchisetimes.com%2Ftop-400-2024</t>
  </si>
  <si>
    <t>https://www.google.com/search?q=Soccer%20Shots%20franchise%20times%20site%3Afranchisetimes.com%2Ftop-400-2024</t>
  </si>
  <si>
    <t>https://www.google.com/search?q=Junk%20King%20franchise%20times%20site%3Afranchisetimes.com%2Ftop-400-2024</t>
  </si>
  <si>
    <t>https://www.google.com/search?q=Mighty%20Dog%20Roofing%20franchise%20times%20site%3Afranchisetimes.com%2Ftop-400-2024</t>
  </si>
  <si>
    <t>https://www.google.com/search?q=Broken%20Yolk%20Caf%C3%A9%20franchise%20times%20site%3Afranchisetimes.com%2Ftop-400-2024</t>
  </si>
  <si>
    <t>https://www.google.com/search?q=Dream%20Vacations%20franchise%20times%20site%3Afranchisetimes.com%2Ftop-400-2024</t>
  </si>
  <si>
    <t>https://www.google.com/search?q=Retrofiteness%20franchise%20times%20site%3Afranchisetimes.com%2Ftop-400-2024</t>
  </si>
  <si>
    <t>https://www.google.com/search?q=CycleBar%20franchise%20times%20site%3Afranchisetimes.com%2Ftop-400-2024</t>
  </si>
  <si>
    <t>https://www.google.com/search?q=Bubbakoo%E2%80%99s%20Burritos%20franchise%20times%20site%3Afranchisetimes.com%2Ftop-400-2024</t>
  </si>
  <si>
    <t>https://www.google.com/search?q=911%20Restoration%20franchise%20times%20site%3Afranchisetimes.com%2Ftop-400-2024</t>
  </si>
  <si>
    <t>https://www.google.com/search?q=Miracle%20Method%20Surface%20Refinishing%20franchise%20times%20site%3Afranchisetimes.com%2Ftop-400-2024</t>
  </si>
  <si>
    <t>https://www.google.com/search?q=Ace%20Handyman%20Services%20franchise%20times%20site%3Afranchisetimes.com%2Ftop-400-2024</t>
  </si>
  <si>
    <t>https://www.google.com/search?q=Workout%20Anytime%20franchise%20times%20site%3Afranchisetimes.com%2Ftop-400-2024</t>
  </si>
  <si>
    <t>https://www.google.com/search?q=Sterling%20Optical%20franchise%20times%20site%3Afranchisetimes.com%2Ftop-400-2024</t>
  </si>
  <si>
    <t>https://www.google.com/search?q=Clothes%20Mentor%20franchise%20times%20site%3Afranchisetimes.com%2Ftop-400-2024</t>
  </si>
  <si>
    <t>https://www.google.com/search?q=Enviro-Master%20franchise%20times%20site%3Afranchisetimes.com%2Ftop-400-2024</t>
  </si>
  <si>
    <t>https://www.google.com/search?q=Primo%20Hoagies%20franchise%20times%20site%3Afranchisetimes.com%2Ftop-400-2024</t>
  </si>
  <si>
    <t>https://www.google.com/search?q=Pizza%20Factory%20franchise%20times%20site%3Afranchisetimes.com%2Ftop-400-2024</t>
  </si>
  <si>
    <t>https://www.google.com/search?q=Tint%20World%20franchise%20times%20site%3Afranchisetimes.com%2Ftop-400-2024</t>
  </si>
  <si>
    <t>https://www.google.com/search?q=Storm%20Guard%20franchise%20times%20site%3Afranchisetimes.com%2Ftop-400-2024</t>
  </si>
  <si>
    <t>https://www.google.com/search?q=Office%20Pride%20Commercial%20Cleaning%20franchise%20times%20site%3Afranchisetimes.com%2Ftop-400-2024</t>
  </si>
  <si>
    <t>https://www.google.com/search?q=Archadeck%20Outdoor%20Living%20franchise%20times%20site%3Afranchisetimes.com%2Ftop-400-2024</t>
  </si>
  <si>
    <t>https://www.google.com/search?q=Brothers%20that%20Just%20do%20Gutters%20franchise%20times%20site%3Afranchisetimes.com%2Ftop-400-2024</t>
  </si>
  <si>
    <t>https://www.google.com/search?q=Cousins%20Subs%20franchise%20times%20site%3Afranchisetimes.com%2Ftop-400-2024</t>
  </si>
  <si>
    <t>https://www.google.com/search?q=Clean%20Eatz%20franchise%20times%20site%3Afranchisetimes.com%2Ftop-400-2024</t>
  </si>
  <si>
    <t>https://www.google.com/search?q=Transworld%20Business%20Advisors%20franchise%20times%20site%3Afranchisetimes.com%2Ftop-400-2024</t>
  </si>
  <si>
    <t>https://www.google.com/search?q=Rocky%20Mountain%20Chocolate%20Factory%20franchise%20times%20site%3Afranchisetimes.com%2Ftop-400-2024</t>
  </si>
  <si>
    <t>https://www.google.com/search?q=Pizza%20Guys%20franchise%20times%20site%3Afranchisetimes.com%2Ftop-400-2024</t>
  </si>
  <si>
    <t>https://www.google.com/search?q=Koala%20Insulation%20franchise%20times%20site%3Afranchisetimes.com%2Ftop-400-2024</t>
  </si>
  <si>
    <t>https://www.google.com/search?q=Celebree%20School%20franchise%20times%20site%3Afranchisetimes.com%2Ftop-400-2024</t>
  </si>
  <si>
    <t>https://www.google.com/search?q=Nick%20The%20Greek%20franchise%20times%20site%3Afranchisetimes.com%2Ftop-400-2024</t>
  </si>
  <si>
    <t>https://www.google.com/search?q=Eggs%20Up%20Grill%20franchise%20times%20site%3Afranchisetimes.com%2Ftop-400-2024</t>
  </si>
  <si>
    <t>https://www.google.com/search?q=HTeaO%20franchise%20times%20site%3Afranchisetimes.com%2Ftop-400-2024</t>
  </si>
  <si>
    <t>https://www.google.com/search?q=Saladworks%20franchise%20times%20site%3Afranchisetimes.com%2Ftop-400-2024</t>
  </si>
  <si>
    <t>https://www.google.com/search?q=1-800-Water%20Damage%20franchise%20times%20site%3Afranchisetimes.com%2Ftop-400-2024</t>
  </si>
  <si>
    <t>https://www.google.com/search?q=Toppers%20Pizza%20franchise%20times%20site%3Afranchisetimes.com%2Ftop-400-2024</t>
  </si>
  <si>
    <t>https://www.google.com/search?q=Dog%20Haus%20franchise%20times%20site%3Afranchisetimes.com%2Ftop-400-2024</t>
  </si>
  <si>
    <t>https://www.google.com/search?q=Christmas%20D%C3%A9cor%20franchise%20times%20site%3Afranchisetimes.com%2Ftop-400-2024</t>
  </si>
  <si>
    <t>https://www.google.com/search?q=PJ%E2%80%99s%20Coffee%20of%20New%20Orleans%20franchise%20times%20site%3Afranchisetimes.com%2Ftop-400-2024</t>
  </si>
  <si>
    <t>https://www.google.com/search?q=The%20Greene%20Turtle%20Sports%20Bar%20%26%20Grille%20franchise%20times%20site%3Afranchisetimes.com%2Ftop-400-2024</t>
  </si>
  <si>
    <t>https://www.google.com/search?q=BuildingStars%20franchise%20times%20site%3Afranchisetimes.com%2Ftop-400-2024</t>
  </si>
  <si>
    <t>https://www.google.com/search?q=Waxing%20The%20City%20franchise%20times%20site%3Afranchisetimes.com%2Ftop-400-2024</t>
  </si>
  <si>
    <t>https://www.google.com/search?q=PIP%20Marketing%20Signs%20Print%20franchise%20times%20site%3Afranchisetimes.com%2Ftop-400-2024</t>
  </si>
  <si>
    <t>https://www.google.com/search?q=Hurricane%20Grill%20%26%20Wings%20franchise%20times%20site%3Afranchisetimes.com%2Ftop-400-2024</t>
  </si>
  <si>
    <t>https://www.google.com/search?q=MOOYAH%20Burgers%2C%20Fries%20%26%20Shakes%20franchise%20times%20site%3Afranchisetimes.com%2Ftop-400-2024</t>
  </si>
  <si>
    <t>https://www.google.com/search?q=100%25%20Chiropractic%20franchise%20times%20site%3Afranchisetimes.com%2Ftop-400-2024</t>
  </si>
  <si>
    <t>https://www.google.com/search?q=Port%20of%20Subs%20franchise%20times%20site%3Afranchisetimes.com%2Ftop-400-2024</t>
  </si>
  <si>
    <t>https://www.google.com/search?q=YogaSix%20franchise%20times%20site%3Afranchisetimes.com%2Ftop-400-2024</t>
  </si>
  <si>
    <t>https://www.google.com/search?q=Bath%20Solutions%20franchise%20times%20site%3Afranchisetimes.com%2Ftop-400-2024</t>
  </si>
  <si>
    <t>https://www.google.com/search?q=Gus%27s%20World%20Famous%20Fried%20Chicken%20franchise%20times%20site%3Afranchisetimes.com%2Ftop-400-2024</t>
  </si>
  <si>
    <t>https://www.google.com/search?q=Roy%20Rogers%20franchise%20times%20site%3Afranchisetimes.com%2Ftop-400-2024</t>
  </si>
  <si>
    <t>https://www.google.com/search?q=Rodizio%20Grill%20franchise%20times%20site%3Afranchisetimes.com%2Ftop-400-2024</t>
  </si>
  <si>
    <t>https://www.google.com/search?q=British%20Swim%20School%20franchise%20times%20site%3Afranchisetimes.com%2Ftop-400-2024</t>
  </si>
  <si>
    <t>https://www.google.com/search?q=Caring%20Transitions%20franchise%20times%20site%3Afranchisetimes.com%2Ftop-400-2024</t>
  </si>
  <si>
    <t>https://www.google.com/search?q=Pretzelmaker%20franchise%20times%20site%3Afranchisetimes.com%2Ftop-400-2024</t>
  </si>
  <si>
    <t>https://www.google.com/search?q=MassageLuXe%20franchise%20times%20site%3Afranchisetimes.com%2Ftop-400-2024</t>
  </si>
  <si>
    <t>https://www.google.com/search?q=Iron%20Valley%20Real%20Estate%20franchise%20times%20site%3Afranchisetimes.com%2Ftop-400-2024</t>
  </si>
  <si>
    <t>https://www.google.com/search?q=Maid%20Brigade%20franchise%20times%20site%3Afranchisetimes.com%2Ftop-400-2024</t>
  </si>
  <si>
    <t>https://www.google.com/search?q=Any%20Lab%20Test%20Now%20franchise%20times%20site%3Afranchisetimes.com%2Ftop-400-2024</t>
  </si>
  <si>
    <t>https://www.google.com/search?q=Rock%20N%20Roll%20Sushi%20franchise%20times%20site%3Afranchisetimes.com%2Ftop-400-2024</t>
  </si>
  <si>
    <t>https://www.google.com/search?q=Duck%20Donuts%20franchise%20times%20site%3Afranchisetimes.com%2Ftop-400-2024</t>
  </si>
  <si>
    <t>https://www.google.com/search?q=The%20Lash%20Lounge%20franchise%20times%20site%3Afranchisetimes.com%2Ftop-400-2024</t>
  </si>
  <si>
    <t>https://www.google.com/search?q=The%20Flying%20Biscuit%20Caf%C3%A9%20franchise%20times%20site%3Afranchisetimes.com%2Ftop-400-2024</t>
  </si>
  <si>
    <t>https://www.google.com/search?q=ZIPS%20Cleaners%20franchise%20times%20site%3Afranchisetimes.com%2Ftop-400-2024</t>
  </si>
  <si>
    <t>https://www.google.com/search?q=Healthsource%20Chiropractic%20franchise%20times%20site%3Afranchisetimes.com%2Ftop-400-2024</t>
  </si>
  <si>
    <t>https://www.google.com/search?q=Ellie%20Mental%20Health%20franchise%20times%20site%3Afranchisetimes.com%2Ftop-400-2024</t>
  </si>
  <si>
    <t>https://www.google.com/search?q=Gotcha%20Covered%20franchise%20times%20site%3Afranchisetimes.com%2Ftop-400-2024</t>
  </si>
  <si>
    <t>https://www.google.com/search?q=UNITS%20Moving%20and%20Portable%20Storage%20franchise%20times%20site%3Afranchisetimes.com%2Ftop-400-2024</t>
  </si>
  <si>
    <t>https://www.google.com/search?q=HOODZ%20franchise%20times%20site%3Afranchisetimes.com%2Ftop-400-2024</t>
  </si>
  <si>
    <t>https://www.google.com/search?q=Cousins%20Maine%20Lobster%20franchise%20times%20site%3Afranchisetimes.com%2Ftop-400-2024</t>
  </si>
  <si>
    <t>https://www.google.com/search?q=The%20Flying%20Locksmith%20franchise%20times%20site%3Afranchisetimes.com%2Ftop-400-2024</t>
  </si>
  <si>
    <t>https://www.google.com/search?q=Mr.%20Transmission%20franchise%20times%20site%3Afranchisetimes.com%2Ftop-400-2024</t>
  </si>
  <si>
    <t>https://www.google.com/search?q=The%20Junkluggers%20franchise%20times%20site%3Afranchisetimes.com%2Ftop-400-2024</t>
  </si>
  <si>
    <t>https://www.google.com/search?q=Baja%20Fresh%20franchise%20times%20site%3Afranchisetimes.com%2Ftop-400-2024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</si>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</sst>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d\.m"/>
    <numFmt numFmtId="167" formatCode="0.0000"/>
  </numFmts>
  <fonts count="23">
    <font>
      <sz val="11"/>
      <color theme="1"/>
      <name val="Calibri"/>
      <scheme val="minor"/>
    </font>
    <font>
      <b/>
      <sz val="11"/>
      <color theme="1"/>
      <name val="Aptos Narrow"/>
    </font>
    <font>
      <b/>
      <sz val="11"/>
      <color theme="1"/>
      <name val="Arial"/>
      <family val="2"/>
    </font>
    <font>
      <sz val="11"/>
      <color theme="1"/>
      <name val="Aptos Narrow"/>
    </font>
    <font>
      <sz val="11"/>
      <color theme="1"/>
      <name val="Arial"/>
      <family val="2"/>
    </font>
    <font>
      <sz val="11"/>
      <color rgb="FF333333"/>
      <name val="&quot;Open Sans&quot;"/>
    </font>
    <font>
      <u/>
      <sz val="11"/>
      <color rgb="FF0000FF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333333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Calibri"/>
      <family val="2"/>
    </font>
    <font>
      <sz val="11"/>
      <color rgb="FF000000"/>
      <name val="&quot;Aptos Narrow&quot;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theme="1"/>
      <name val="Arial"/>
      <family val="2"/>
    </font>
    <font>
      <b/>
      <sz val="11"/>
      <color rgb="FFFF0000"/>
      <name val="Aptos Narrow"/>
    </font>
    <font>
      <b/>
      <sz val="11"/>
      <color theme="1"/>
      <name val="Calibri"/>
      <family val="2"/>
    </font>
    <font>
      <sz val="11"/>
      <color rgb="FF000000"/>
      <name val="Roboto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9" borderId="3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49" fontId="4" fillId="0" borderId="2" xfId="0" applyNumberFormat="1" applyFont="1" applyBorder="1" applyAlignment="1">
      <alignment wrapText="1"/>
    </xf>
    <xf numFmtId="3" fontId="3" fillId="0" borderId="2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9" fontId="4" fillId="0" borderId="2" xfId="0" applyNumberFormat="1" applyFont="1" applyBorder="1" applyAlignment="1">
      <alignment wrapText="1"/>
    </xf>
    <xf numFmtId="9" fontId="5" fillId="10" borderId="0" xfId="0" applyNumberFormat="1" applyFont="1" applyFill="1" applyAlignment="1">
      <alignment horizontal="left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49" fontId="3" fillId="0" borderId="2" xfId="0" applyNumberFormat="1" applyFont="1" applyBorder="1" applyAlignment="1">
      <alignment wrapText="1"/>
    </xf>
    <xf numFmtId="165" fontId="3" fillId="0" borderId="2" xfId="0" applyNumberFormat="1" applyFont="1" applyBorder="1" applyAlignment="1">
      <alignment wrapText="1"/>
    </xf>
    <xf numFmtId="166" fontId="4" fillId="0" borderId="2" xfId="0" applyNumberFormat="1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wrapText="1"/>
    </xf>
    <xf numFmtId="0" fontId="5" fillId="10" borderId="0" xfId="0" applyFont="1" applyFill="1" applyAlignment="1">
      <alignment horizontal="left"/>
    </xf>
    <xf numFmtId="166" fontId="3" fillId="0" borderId="3" xfId="0" applyNumberFormat="1" applyFont="1" applyBorder="1" applyAlignment="1">
      <alignment wrapText="1"/>
    </xf>
    <xf numFmtId="0" fontId="4" fillId="9" borderId="3" xfId="0" applyFont="1" applyFill="1" applyBorder="1" applyAlignment="1">
      <alignment horizontal="center" vertical="center" wrapText="1"/>
    </xf>
    <xf numFmtId="49" fontId="3" fillId="9" borderId="3" xfId="0" applyNumberFormat="1" applyFont="1" applyFill="1" applyBorder="1" applyAlignment="1">
      <alignment wrapText="1"/>
    </xf>
    <xf numFmtId="0" fontId="8" fillId="9" borderId="3" xfId="0" applyFont="1" applyFill="1" applyBorder="1" applyAlignment="1">
      <alignment horizontal="left" vertical="center" wrapText="1"/>
    </xf>
    <xf numFmtId="9" fontId="3" fillId="9" borderId="3" xfId="0" applyNumberFormat="1" applyFont="1" applyFill="1" applyBorder="1" applyAlignment="1">
      <alignment wrapText="1"/>
    </xf>
    <xf numFmtId="0" fontId="9" fillId="9" borderId="0" xfId="0" applyFont="1" applyFill="1"/>
    <xf numFmtId="0" fontId="7" fillId="9" borderId="0" xfId="0" applyFont="1" applyFill="1" applyAlignment="1">
      <alignment wrapText="1"/>
    </xf>
    <xf numFmtId="167" fontId="3" fillId="0" borderId="3" xfId="0" applyNumberFormat="1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0" fontId="8" fillId="0" borderId="3" xfId="0" applyFont="1" applyBorder="1" applyAlignment="1">
      <alignment horizontal="left" vertical="center" wrapText="1"/>
    </xf>
    <xf numFmtId="9" fontId="3" fillId="0" borderId="3" xfId="0" applyNumberFormat="1" applyFont="1" applyBorder="1" applyAlignment="1">
      <alignment wrapText="1"/>
    </xf>
    <xf numFmtId="0" fontId="10" fillId="0" borderId="0" xfId="0" applyFont="1"/>
    <xf numFmtId="49" fontId="3" fillId="0" borderId="4" xfId="0" applyNumberFormat="1" applyFont="1" applyBorder="1" applyAlignment="1">
      <alignment wrapText="1"/>
    </xf>
    <xf numFmtId="0" fontId="7" fillId="0" borderId="0" xfId="0" applyFont="1"/>
    <xf numFmtId="167" fontId="4" fillId="0" borderId="3" xfId="0" applyNumberFormat="1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3" fillId="0" borderId="0" xfId="0" applyFont="1"/>
    <xf numFmtId="9" fontId="11" fillId="0" borderId="0" xfId="0" applyNumberFormat="1" applyFont="1" applyAlignment="1">
      <alignment horizontal="right"/>
    </xf>
    <xf numFmtId="0" fontId="14" fillId="0" borderId="0" xfId="0" applyFont="1" applyAlignment="1">
      <alignment wrapText="1"/>
    </xf>
    <xf numFmtId="9" fontId="7" fillId="0" borderId="0" xfId="0" applyNumberFormat="1" applyFont="1"/>
    <xf numFmtId="0" fontId="15" fillId="0" borderId="0" xfId="0" applyFont="1"/>
    <xf numFmtId="0" fontId="1" fillId="0" borderId="0" xfId="0" applyFont="1"/>
    <xf numFmtId="0" fontId="1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3" fillId="0" borderId="2" xfId="0" applyFont="1" applyBorder="1"/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4" fillId="0" borderId="5" xfId="0" applyFont="1" applyBorder="1"/>
    <xf numFmtId="0" fontId="4" fillId="0" borderId="5" xfId="0" applyFont="1" applyBorder="1" applyAlignment="1">
      <alignment wrapText="1"/>
    </xf>
    <xf numFmtId="0" fontId="17" fillId="0" borderId="5" xfId="0" applyFont="1" applyBorder="1" applyAlignment="1">
      <alignment horizontal="center" vertical="top"/>
    </xf>
    <xf numFmtId="0" fontId="13" fillId="0" borderId="0" xfId="0" applyFont="1" applyAlignment="1">
      <alignment horizontal="right"/>
    </xf>
    <xf numFmtId="0" fontId="18" fillId="10" borderId="0" xfId="0" applyFont="1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hisetimes.com/top-400-2024/8-dominos/article_31b2e454-58b2-11ef-ba56-df462add9517.html?block_id=1855301" TargetMode="External"/><Relationship Id="rId13" Type="http://schemas.openxmlformats.org/officeDocument/2006/relationships/hyperlink" Target="https://www.franchisetimes.com/top-400-2024/13-pizza-hut/article_6610888e-565d-11ef-8579-ef23469cd95a.html?block_id=1855301" TargetMode="External"/><Relationship Id="rId18" Type="http://schemas.openxmlformats.org/officeDocument/2006/relationships/hyperlink" Target="https://www.franchisetimes.com/top-400-2024/18-dairy-queen/article_9791d284-5665-11ef-b898-879afb5e2054.html?block_id=1855301" TargetMode="External"/><Relationship Id="rId3" Type="http://schemas.openxmlformats.org/officeDocument/2006/relationships/hyperlink" Target="https://www.franchisetimes.com/top-400-2024/3-kfc/article_64418334-566a-11ef-9b51-9b41faf894de.html?block_id=1855301" TargetMode="External"/><Relationship Id="rId21" Type="http://schemas.openxmlformats.org/officeDocument/2006/relationships/hyperlink" Target="https://www.franchisetimes.com/top-400-2024/21-papa-johns/article_9621381c-5666-11ef-b58a-bb1986cff9b0.html?block_id=1855301" TargetMode="External"/><Relationship Id="rId7" Type="http://schemas.openxmlformats.org/officeDocument/2006/relationships/hyperlink" Target="https://www.franchisetimes.com/top-400-2024/7-subway/article_ddf85448-58b1-11ef-bc56-eb28f46f2a17.html?block_id=1855301" TargetMode="External"/><Relationship Id="rId12" Type="http://schemas.openxmlformats.org/officeDocument/2006/relationships/hyperlink" Target="https://www.franchisetimes.com/top-400-2024/12-dunkin/article_053eadb4-565e-11ef-b256-ef62e54df900.html?block_id=1855301" TargetMode="External"/><Relationship Id="rId17" Type="http://schemas.openxmlformats.org/officeDocument/2006/relationships/hyperlink" Target="https://www.franchisetimes.com/top-400-2024/17-popeyes-louisiana-kitchen/article_4a63f2e0-5664-11ef-9c6b-bfc1611e1794.html?block_id=1855301" TargetMode="External"/><Relationship Id="rId25" Type="http://schemas.openxmlformats.org/officeDocument/2006/relationships/hyperlink" Target="https://www.franchisetimes.com/top-400-2024/25-planet-fitness/article_1ff4a9b8-566a-11ef-8702-2fd79e89334c.html?block_id=1855301" TargetMode="External"/><Relationship Id="rId2" Type="http://schemas.openxmlformats.org/officeDocument/2006/relationships/hyperlink" Target="https://www.franchisetimes.com/top-400-2024/2-7-eleven/article_f9199c4e-5665-11ef-9c03-97a80c626518.html?block_id=1855301" TargetMode="External"/><Relationship Id="rId16" Type="http://schemas.openxmlformats.org/officeDocument/2006/relationships/hyperlink" Target="https://www.franchisetimes.com/top-400-2024/16-tim-hortons/article_ceff4c44-5663-11ef-8ea2-83ab077a74c0.html?block_id=1855301" TargetMode="External"/><Relationship Id="rId20" Type="http://schemas.openxmlformats.org/officeDocument/2006/relationships/hyperlink" Target="https://www.franchisetimes.com/top-400-2024/20-sonic-drive-in/article_0954cdea-5666-11ef-ae9a-27e683fb4086.html?block_id=1855301" TargetMode="External"/><Relationship Id="rId1" Type="http://schemas.openxmlformats.org/officeDocument/2006/relationships/hyperlink" Target="https://www.franchisetimes.com/top-400-2024/1-mcdonald-s/article_14c11e4c-5655-11ef-a6d6-fbc5a1b08153.html?block_id=1855301" TargetMode="External"/><Relationship Id="rId6" Type="http://schemas.openxmlformats.org/officeDocument/2006/relationships/hyperlink" Target="https://www.franchisetimes.com/top-400-2024/6-chick-fil-a/article_8c8a2348-58b1-11ef-8b3b-575419b7d821.html?block_id=1855301" TargetMode="External"/><Relationship Id="rId11" Type="http://schemas.openxmlformats.org/officeDocument/2006/relationships/hyperlink" Target="https://www.franchisetimes.com/top-400-2024/11-wendy-s/article_12fa84ba-565d-11ef-ad0d-97408dc30b89.html?block_id=1855301" TargetMode="External"/><Relationship Id="rId24" Type="http://schemas.openxmlformats.org/officeDocument/2006/relationships/hyperlink" Target="https://www.franchisetimes.com/top-400-2024/24-servpro/article_e4fad75a-566a-11ef-ae1d-3ff2edcb5729.html?block_id=1855301" TargetMode="External"/><Relationship Id="rId5" Type="http://schemas.openxmlformats.org/officeDocument/2006/relationships/hyperlink" Target="https://www.franchisetimes.com/top-400-2024/5-ace-hardware/article_c43e81fe-58b0-11ef-ab9f-4ff1198d5729.html?block_id=1855301" TargetMode="External"/><Relationship Id="rId15" Type="http://schemas.openxmlformats.org/officeDocument/2006/relationships/hyperlink" Target="https://www.franchisetimes.com/top-400-2024/15-keller-williams-realty/article_dcd04788-565e-11ef-a99a-034fe92e1b94.html?block_id=1855301" TargetMode="External"/><Relationship Id="rId23" Type="http://schemas.openxmlformats.org/officeDocument/2006/relationships/hyperlink" Target="https://www.franchisetimes.com/top-400-2024/23-applebee-s/article_e30e166c-5667-11ef-980b-c733c160e96e.html?block_id=1855301" TargetMode="External"/><Relationship Id="rId10" Type="http://schemas.openxmlformats.org/officeDocument/2006/relationships/hyperlink" Target="https://www.franchisetimes.com/top-400-2024/10-taco-bell/article_1bbfd5cc-5659-11ef-817a-9710858b5996.html?block_id=1855301" TargetMode="External"/><Relationship Id="rId19" Type="http://schemas.openxmlformats.org/officeDocument/2006/relationships/hyperlink" Target="https://www.franchisetimes.com/top-400-2024/19-panera-bread/article_0c1d7b6e-5664-11ef-a3d6-b3e7c99d2d39.html?block_id=1855301" TargetMode="External"/><Relationship Id="rId4" Type="http://schemas.openxmlformats.org/officeDocument/2006/relationships/hyperlink" Target="https://www.franchisetimes.com/top-400-2024/4-burger-king/article_7dc7491c-566d-11ef-bafe-fb84dc8479e0.html?block_id=1855301" TargetMode="External"/><Relationship Id="rId9" Type="http://schemas.openxmlformats.org/officeDocument/2006/relationships/hyperlink" Target="https://www.franchisetimes.com/top-400-2024/9-circle-k/article_8a1d26e0-58b2-11ef-8ddd-eb600afb8dff.html?block_id=1855301" TargetMode="External"/><Relationship Id="rId14" Type="http://schemas.openxmlformats.org/officeDocument/2006/relationships/hyperlink" Target="https://www.franchisetimes.com/top-400-2024/14-re-max/article_b4f3bef8-565d-11ef-a586-fbd6341d194f.html?block_id=1855301" TargetMode="External"/><Relationship Id="rId22" Type="http://schemas.openxmlformats.org/officeDocument/2006/relationships/hyperlink" Target="https://www.franchisetimes.com/top-400-2024/22-arby-s/article_d9591cb2-5666-11ef-8b4e-c7b232dd2fbb.html?block_id=185530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hisetimes.com/top-400-2024/33-wingstop/article_be450fc0-566c-11ef-832e-13b014e60ef8.html" TargetMode="External"/><Relationship Id="rId3" Type="http://schemas.openxmlformats.org/officeDocument/2006/relationships/hyperlink" Target="https://www.franchisetimes.com/top-400-2024/28-express-employment-professionals/article_26f2a956-5668-11ef-993f-3f89b493bd47.html" TargetMode="External"/><Relationship Id="rId7" Type="http://schemas.openxmlformats.org/officeDocument/2006/relationships/hyperlink" Target="https://www.franchisetimes.com/top-400-2024/32-ihop/article_5a12f3ec-566b-11ef-9917-c3dfc75e944f.html" TargetMode="External"/><Relationship Id="rId2" Type="http://schemas.openxmlformats.org/officeDocument/2006/relationships/hyperlink" Target="https://www.franchisetimes.com/top-400-2024/27-jack-in-the-box/article_a9093086-5668-11ef-8503-6bc96d327c76.html" TargetMode="External"/><Relationship Id="rId1" Type="http://schemas.openxmlformats.org/officeDocument/2006/relationships/hyperlink" Target="https://www.franchisetimes.com/top-400-2024/26-chilis/article_67d6fca6-5668-11ef-9c7c-03e75a70ff0b.html" TargetMode="External"/><Relationship Id="rId6" Type="http://schemas.openxmlformats.org/officeDocument/2006/relationships/hyperlink" Target="https://www.franchisetimes.com/top-400-2024/31-whataburger/article_9fdab0d6-566b-11ef-906d-8fdec8cbb389.html" TargetMode="External"/><Relationship Id="rId5" Type="http://schemas.openxmlformats.org/officeDocument/2006/relationships/hyperlink" Target="https://www.franchisetimes.com/top-400-2024/30-the-ups-store/article_a7dae626-566a-11ef-a177-ab1a9a1d4c41.html" TargetMode="External"/><Relationship Id="rId4" Type="http://schemas.openxmlformats.org/officeDocument/2006/relationships/hyperlink" Target="https://www.franchisetimes.com/top-400-2024/29-buffalo-wild-wings/article_a86b27f0-5669-11ef-9025-db98ee832093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ranchisetimes.com/top-400-2024/91-color-glo-international/article_a79906d0-58b2-11ef-9c53-e74b013cb04b.html" TargetMode="External"/><Relationship Id="rId299" Type="http://schemas.openxmlformats.org/officeDocument/2006/relationships/hyperlink" Target="https://www.franchisetimes.com/top-400-2024/272-great-american-cookies/article_d8d9c6d0-5669-11ef-85bd-5f89d157f86e.html" TargetMode="External"/><Relationship Id="rId21" Type="http://schemas.openxmlformats.org/officeDocument/2006/relationships/hyperlink" Target="https://www.franchisetimes.com/top-400-2024/11-wendy-s/article_12fa84ba-565d-11ef-ad0d-97408dc30b89.html" TargetMode="External"/><Relationship Id="rId63" Type="http://schemas.openxmlformats.org/officeDocument/2006/relationships/hyperlink" Target="https://www.google.com/search?q=Jimmy%20John%E2%80%99s%20franchise%20times%20site%3Afranchisetimes.com%2Ftop-400-2024" TargetMode="External"/><Relationship Id="rId159" Type="http://schemas.openxmlformats.org/officeDocument/2006/relationships/hyperlink" Target="https://www.franchisetimes.com/top-400-2024/132-precision-door-service/article_c5e0e550-565e-11ef-87f0-ab76c0af265b.html" TargetMode="External"/><Relationship Id="rId324" Type="http://schemas.openxmlformats.org/officeDocument/2006/relationships/hyperlink" Target="https://www.franchisetimes.com/top-400-2024/297-tide-dry-cleaners/article_72c892a0-5668-11ef-9156-1b292cb82075.html" TargetMode="External"/><Relationship Id="rId366" Type="http://schemas.openxmlformats.org/officeDocument/2006/relationships/hyperlink" Target="https://www.franchisetimes.com/top-400-2024/339-workout-anytime/article_f66f528a-566b-11ef-b8ce-e7624c4e5b12.html" TargetMode="External"/><Relationship Id="rId170" Type="http://schemas.openxmlformats.org/officeDocument/2006/relationships/hyperlink" Target="https://www.franchisetimes.com/top-400-2024/143-aamco-transmission/article_b7c71aca-5663-11ef-99dc-1f28fda891f4.html" TargetMode="External"/><Relationship Id="rId226" Type="http://schemas.openxmlformats.org/officeDocument/2006/relationships/hyperlink" Target="https://www.franchisetimes.com/top-400-2024/199-fazoli-s/article_163d45dc-5666-11ef-b70d-2badb5458ec5.html" TargetMode="External"/><Relationship Id="rId268" Type="http://schemas.openxmlformats.org/officeDocument/2006/relationships/hyperlink" Target="https://www.franchisetimes.com/top-400-2024/241-superior-fence-rail/article_fd458cb0-566a-11ef-bcc5-6be50b44db35.html" TargetMode="External"/><Relationship Id="rId32" Type="http://schemas.openxmlformats.org/officeDocument/2006/relationships/hyperlink" Target="https://www.google.com/search?q=Popeyes%20Louisiana%20Kitchen%20franchise%20times%20site%3Afranchisetimes.com%2Ftop-400-2024" TargetMode="External"/><Relationship Id="rId74" Type="http://schemas.openxmlformats.org/officeDocument/2006/relationships/hyperlink" Target="https://www.franchisetimes.com/top-400-2024/53-bojangles-famous-chicken-n-biscuits/article_77ca61ca-58b1-11ef-9f47-2f6d959c0807.html" TargetMode="External"/><Relationship Id="rId128" Type="http://schemas.openxmlformats.org/officeDocument/2006/relationships/hyperlink" Target="https://www.franchisetimes.com/top-400-2024/101-nothing-bundt-cakes/article_a45b4692-565d-11ef-9d1b-3bae92dd8aa1.html" TargetMode="External"/><Relationship Id="rId335" Type="http://schemas.openxmlformats.org/officeDocument/2006/relationships/hyperlink" Target="https://www.franchisetimes.com/top-400-2024/308-massage-heights/article_6fca3624-566a-11ef-ab4e-5f60e0ccf799.html" TargetMode="External"/><Relationship Id="rId377" Type="http://schemas.openxmlformats.org/officeDocument/2006/relationships/hyperlink" Target="https://www.franchisetimes.com/top-400-2024/350-cousins-subs/article_2c67d7d6-566c-11ef-9772-afb5528c3b5b.html" TargetMode="External"/><Relationship Id="rId5" Type="http://schemas.openxmlformats.org/officeDocument/2006/relationships/hyperlink" Target="https://www.google.com/search?q=KFC%20franchise%20times%20site%3Afranchisetimes.com%2Ftop-400-2024" TargetMode="External"/><Relationship Id="rId181" Type="http://schemas.openxmlformats.org/officeDocument/2006/relationships/hyperlink" Target="https://www.franchisetimes.com/top-400-2024/154-puroclean/article_c20abdc8-5665-11ef-a63d-8ba7a45c8fef.html" TargetMode="External"/><Relationship Id="rId237" Type="http://schemas.openxmlformats.org/officeDocument/2006/relationships/hyperlink" Target="https://www.franchisetimes.com/top-400-2024/210-college-hunks-hauling-junk/article_9d6de5fc-5666-11ef-bce9-a763270fd396.html" TargetMode="External"/><Relationship Id="rId402" Type="http://schemas.openxmlformats.org/officeDocument/2006/relationships/hyperlink" Target="https://www.franchisetimes.com/top-400-2024/375-five-star-bath-solutions/article_2e15571e-566e-11ef-a0c9-bb3f6716ecf0.html" TargetMode="External"/><Relationship Id="rId279" Type="http://schemas.openxmlformats.org/officeDocument/2006/relationships/hyperlink" Target="https://www.franchisetimes.com/top-400-2024/252-dogtopia/article_9cd46f9c-5668-11ef-87e1-8b878f6deae5.html" TargetMode="External"/><Relationship Id="rId43" Type="http://schemas.openxmlformats.org/officeDocument/2006/relationships/hyperlink" Target="https://www.google.com/search?q=Planet%20Fitness%20franchise%20times%20site%3Afranchisetimes.com%2Ftop-400-2024" TargetMode="External"/><Relationship Id="rId139" Type="http://schemas.openxmlformats.org/officeDocument/2006/relationships/hyperlink" Target="https://www.franchisetimes.com/top-400-2024/112-jason-s-deli/article_a97ec766-565d-11ef-b71e-738847f05a30.html" TargetMode="External"/><Relationship Id="rId290" Type="http://schemas.openxmlformats.org/officeDocument/2006/relationships/hyperlink" Target="https://www.franchisetimes.com/top-400-2024/263-mr-electric/article_8c7ef360-5668-11ef-81ad-27d8c442b7a6.html" TargetMode="External"/><Relationship Id="rId304" Type="http://schemas.openxmlformats.org/officeDocument/2006/relationships/hyperlink" Target="https://www.franchisetimes.com/top-400-2024/277-qc-kinetix/article_648ef604-566b-11ef-b1fc-5bed0914ee3b.html" TargetMode="External"/><Relationship Id="rId346" Type="http://schemas.openxmlformats.org/officeDocument/2006/relationships/hyperlink" Target="https://www.franchisetimes.com/top-400-2024/319-fully-promoted/article_807461d8-566b-11ef-8a17-6f753e0a475d.html" TargetMode="External"/><Relationship Id="rId388" Type="http://schemas.openxmlformats.org/officeDocument/2006/relationships/hyperlink" Target="https://www.franchisetimes.com/top-400-2024/361-1-800-water-damage/article_c208c6d2-566d-11ef-b7ff-c3b7af5208f8.html" TargetMode="External"/><Relationship Id="rId85" Type="http://schemas.openxmlformats.org/officeDocument/2006/relationships/hyperlink" Target="https://www.franchisetimes.com/top-400-2024/63-the-goddard-school/article_e897cd84-58b1-11ef-9854-2731cfd7e36a.html" TargetMode="External"/><Relationship Id="rId150" Type="http://schemas.openxmlformats.org/officeDocument/2006/relationships/hyperlink" Target="https://www.franchisetimes.com/top-400-2024/123-coverall/article_de661cc2-565d-11ef-aafb-33c8d13a6469.html" TargetMode="External"/><Relationship Id="rId192" Type="http://schemas.openxmlformats.org/officeDocument/2006/relationships/hyperlink" Target="https://www.franchisetimes.com/top-400-2024/165-daves-hot-chicken/article_23cae088-5666-11ef-9564-fb559bcd5899.html" TargetMode="External"/><Relationship Id="rId206" Type="http://schemas.openxmlformats.org/officeDocument/2006/relationships/hyperlink" Target="https://www.franchisetimes.com/top-400-2024/179-mathnasium-learning-centers/article_b1a870f6-5665-11ef-9a71-4f795cc58b92.html" TargetMode="External"/><Relationship Id="rId413" Type="http://schemas.openxmlformats.org/officeDocument/2006/relationships/hyperlink" Target="https://www.franchisetimes.com/top-400-2024/386-rock-n-roll-sushi/article_87cfd3fc-566d-11ef-ad46-47e5f38c9085.html" TargetMode="External"/><Relationship Id="rId248" Type="http://schemas.openxmlformats.org/officeDocument/2006/relationships/hyperlink" Target="https://www.franchisetimes.com/top-400-2024/221-glass-doctor/article_c1a690da-5667-11ef-b5dd-4b71e5226002.html" TargetMode="External"/><Relationship Id="rId12" Type="http://schemas.openxmlformats.org/officeDocument/2006/relationships/hyperlink" Target="https://www.franchisetimes.com/top-400-2024/6-chick-fil-a/article_8c8a2348-58b1-11ef-8b3b-575419b7d821.html" TargetMode="External"/><Relationship Id="rId108" Type="http://schemas.openxmlformats.org/officeDocument/2006/relationships/hyperlink" Target="https://www.franchisetimes.com/top-400-2024/83-keystone-insurers-group/article_cc73ae54-565c-11ef-a40c-172440891497.html" TargetMode="External"/><Relationship Id="rId315" Type="http://schemas.openxmlformats.org/officeDocument/2006/relationships/hyperlink" Target="https://www.franchisetimes.com/top-400-2024/288-postnet/article_45473a78-566a-11ef-84e3-970649ba61a3.html" TargetMode="External"/><Relationship Id="rId357" Type="http://schemas.openxmlformats.org/officeDocument/2006/relationships/hyperlink" Target="https://www.franchisetimes.com/top-400-2024/330-mighty-dog-roofing/article_53bc324c-566b-11ef-acf7-77e6c5817cf0.html" TargetMode="External"/><Relationship Id="rId54" Type="http://schemas.openxmlformats.org/officeDocument/2006/relationships/hyperlink" Target="https://www.franchisetimes.com/top-400-2024/34-jersey-mike-s-subs/article_408addd4-566d-11ef-8633-8f9b688b3f15.html" TargetMode="External"/><Relationship Id="rId96" Type="http://schemas.openxmlformats.org/officeDocument/2006/relationships/hyperlink" Target="https://www.franchisetimes.com/top-400-2024/73-el-pollo-loco/article_1152ca58-58b2-11ef-bfb6-c784c9e4b9b9.html" TargetMode="External"/><Relationship Id="rId161" Type="http://schemas.openxmlformats.org/officeDocument/2006/relationships/hyperlink" Target="https://www.franchisetimes.com/top-400-2024/134-minuteman-press/article_cb416a60-565e-11ef-8c6d-bbfa79832101.html" TargetMode="External"/><Relationship Id="rId217" Type="http://schemas.openxmlformats.org/officeDocument/2006/relationships/hyperlink" Target="https://www.franchisetimes.com/top-400-2024/190-the-original-pancake-house/article_6b7ceaca-5666-11ef-a514-a773ccfec94b.html" TargetMode="External"/><Relationship Id="rId399" Type="http://schemas.openxmlformats.org/officeDocument/2006/relationships/hyperlink" Target="https://www.franchisetimes.com/top-400-2024/372-100-chiropractic/article_1abcdf44-566d-11ef-8da1-63ab04303f9e.html" TargetMode="External"/><Relationship Id="rId259" Type="http://schemas.openxmlformats.org/officeDocument/2006/relationships/hyperlink" Target="https://www.franchisetimes.com/top-400-2024/232-l-l-hawaiian-barbecue/article_2d226bae-5668-11ef-988d-b7d389ca3071.html" TargetMode="External"/><Relationship Id="rId424" Type="http://schemas.openxmlformats.org/officeDocument/2006/relationships/hyperlink" Target="https://www.franchisetimes.com/top-400-2024/397-flylock-security-solutions/article_0770a302-566e-11ef-9378-031af7e427e3.html" TargetMode="External"/><Relationship Id="rId23" Type="http://schemas.openxmlformats.org/officeDocument/2006/relationships/hyperlink" Target="https://www.franchisetimes.com/top-400-2024/12-dunkin/article_053eadb4-565e-11ef-b256-ef62e54df900.html" TargetMode="External"/><Relationship Id="rId119" Type="http://schemas.openxmlformats.org/officeDocument/2006/relationships/hyperlink" Target="https://www.franchisetimes.com/top-400-2024/93-pollo-campero/article_0b858f40-565d-11ef-a161-cbe36ec7d18d.html" TargetMode="External"/><Relationship Id="rId270" Type="http://schemas.openxmlformats.org/officeDocument/2006/relationships/hyperlink" Target="https://www.franchisetimes.com/top-400-2024/243-crdn/article_e32ff1aa-5668-11ef-9729-a7949b6543a3.html" TargetMode="External"/><Relationship Id="rId326" Type="http://schemas.openxmlformats.org/officeDocument/2006/relationships/hyperlink" Target="https://www.franchisetimes.com/top-400-2024/299-capriotti-s/article_7eaf06ba-566a-11ef-84d9-db12769d17f4.html" TargetMode="External"/><Relationship Id="rId65" Type="http://schemas.openxmlformats.org/officeDocument/2006/relationships/hyperlink" Target="https://www.franchisetimes.com/top-400-2024/44-zaxby-s/article_0e1156e2-566f-11ef-9d53-b3f69b05a14c.html" TargetMode="External"/><Relationship Id="rId130" Type="http://schemas.openxmlformats.org/officeDocument/2006/relationships/hyperlink" Target="https://www.franchisetimes.com/top-400-2024/103-moe-s-southwest-grill/article_f0ce37ce-565c-11ef-8692-c3ffd387c3e4.html" TargetMode="External"/><Relationship Id="rId368" Type="http://schemas.openxmlformats.org/officeDocument/2006/relationships/hyperlink" Target="https://www.franchisetimes.com/top-400-2024/341-clothes-mentor/article_c0d1b6c2-566b-11ef-ae5d-e3fdd65fe4ed.html" TargetMode="External"/><Relationship Id="rId172" Type="http://schemas.openxmlformats.org/officeDocument/2006/relationships/hyperlink" Target="https://www.franchisetimes.com/top-400-2024/145-jamba/article_a2ac077c-5663-11ef-8f9a-eb0e2da44a1e.html" TargetMode="External"/><Relationship Id="rId228" Type="http://schemas.openxmlformats.org/officeDocument/2006/relationships/hyperlink" Target="https://www.franchisetimes.com/top-400-2024/201-wild-birds-unlimited/article_1e73afa2-5666-11ef-8b1e-639bd4f7fff9.html" TargetMode="External"/><Relationship Id="rId281" Type="http://schemas.openxmlformats.org/officeDocument/2006/relationships/hyperlink" Target="https://www.franchisetimes.com/top-400-2024/254-andys-frozen-custard/article_ced8c6fe-5669-11ef-a755-d70ead688c84.html" TargetMode="External"/><Relationship Id="rId337" Type="http://schemas.openxmlformats.org/officeDocument/2006/relationships/hyperlink" Target="https://www.franchisetimes.com/top-400-2024/402-mosquito-authority/article_78bdbde8-566d-11ef-b9c5-77daa241cb28.html" TargetMode="External"/><Relationship Id="rId34" Type="http://schemas.openxmlformats.org/officeDocument/2006/relationships/hyperlink" Target="https://www.google.com/search?q=Dairy%20Queen%20franchise%20times%20site%3Afranchisetimes.com%2Ftop-400-2024" TargetMode="External"/><Relationship Id="rId76" Type="http://schemas.openxmlformats.org/officeDocument/2006/relationships/hyperlink" Target="https://www.franchisetimes.com/top-400-2024/55-roto-rooter/article_7f7df486-58b1-11ef-bf09-cf84f52cce24.html" TargetMode="External"/><Relationship Id="rId141" Type="http://schemas.openxmlformats.org/officeDocument/2006/relationships/hyperlink" Target="https://www.franchisetimes.com/top-400-2024/114-the-learning-experience/article_f64bd372-565d-11ef-8150-63ac5c46f59a.html" TargetMode="External"/><Relationship Id="rId379" Type="http://schemas.openxmlformats.org/officeDocument/2006/relationships/hyperlink" Target="https://www.franchisetimes.com/top-400-2024/352-transworld-business-advisors/article_00705342-566c-11ef-bf17-ab34b57d42b4.html" TargetMode="External"/><Relationship Id="rId7" Type="http://schemas.openxmlformats.org/officeDocument/2006/relationships/hyperlink" Target="https://www.google.com/search?q=Burger%20King%20franchise%20times%20site%3Afranchisetimes.com%2Ftop-400-2024" TargetMode="External"/><Relationship Id="rId183" Type="http://schemas.openxmlformats.org/officeDocument/2006/relationships/hyperlink" Target="https://www.franchisetimes.com/top-400-2024/97-papa-murphys/article_65d13330-565a-11ef-91b7-af6f3a2b81ab.html" TargetMode="External"/><Relationship Id="rId239" Type="http://schemas.openxmlformats.org/officeDocument/2006/relationships/hyperlink" Target="https://www.franchisetimes.com/top-400-2024/212-buddys-home-furnishing/article_49331476-5666-11ef-8052-e381efd44c9c.html" TargetMode="External"/><Relationship Id="rId390" Type="http://schemas.openxmlformats.org/officeDocument/2006/relationships/hyperlink" Target="https://www.franchisetimes.com/top-400-2024/363-dog-haus/article_ae773690-566c-11ef-9664-efcd7ec3172e.html" TargetMode="External"/><Relationship Id="rId404" Type="http://schemas.openxmlformats.org/officeDocument/2006/relationships/hyperlink" Target="https://www.franchisetimes.com/top-400-2024/377-roy-rogers/article_a4e2259a-566c-11ef-8d90-ef2022733d1a.html" TargetMode="External"/><Relationship Id="rId250" Type="http://schemas.openxmlformats.org/officeDocument/2006/relationships/hyperlink" Target="https://www.franchisetimes.com/top-400-2024/223-allegra-marketing-print-mail/article_b42fbb58-5666-11ef-8995-7335a98bb341.html" TargetMode="External"/><Relationship Id="rId292" Type="http://schemas.openxmlformats.org/officeDocument/2006/relationships/hyperlink" Target="https://www.franchisetimes.com/top-400-2024/265-wings-rings/article_251cabf2-566a-11ef-9533-d3da8af3d28d.html" TargetMode="External"/><Relationship Id="rId306" Type="http://schemas.openxmlformats.org/officeDocument/2006/relationships/hyperlink" Target="https://www.franchisetimes.com/top-400-2024/279-assisting-hands-home-care/article_5ea3ebe2-566a-11ef-8a2c-8b5b4540fe2f.html" TargetMode="External"/><Relationship Id="rId45" Type="http://schemas.openxmlformats.org/officeDocument/2006/relationships/hyperlink" Target="https://www.franchisetimes.com/top-400-2024/26-chilis/article_67d6fca6-5668-11ef-9c7c-03e75a70ff0b.html" TargetMode="External"/><Relationship Id="rId87" Type="http://schemas.openxmlformats.org/officeDocument/2006/relationships/hyperlink" Target="https://www.franchisetimes.com/top-400-2024/65-big-o-tires/article_028d2ec8-58b2-11ef-982f-7f308e174e41.html" TargetMode="External"/><Relationship Id="rId110" Type="http://schemas.openxmlformats.org/officeDocument/2006/relationships/hyperlink" Target="https://www.franchisetimes.com/top-400-2024/475-advantaclean/article_1d7fc334-566f-11ef-ab33-cb913a0b824e.html" TargetMode="External"/><Relationship Id="rId348" Type="http://schemas.openxmlformats.org/officeDocument/2006/relationships/hyperlink" Target="https://www.franchisetimes.com/top-400-2024/321-speedpro/article_704adee0-566b-11ef-b331-4bfd12fb874a.html" TargetMode="External"/><Relationship Id="rId152" Type="http://schemas.openxmlformats.org/officeDocument/2006/relationships/hyperlink" Target="https://www.franchisetimes.com/top-400-2024/125-pearle-vision/article_cbdcbfa2-565d-11ef-a5dd-cfaf6daf9c55.html" TargetMode="External"/><Relationship Id="rId194" Type="http://schemas.openxmlformats.org/officeDocument/2006/relationships/hyperlink" Target="https://www.franchisetimes.com/top-400-2024/167-logans-roadhouse/article_fc964258-565d-11ef-a173-df5f92e65f54.html" TargetMode="External"/><Relationship Id="rId208" Type="http://schemas.openxmlformats.org/officeDocument/2006/relationships/hyperlink" Target="https://www.franchisetimes.com/top-400-2024/181-bonchon/article_72040fce-5664-11ef-9a49-8fa8b9440f81.html" TargetMode="External"/><Relationship Id="rId415" Type="http://schemas.openxmlformats.org/officeDocument/2006/relationships/hyperlink" Target="https://www.franchisetimes.com/top-400-2024/388-the-lash-lounge/article_20751e6a-566d-11ef-8bee-b7c0da190cb7.html" TargetMode="External"/><Relationship Id="rId261" Type="http://schemas.openxmlformats.org/officeDocument/2006/relationships/hyperlink" Target="https://www.franchisetimes.com/top-400-2024/234-huddle-house/article_d309473c-5667-11ef-886b-cb42b01cfcb1.html" TargetMode="External"/><Relationship Id="rId14" Type="http://schemas.openxmlformats.org/officeDocument/2006/relationships/hyperlink" Target="https://www.franchisetimes.com/top-400-2024/7-subway/article_ddf85448-58b1-11ef-bc56-eb28f46f2a17.html" TargetMode="External"/><Relationship Id="rId56" Type="http://schemas.openxmlformats.org/officeDocument/2006/relationships/hyperlink" Target="https://www.franchisetimes.com/top-400-2024/36-berkshire-hathaway-homeservices/article_69d6e4a6-566a-11ef-8d99-377f493d0e18.html" TargetMode="External"/><Relationship Id="rId317" Type="http://schemas.openxmlformats.org/officeDocument/2006/relationships/hyperlink" Target="https://www.franchisetimes.com/top-400-2024/290-dale-carnegie-training/article_5479161a-566a-11ef-95c9-3794a52e2001.html" TargetMode="External"/><Relationship Id="rId359" Type="http://schemas.openxmlformats.org/officeDocument/2006/relationships/hyperlink" Target="https://www.franchisetimes.com/top-400-2024/332-dream-vacations/article_988aab28-566c-11ef-b2b6-ebba87c1e248.html" TargetMode="External"/><Relationship Id="rId98" Type="http://schemas.openxmlformats.org/officeDocument/2006/relationships/hyperlink" Target="https://www.google.com/search?q=TOUS%20les%20JOURS%20franchise%20times%20site%3Afranchisetimes.com%2Ftop-400-2024" TargetMode="External"/><Relationship Id="rId121" Type="http://schemas.openxmlformats.org/officeDocument/2006/relationships/hyperlink" Target="https://www.google.com/search?q=Sport%20Clips%20franchise%20times%20site%3Afranchisetimes.com%2Ftop-400-2024" TargetMode="External"/><Relationship Id="rId163" Type="http://schemas.openxmlformats.org/officeDocument/2006/relationships/hyperlink" Target="https://www.franchisetimes.com/top-400-2024/136-maaco/article_16e3912e-565e-11ef-ba99-f3a387ebacf9.html" TargetMode="External"/><Relationship Id="rId219" Type="http://schemas.openxmlformats.org/officeDocument/2006/relationships/hyperlink" Target="https://www.franchisetimes.com/top-400-2024/192-the-cleaning-authority/article_1016e0e6-5666-11ef-9b08-df82a60e7036.html" TargetMode="External"/><Relationship Id="rId370" Type="http://schemas.openxmlformats.org/officeDocument/2006/relationships/hyperlink" Target="https://www.franchisetimes.com/top-400-2024/343-primo-hoagies/article_275cad02-566c-11ef-b8b5-278bfcf4692b.html" TargetMode="External"/><Relationship Id="rId426" Type="http://schemas.openxmlformats.org/officeDocument/2006/relationships/hyperlink" Target="https://www.franchisetimes.com/top-400-2024/399-the-junkluggers/article_91fac24c-566d-11ef-93b0-c75253fea08c.html" TargetMode="External"/><Relationship Id="rId230" Type="http://schemas.openxmlformats.org/officeDocument/2006/relationships/hyperlink" Target="https://www.franchisetimes.com/top-400-2024/203-aire-serv/article_8a81819c-5666-11ef-987d-3b01007d1cb9.html" TargetMode="External"/><Relationship Id="rId25" Type="http://schemas.openxmlformats.org/officeDocument/2006/relationships/hyperlink" Target="https://www.franchisetimes.com/top-400-2024/13-pizza-hut/article_6610888e-565d-11ef-8579-ef23469cd95a.html" TargetMode="External"/><Relationship Id="rId67" Type="http://schemas.openxmlformats.org/officeDocument/2006/relationships/hyperlink" Target="https://www.franchisetimes.com/top-400-2024/46-jiffy-lube/article_cbea613e-58b0-11ef-a284-1bbc2dac3c22.html" TargetMode="External"/><Relationship Id="rId272" Type="http://schemas.openxmlformats.org/officeDocument/2006/relationships/hyperlink" Target="https://www.franchisetimes.com/top-400-2024/245-precision-tune-auto-care/article_4440ef36-5668-11ef-8b97-077e51d7b6de.html" TargetMode="External"/><Relationship Id="rId328" Type="http://schemas.openxmlformats.org/officeDocument/2006/relationships/hyperlink" Target="https://www.franchisetimes.com/top-400-2024/301-cmit-solutions/article_bf96a9da-566a-11ef-8f83-63c021c268ad.html" TargetMode="External"/><Relationship Id="rId132" Type="http://schemas.openxmlformats.org/officeDocument/2006/relationships/hyperlink" Target="https://www.franchisetimes.com/top-400-2024/105-smoothie-king/article_7f65ea72-565d-11ef-b20a-6bc9de6b5910.html" TargetMode="External"/><Relationship Id="rId174" Type="http://schemas.openxmlformats.org/officeDocument/2006/relationships/hyperlink" Target="https://www.franchisetimes.com/top-400-2024/147-once-upon-a-child/article_da556d62-5663-11ef-aa2d-eb43fd23e0fa.html" TargetMode="External"/><Relationship Id="rId381" Type="http://schemas.openxmlformats.org/officeDocument/2006/relationships/hyperlink" Target="https://www.franchisetimes.com/top-400-2024/354-pizza-guys/article_fba5b14a-566b-11ef-bfeb-8768a4c9b83e.html" TargetMode="External"/><Relationship Id="rId241" Type="http://schemas.openxmlformats.org/officeDocument/2006/relationships/hyperlink" Target="https://www.franchisetimes.com/top-400-2024/214-comforcare-home-care/article_b9ce4b1a-5666-11ef-97a6-63562220e697.html" TargetMode="External"/><Relationship Id="rId36" Type="http://schemas.openxmlformats.org/officeDocument/2006/relationships/hyperlink" Target="https://www.franchisetimes.com/top-400-2024/19-panera-bread/article_0c1d7b6e-5664-11ef-a3d6-b3e7c99d2d39.html" TargetMode="External"/><Relationship Id="rId283" Type="http://schemas.openxmlformats.org/officeDocument/2006/relationships/hyperlink" Target="https://www.franchisetimes.com/top-400-2024/256-old-chicago-pizza-taproom/article_c65d704a-5666-11ef-8015-23661430f79e.html" TargetMode="External"/><Relationship Id="rId339" Type="http://schemas.openxmlformats.org/officeDocument/2006/relationships/hyperlink" Target="https://www.franchisetimes.com/top-400-2024/312-salata/article_79dcf674-566a-11ef-854a-fba7fc08cf6f.html" TargetMode="External"/><Relationship Id="rId78" Type="http://schemas.openxmlformats.org/officeDocument/2006/relationships/hyperlink" Target="https://www.google.com/search?q=HomeVestors%20franchise%20times%20site%3Afranchisetimes.com%2Ftop-400-2024" TargetMode="External"/><Relationship Id="rId101" Type="http://schemas.openxmlformats.org/officeDocument/2006/relationships/hyperlink" Target="https://www.franchisetimes.com/top-400-2024/76-bostons-pizza/article_82cceccc-58b2-11ef-9516-6b85543db3fc.html" TargetMode="External"/><Relationship Id="rId143" Type="http://schemas.openxmlformats.org/officeDocument/2006/relationships/hyperlink" Target="https://www.franchisetimes.com/top-400-2024/116-plato-s-closet/article_7096aefa-565d-11ef-bcf8-67b68b9f7320.html" TargetMode="External"/><Relationship Id="rId185" Type="http://schemas.openxmlformats.org/officeDocument/2006/relationships/hyperlink" Target="https://www.franchisetimes.com/top-400-2024/158-taco-john-s/article_119e0090-5664-11ef-9a2e-bb4ed23886e7.html" TargetMode="External"/><Relationship Id="rId350" Type="http://schemas.openxmlformats.org/officeDocument/2006/relationships/hyperlink" Target="https://www.franchisetimes.com/top-400-2024/323-frsteam/article_def47014-566a-11ef-96a9-a3532ded681a.html" TargetMode="External"/><Relationship Id="rId406" Type="http://schemas.openxmlformats.org/officeDocument/2006/relationships/hyperlink" Target="https://www.franchisetimes.com/top-400-2024/379-british-swim-school/article_42e939f8-566e-11ef-beb5-7fdb29ee4690.html" TargetMode="External"/><Relationship Id="rId9" Type="http://schemas.openxmlformats.org/officeDocument/2006/relationships/hyperlink" Target="https://www.google.com/search?q=Ace%20Hardware%20franchise%20times%20site%3Afranchisetimes.com%2Ftop-400-2024" TargetMode="External"/><Relationship Id="rId210" Type="http://schemas.openxmlformats.org/officeDocument/2006/relationships/hyperlink" Target="https://www.franchisetimes.com/top-400-2024/183-alphagraphics/article_b0c27da0-5663-11ef-ab40-df6a5aabdd01.html" TargetMode="External"/><Relationship Id="rId392" Type="http://schemas.openxmlformats.org/officeDocument/2006/relationships/hyperlink" Target="https://www.franchisetimes.com/top-400-2024/365-pj-s-coffee-of-new-orleans/article_d3b29f0c-566d-11ef-89c5-0754b0af6046.html" TargetMode="External"/><Relationship Id="rId252" Type="http://schemas.openxmlformats.org/officeDocument/2006/relationships/hyperlink" Target="https://www.franchisetimes.com/top-400-2024/106-city-wide-facility-solutions/article_c6949b46-565d-11ef-81e5-2bc917c74ae0.html" TargetMode="External"/><Relationship Id="rId294" Type="http://schemas.openxmlformats.org/officeDocument/2006/relationships/hyperlink" Target="https://www.franchisetimes.com/top-400-2024/267-mister-sparky/article_bfab7380-5668-11ef-8a12-ab99da5ef742.html" TargetMode="External"/><Relationship Id="rId308" Type="http://schemas.openxmlformats.org/officeDocument/2006/relationships/hyperlink" Target="https://www.franchisetimes.com/top-400-2024/281-fatburger/article_c960c6c2-5669-11ef-a46c-2b7334f6fc69.html" TargetMode="External"/><Relationship Id="rId47" Type="http://schemas.openxmlformats.org/officeDocument/2006/relationships/hyperlink" Target="https://www.google.com/search?q=Express%20Employment%20Professionals%20franchise%20times%20site%3Afranchisetimes.com%2Ftop-400-2024" TargetMode="External"/><Relationship Id="rId89" Type="http://schemas.openxmlformats.org/officeDocument/2006/relationships/hyperlink" Target="https://www.franchisetimes.com/top-400-2024/67-firehouse-subs/article_fc21d1a6-58b1-11ef-9973-e7e6062b41b7.html" TargetMode="External"/><Relationship Id="rId112" Type="http://schemas.openxmlformats.org/officeDocument/2006/relationships/hyperlink" Target="https://www.franchisetimes.com/top-400-2024/88-wireless-zone/article_b6ccc34e-58b2-11ef-ab80-8beb9c76a388.html" TargetMode="External"/><Relationship Id="rId154" Type="http://schemas.openxmlformats.org/officeDocument/2006/relationships/hyperlink" Target="https://www.franchisetimes.com/top-400-2024/127-steak-n-shake/article_d61b114e-565d-11ef-9259-bf67cad154d4.html" TargetMode="External"/><Relationship Id="rId361" Type="http://schemas.openxmlformats.org/officeDocument/2006/relationships/hyperlink" Target="https://www.franchisetimes.com/top-400-2024/334-cyclebar/article_ef47fbf6-566b-11ef-b64c-c73f94a44a1e.html" TargetMode="External"/><Relationship Id="rId196" Type="http://schemas.openxmlformats.org/officeDocument/2006/relationships/hyperlink" Target="https://www.franchisetimes.com/top-400-2024/169-slumberland/article_2d7ace3e-565e-11ef-9867-c3fd2b5af670.html" TargetMode="External"/><Relationship Id="rId417" Type="http://schemas.openxmlformats.org/officeDocument/2006/relationships/hyperlink" Target="https://www.franchisetimes.com/top-400-2024/297-tide-dry-cleaners/article_72c892a0-5668-11ef-9156-1b292cb82075.html" TargetMode="External"/><Relationship Id="rId16" Type="http://schemas.openxmlformats.org/officeDocument/2006/relationships/hyperlink" Target="https://www.franchisetimes.com/top-400-2024/8-dominos/article_31b2e454-58b2-11ef-ba56-df462add9517.html" TargetMode="External"/><Relationship Id="rId221" Type="http://schemas.openxmlformats.org/officeDocument/2006/relationships/hyperlink" Target="https://www.franchisetimes.com/top-400-2024/194-the-krystal-company/article_ce77b7e6-5665-11ef-9a5c-d39e79e57573.html" TargetMode="External"/><Relationship Id="rId263" Type="http://schemas.openxmlformats.org/officeDocument/2006/relationships/hyperlink" Target="https://www.franchisetimes.com/top-400-2024/236-newks-eatery/article_f4a52b90-5667-11ef-b501-bb2ca7475bcd.html" TargetMode="External"/><Relationship Id="rId319" Type="http://schemas.openxmlformats.org/officeDocument/2006/relationships/hyperlink" Target="https://www.franchisetimes.com/top-400-2024/292-childrens-lighthouse/article_a2a8dc30-566a-11ef-9ab8-c35ca718f4c0.html" TargetMode="External"/><Relationship Id="rId58" Type="http://schemas.openxmlformats.org/officeDocument/2006/relationships/hyperlink" Target="https://www.franchisetimes.com/top-400-2024/38-denny-s/article_1cb5fc3c-566c-11ef-8cf6-6f00bc41a2cf.html" TargetMode="External"/><Relationship Id="rId123" Type="http://schemas.openxmlformats.org/officeDocument/2006/relationships/hyperlink" Target="https://www.franchisetimes.com/top-400-2024/96-certapro-painters/article_d6297582-565c-11ef-a2fc-ab824f3f3906.html" TargetMode="External"/><Relationship Id="rId330" Type="http://schemas.openxmlformats.org/officeDocument/2006/relationships/hyperlink" Target="https://www.franchisetimes.com/top-400-2024/303-brightway-insurance/article_d3f2daa8-5669-11ef-95fe-cfc78d66b6f0.html" TargetMode="External"/><Relationship Id="rId165" Type="http://schemas.openxmlformats.org/officeDocument/2006/relationships/hyperlink" Target="https://www.franchisetimes.com/top-400-2024/138-scooter-s-coffee/article_235c337e-5664-11ef-be78-9780e13c51c9.html" TargetMode="External"/><Relationship Id="rId372" Type="http://schemas.openxmlformats.org/officeDocument/2006/relationships/hyperlink" Target="https://www.franchisetimes.com/top-400-2024/345-tint-world/article_87283f4e-566c-11ef-a7aa-4336f8673be3.html" TargetMode="External"/><Relationship Id="rId232" Type="http://schemas.openxmlformats.org/officeDocument/2006/relationships/hyperlink" Target="https://www.franchisetimes.com/top-400-2024/205-metal-supermarkets/article_8529544a-5666-11ef-9599-c3adef6547aa.html" TargetMode="External"/><Relationship Id="rId274" Type="http://schemas.openxmlformats.org/officeDocument/2006/relationships/hyperlink" Target="https://www.franchisetimes.com/top-400-2024/247-stretchlab/article_6abf42ae-566b-11ef-81bd-575862f70458.html?block_id=1855301" TargetMode="External"/><Relationship Id="rId27" Type="http://schemas.openxmlformats.org/officeDocument/2006/relationships/hyperlink" Target="https://www.franchisetimes.com/top-400-2024/14-re-max/article_b4f3bef8-565d-11ef-a586-fbd6341d194f.html" TargetMode="External"/><Relationship Id="rId69" Type="http://schemas.openxmlformats.org/officeDocument/2006/relationships/hyperlink" Target="https://www.franchisetimes.com/top-400-2024/48-baskin-robbins/article_ceacaa86-58af-11ef-ba97-a3e67270cbec.html" TargetMode="External"/><Relationship Id="rId134" Type="http://schemas.openxmlformats.org/officeDocument/2006/relationships/hyperlink" Target="https://www.franchisetimes.com/top-400-2024/107-charleys-philly-steaks/article_85a8ff28-565d-11ef-841e-fb3e95d9ea63.html" TargetMode="External"/><Relationship Id="rId80" Type="http://schemas.openxmlformats.org/officeDocument/2006/relationships/hyperlink" Target="https://www.franchisetimes.com/top-400-2024/58-golden-corral/article_aa5c9d74-58b1-11ef-803b-7765761f14b7.html" TargetMode="External"/><Relationship Id="rId176" Type="http://schemas.openxmlformats.org/officeDocument/2006/relationships/hyperlink" Target="https://www.franchisetimes.com/top-400-2024/149-cinnabon/article_d495c43a-5663-11ef-9a15-838aff024638.html" TargetMode="External"/><Relationship Id="rId341" Type="http://schemas.openxmlformats.org/officeDocument/2006/relationships/hyperlink" Target="https://www.franchisetimes.com/top-400-2024/314-pizza-inn/article_ea77a24e-566a-11ef-a6a8-9f8435ef1413.html" TargetMode="External"/><Relationship Id="rId383" Type="http://schemas.openxmlformats.org/officeDocument/2006/relationships/hyperlink" Target="https://www.franchisetimes.com/top-400-2024/356-celebree-school/article_5fef7aa4-566d-11ef-9f33-fb61e8c24c68.html" TargetMode="External"/><Relationship Id="rId201" Type="http://schemas.openxmlformats.org/officeDocument/2006/relationships/hyperlink" Target="https://www.franchisetimes.com/top-400-2024/174-schlotzsky-s-bakery-caf/article_6034ce6e-5664-11ef-9166-cf8c634c7e49.html" TargetMode="External"/><Relationship Id="rId243" Type="http://schemas.openxmlformats.org/officeDocument/2006/relationships/hyperlink" Target="https://www.franchisetimes.com/top-400-2024/216-home-helpers-home-care/article_def067a2-5666-11ef-b0a1-8fe30af1a47f.html" TargetMode="External"/><Relationship Id="rId285" Type="http://schemas.openxmlformats.org/officeDocument/2006/relationships/hyperlink" Target="https://www.franchisetimes.com/top-400-2024/258-teamlogic-it/article_e9502064-5668-11ef-9de1-07885999c888.html?block_id=1855301" TargetMode="External"/><Relationship Id="rId38" Type="http://schemas.openxmlformats.org/officeDocument/2006/relationships/hyperlink" Target="https://www.google.com/search?q=Papa%20John%E2%80%99s%20franchise%20times%20site%3Afranchisetimes.com%2Ftop-400-2024" TargetMode="External"/><Relationship Id="rId103" Type="http://schemas.openxmlformats.org/officeDocument/2006/relationships/hyperlink" Target="https://www.franchisetimes.com/top-400-2024/78-del-taco/article_417ad7fc-58b2-11ef-b073-0725f76b8dff.html" TargetMode="External"/><Relationship Id="rId310" Type="http://schemas.openxmlformats.org/officeDocument/2006/relationships/hyperlink" Target="https://www.franchisetimes.com/top-400-2024/283-huntington-learning-center/article_2acd6938-566a-11ef-ad3d-23b10d25724e.html" TargetMode="External"/><Relationship Id="rId70" Type="http://schemas.openxmlformats.org/officeDocument/2006/relationships/hyperlink" Target="https://www.franchisetimes.com/top-400-2024/49-snap-on-tools/article_72954a68-58b0-11ef-a59f-3bd58971f09d.html" TargetMode="External"/><Relationship Id="rId91" Type="http://schemas.openxmlformats.org/officeDocument/2006/relationships/hyperlink" Target="https://www.franchisetimes.com/top-400-2024/68-window-world/article_d7967b3e-58b1-11ef-90a0-f7bd421164cb.html?block_id=1855301" TargetMode="External"/><Relationship Id="rId145" Type="http://schemas.openxmlformats.org/officeDocument/2006/relationships/hyperlink" Target="https://www.franchisetimes.com/top-400-2024/118-miracle-ear/article_af5b5f46-565d-11ef-9b7d-ab2326eb7b87.html" TargetMode="External"/><Relationship Id="rId166" Type="http://schemas.openxmlformats.org/officeDocument/2006/relationships/hyperlink" Target="https://www.franchisetimes.com/top-400-2024/139-potbelly-sandwich-shop/article_f0f0c454-5663-11ef-8845-2f71f5dc9cd3.html" TargetMode="External"/><Relationship Id="rId187" Type="http://schemas.openxmlformats.org/officeDocument/2006/relationships/hyperlink" Target="https://www.franchisetimes.com/top-400-2024/160-signarama/article_39d56792-5664-11ef-bbf1-33f2dbd20ee0.html" TargetMode="External"/><Relationship Id="rId331" Type="http://schemas.openxmlformats.org/officeDocument/2006/relationships/hyperlink" Target="https://www.franchisetimes.com/top-400-2024/304-mr-gattis/article_c98c9d96-566a-11ef-9a9c-bb1b29992bb1.html" TargetMode="External"/><Relationship Id="rId352" Type="http://schemas.openxmlformats.org/officeDocument/2006/relationships/hyperlink" Target="https://www.franchisetimes.com/top-400-2024/325-stroll/article_8b2e9f30-566b-11ef-93ae-4f37b073290b.html" TargetMode="External"/><Relationship Id="rId373" Type="http://schemas.openxmlformats.org/officeDocument/2006/relationships/hyperlink" Target="https://www.franchisetimes.com/top-400-2024/346-storm-guard-roofing-and-construction/article_4591d6d4-566d-11ef-9355-6f374b90e165.html" TargetMode="External"/><Relationship Id="rId394" Type="http://schemas.openxmlformats.org/officeDocument/2006/relationships/hyperlink" Target="https://www.franchisetimes.com/top-400-2024/367-buildingstars/article_a9c98198-566c-11ef-8abb-afa7e892cbe5.html" TargetMode="External"/><Relationship Id="rId408" Type="http://schemas.openxmlformats.org/officeDocument/2006/relationships/hyperlink" Target="https://www.franchisetimes.com/top-400-2024/381-pretzelmaker/article_09e53216-566d-11ef-88f5-c34c387e308f.html" TargetMode="External"/><Relationship Id="rId1" Type="http://schemas.openxmlformats.org/officeDocument/2006/relationships/hyperlink" Target="https://www.google.com/search?q=McDonald%E2%80%99s%20franchise%20times%20site%3Afranchisetimes.com%2Ftop-400-2024" TargetMode="External"/><Relationship Id="rId212" Type="http://schemas.openxmlformats.org/officeDocument/2006/relationships/hyperlink" Target="https://www.franchisetimes.com/top-400-2024/185-walk-ons-sports-bistreaux/article_e2164d76-5665-11ef-b93e-53a44d2cf613.html" TargetMode="External"/><Relationship Id="rId233" Type="http://schemas.openxmlformats.org/officeDocument/2006/relationships/hyperlink" Target="https://www.franchisetimes.com/top-400-2024/206-pepper-lunch/article_774b9dd8-5666-11ef-a21e-0fb1a3b9ccbe.html" TargetMode="External"/><Relationship Id="rId254" Type="http://schemas.openxmlformats.org/officeDocument/2006/relationships/hyperlink" Target="https://www.franchisetimes.com/top-400-2024/227-lee-s-famous-recipe-chicken/article_01f92d50-5668-11ef-bfb7-f79ee2d0c9b1.html" TargetMode="External"/><Relationship Id="rId28" Type="http://schemas.openxmlformats.org/officeDocument/2006/relationships/hyperlink" Target="https://www.google.com/search?q=Keller%20Williams%20Realty%20franchise%20times%20site%3Afranchisetimes.com%2Ftop-400-2024" TargetMode="External"/><Relationship Id="rId49" Type="http://schemas.openxmlformats.org/officeDocument/2006/relationships/hyperlink" Target="https://www.franchisetimes.com/top-400-2024/29-buffalo-wild-wings/article_a86b27f0-5669-11ef-9025-db98ee832093.html" TargetMode="External"/><Relationship Id="rId114" Type="http://schemas.openxmlformats.org/officeDocument/2006/relationships/hyperlink" Target="https://www.franchisetimes.com/top-400-2024/89-right-at-home/article_64300cfa-5659-11ef-a644-9fb2720ed70b.html" TargetMode="External"/><Relationship Id="rId275" Type="http://schemas.openxmlformats.org/officeDocument/2006/relationships/hyperlink" Target="https://www.franchisetimes.com/top-400-2024/248-burn-boot-camp/article_d34ac8d2-5668-11ef-8f66-23b6b605e860.html" TargetMode="External"/><Relationship Id="rId296" Type="http://schemas.openxmlformats.org/officeDocument/2006/relationships/hyperlink" Target="https://www.franchisetimes.com/top-400-2024/269-tazikis-mediterranean-cafe/article_bdf60ba8-5669-11ef-9067-6717195b8365.html" TargetMode="External"/><Relationship Id="rId300" Type="http://schemas.openxmlformats.org/officeDocument/2006/relationships/hyperlink" Target="https://www.franchisetimes.com/top-400-2024/273-sir-speedy-print-signs-marketing/article_cd2824c2-5668-11ef-87f5-0b85eb83c591.html" TargetMode="External"/><Relationship Id="rId60" Type="http://schemas.openxmlformats.org/officeDocument/2006/relationships/hyperlink" Target="https://www.franchisetimes.com/top-400-2024/40-valvoline-instant-oil-change/article_4d5224ae-566e-11ef-8eb8-13811a27b7e0.html" TargetMode="External"/><Relationship Id="rId81" Type="http://schemas.openxmlformats.org/officeDocument/2006/relationships/hyperlink" Target="https://www.franchisetimes.com/top-400-2024/59-carstar/article_a30932ee-58b1-11ef-9a18-67e888ecbf37.html" TargetMode="External"/><Relationship Id="rId135" Type="http://schemas.openxmlformats.org/officeDocument/2006/relationships/hyperlink" Target="https://www.franchisetimes.com/top-400-2024/108-hand-stone-massage-and-facial-spa/article_5e2376f4-565d-11ef-a57b-8f01350d6b37.html" TargetMode="External"/><Relationship Id="rId156" Type="http://schemas.openxmlformats.org/officeDocument/2006/relationships/hyperlink" Target="https://www.franchisetimes.com/top-400-2024/129-noodles-company/article_bd222faa-5663-11ef-9279-c7c59fab4037.html" TargetMode="External"/><Relationship Id="rId177" Type="http://schemas.openxmlformats.org/officeDocument/2006/relationships/hyperlink" Target="https://www.franchisetimes.com/top-400-2024/150-the-joint-chiropractic/article_01368aec-5664-11ef-9efa-bbeee389dc5d.html" TargetMode="External"/><Relationship Id="rId198" Type="http://schemas.openxmlformats.org/officeDocument/2006/relationships/hyperlink" Target="https://www.franchisetimes.com/top-400-2024/171-blaze-pizza/article_40220786-5664-11ef-af1d-438ba81e4ce0.html" TargetMode="External"/><Relationship Id="rId321" Type="http://schemas.openxmlformats.org/officeDocument/2006/relationships/hyperlink" Target="https://www.franchisetimes.com/top-400-2024/294-speedee-oil-change-tune-up/article_8e7d9b42-566a-11ef-bf7d-8b203ac5d869.html" TargetMode="External"/><Relationship Id="rId342" Type="http://schemas.openxmlformats.org/officeDocument/2006/relationships/hyperlink" Target="https://www.franchisetimes.com/top-400-2024/315-drybar/article_47ec38a4-566b-11ef-95c4-132a87281c96.html" TargetMode="External"/><Relationship Id="rId363" Type="http://schemas.openxmlformats.org/officeDocument/2006/relationships/hyperlink" Target="https://www.franchisetimes.com/top-400-2024/336-911-restoration/article_b622bc30-566b-11ef-9546-637bd5fa88c3.html" TargetMode="External"/><Relationship Id="rId384" Type="http://schemas.openxmlformats.org/officeDocument/2006/relationships/hyperlink" Target="https://www.franchisetimes.com/top-400-2024/357-nick-the-greek/article_e9bce16a-566b-11ef-aaff-ab43cdaf7fb1.html" TargetMode="External"/><Relationship Id="rId419" Type="http://schemas.openxmlformats.org/officeDocument/2006/relationships/hyperlink" Target="https://www.franchisetimes.com/top-400-2024/392-ellie-mental-health/article_9d979360-58b0-11ef-a9c3-275d8345eb28.html" TargetMode="External"/><Relationship Id="rId202" Type="http://schemas.openxmlformats.org/officeDocument/2006/relationships/hyperlink" Target="https://www.franchisetimes.com/top-400-2024/175-cicis-pizza/article_6bfef954-5664-11ef-86f4-0f466bf058c9.html" TargetMode="External"/><Relationship Id="rId223" Type="http://schemas.openxmlformats.org/officeDocument/2006/relationships/hyperlink" Target="https://www.franchisetimes.com/top-400-2024/196-sola-salons/article_5f7f394e-5666-11ef-96b1-7334081218d5.html" TargetMode="External"/><Relationship Id="rId244" Type="http://schemas.openxmlformats.org/officeDocument/2006/relationships/hyperlink" Target="https://www.franchisetimes.com/top-400-2024/217-real-property-management/article_d8b6cb6e-5667-11ef-b0ea-671adf6b5fa5.html" TargetMode="External"/><Relationship Id="rId18" Type="http://schemas.openxmlformats.org/officeDocument/2006/relationships/hyperlink" Target="https://www.franchisetimes.com/top-400-2024/9-circle-k/article_8a1d26e0-58b2-11ef-8ddd-eb600afb8dff.html" TargetMode="External"/><Relationship Id="rId39" Type="http://schemas.openxmlformats.org/officeDocument/2006/relationships/hyperlink" Target="https://www.franchisetimes.com/top-400-2024/21-papa-johns/article_9621381c-5666-11ef-b58a-bb1986cff9b0.html" TargetMode="External"/><Relationship Id="rId265" Type="http://schemas.openxmlformats.org/officeDocument/2006/relationships/hyperlink" Target="https://www.franchisetimes.com/top-400-2024/94-fastsigns/article_be896f40-565c-11ef-97fe-1fdf3e12e146.html" TargetMode="External"/><Relationship Id="rId286" Type="http://schemas.openxmlformats.org/officeDocument/2006/relationships/hyperlink" Target="https://www.franchisetimes.com/top-400-2024/259-woodhouse-spa/article_97850060-5668-11ef-81bd-838a6bb0adff.html" TargetMode="External"/><Relationship Id="rId50" Type="http://schemas.openxmlformats.org/officeDocument/2006/relationships/hyperlink" Target="https://www.franchisetimes.com/top-400-2024/30-the-ups-store/article_a7dae626-566a-11ef-a177-ab1a9a1d4c41.html" TargetMode="External"/><Relationship Id="rId104" Type="http://schemas.openxmlformats.org/officeDocument/2006/relationships/hyperlink" Target="https://www.franchisetimes.com/top-400-2024/79-crunch-fitness/article_453c6c0e-565d-11ef-ad2e-ff2279d3a895.html" TargetMode="External"/><Relationship Id="rId125" Type="http://schemas.openxmlformats.org/officeDocument/2006/relationships/hyperlink" Target="https://www.franchisetimes.com/top-400-2024/98-christian-brothers-automotive/article_78af0272-565d-11ef-aba5-c301fd7a7ac6.html" TargetMode="External"/><Relationship Id="rId146" Type="http://schemas.openxmlformats.org/officeDocument/2006/relationships/hyperlink" Target="https://www.franchisetimes.com/top-400-2024/119-jan-pro/article_3309e340-565d-11ef-ade2-ebcc46d2e76b.html" TargetMode="External"/><Relationship Id="rId167" Type="http://schemas.openxmlformats.org/officeDocument/2006/relationships/hyperlink" Target="https://www.franchisetimes.com/top-400-2024/140-gong-cha/article_93f3085c-5663-11ef-a915-df547dc7b179.html" TargetMode="External"/><Relationship Id="rId188" Type="http://schemas.openxmlformats.org/officeDocument/2006/relationships/hyperlink" Target="https://www.franchisetimes.com/top-400-2024/161-one-hour-heating-air-conditioning/article_e598b85a-5663-11ef-954a-3b8f8b282120.html" TargetMode="External"/><Relationship Id="rId311" Type="http://schemas.openxmlformats.org/officeDocument/2006/relationships/hyperlink" Target="https://www.franchisetimes.com/top-400-2024/284-hobbytown/article_b8c6ba92-5669-11ef-947f-976bef16c2c7.html" TargetMode="External"/><Relationship Id="rId332" Type="http://schemas.openxmlformats.org/officeDocument/2006/relationships/hyperlink" Target="https://www.franchisetimes.com/top-400-2024/305-cheba-hut-toasted-subs/article_95596f08-566b-11ef-a537-3f7fd23861f4.html" TargetMode="External"/><Relationship Id="rId353" Type="http://schemas.openxmlformats.org/officeDocument/2006/relationships/hyperlink" Target="https://www.franchisetimes.com/top-400-2024/326-which-wich/article_2da3761a-566b-11ef-99ef-67a1648758d4.html" TargetMode="External"/><Relationship Id="rId374" Type="http://schemas.openxmlformats.org/officeDocument/2006/relationships/hyperlink" Target="https://www.franchisetimes.com/top-400-2024/347-office-pride-commercial-cleaning/article_171c9ec0-566c-11ef-8922-03f3b98192f1.html" TargetMode="External"/><Relationship Id="rId395" Type="http://schemas.openxmlformats.org/officeDocument/2006/relationships/hyperlink" Target="https://www.franchisetimes.com/top-400-2024/368-waxing-the-city/article_4a8b3b90-566c-11ef-a1ea-a3c5b66e00e6.html" TargetMode="External"/><Relationship Id="rId409" Type="http://schemas.openxmlformats.org/officeDocument/2006/relationships/hyperlink" Target="https://www.franchisetimes.com/top-400-2024/382-massageluxe/article_6d998438-566d-11ef-9b5f-8787162d158b.html" TargetMode="External"/><Relationship Id="rId71" Type="http://schemas.openxmlformats.org/officeDocument/2006/relationships/hyperlink" Target="https://www.franchisetimes.com/top-400-2024/50-anytime-fitness/article_dd1375c2-58b0-11ef-a45a-73a0c5a67929.html" TargetMode="External"/><Relationship Id="rId92" Type="http://schemas.openxmlformats.org/officeDocument/2006/relationships/hyperlink" Target="https://www.franchisetimes.com/top-400-2024/69-take-5-oil-change/article_70b31dae-58b2-11ef-bea4-a3fe85608c57.html" TargetMode="External"/><Relationship Id="rId213" Type="http://schemas.openxmlformats.org/officeDocument/2006/relationships/hyperlink" Target="https://www.franchisetimes.com/top-400-2024/186-rnr-tire-express/article_3d7130e6-5666-11ef-a229-4b2cd9bd492c.html" TargetMode="External"/><Relationship Id="rId234" Type="http://schemas.openxmlformats.org/officeDocument/2006/relationships/hyperlink" Target="https://www.franchisetimes.com/top-400-2024/207-signal-security/article_fa51f852-5667-11ef-a965-e3b121e6b761.html" TargetMode="External"/><Relationship Id="rId420" Type="http://schemas.openxmlformats.org/officeDocument/2006/relationships/hyperlink" Target="https://www.franchisetimes.com/top-400-2024/393-gotcha-covered/article_c6fdb0e4-566d-11ef-9b49-b7572f77d66c.html" TargetMode="External"/><Relationship Id="rId2" Type="http://schemas.openxmlformats.org/officeDocument/2006/relationships/hyperlink" Target="https://www.franchisetimes.com/top-400-2024/1-mcdonald-s/article_14c11e4c-5655-11ef-a6d6-fbc5a1b08153.html" TargetMode="External"/><Relationship Id="rId29" Type="http://schemas.openxmlformats.org/officeDocument/2006/relationships/hyperlink" Target="https://www.franchisetimes.com/top-400-2024/15-keller-williams-realty/article_dcd04788-565e-11ef-a99a-034fe92e1b94.html" TargetMode="External"/><Relationship Id="rId255" Type="http://schemas.openxmlformats.org/officeDocument/2006/relationships/hyperlink" Target="https://www.franchisetimes.com/top-400-2024/228-chem-dry/article_a2b9dd5e-5666-11ef-bc23-0b77c0b54fea.html" TargetMode="External"/><Relationship Id="rId276" Type="http://schemas.openxmlformats.org/officeDocument/2006/relationships/hyperlink" Target="https://www.franchisetimes.com/top-400-2024/249-yogen-fruz/article_5429ff8e-5666-11ef-8801-8b0c143309c1.html" TargetMode="External"/><Relationship Id="rId297" Type="http://schemas.openxmlformats.org/officeDocument/2006/relationships/hyperlink" Target="https://www.franchisetimes.com/top-400-2024/270-phenix-salon-suites/article_c4576fe6-5669-11ef-8d69-4b68632dc74a.html" TargetMode="External"/><Relationship Id="rId40" Type="http://schemas.openxmlformats.org/officeDocument/2006/relationships/hyperlink" Target="https://www.franchisetimes.com/top-400-2024/22-arby-s/article_d9591cb2-5666-11ef-8b4e-c7b232dd2fbb.html" TargetMode="External"/><Relationship Id="rId115" Type="http://schemas.openxmlformats.org/officeDocument/2006/relationships/hyperlink" Target="https://www.franchisetimes.com/top-400-2024/90-vital-care-infusion/article_d81db41e-565e-11ef-9ff6-e39e3ad7273c.html" TargetMode="External"/><Relationship Id="rId136" Type="http://schemas.openxmlformats.org/officeDocument/2006/relationships/hyperlink" Target="https://www.franchisetimes.com/top-400-2024/109-unishippers/article_e26e916c-58b2-11ef-9a56-17a34ac2fbb4.html" TargetMode="External"/><Relationship Id="rId157" Type="http://schemas.openxmlformats.org/officeDocument/2006/relationships/hyperlink" Target="https://www.franchisetimes.com/top-400-2024/130-the-coffee-bean-tea-leaf/article_582c23e0-565d-11ef-a9e0-537cd7edee40.html" TargetMode="External"/><Relationship Id="rId178" Type="http://schemas.openxmlformats.org/officeDocument/2006/relationships/hyperlink" Target="https://www.franchisetimes.com/top-400-2024/151-re-bath/article_ebdec2b8-5663-11ef-b26b-d759a0b37c9a.html" TargetMode="External"/><Relationship Id="rId301" Type="http://schemas.openxmlformats.org/officeDocument/2006/relationships/hyperlink" Target="https://www.franchisetimes.com/top-400-2024/274-lightbridge-academy/article_4f5d15f0-566a-11ef-9312-d3181923c637.html" TargetMode="External"/><Relationship Id="rId322" Type="http://schemas.openxmlformats.org/officeDocument/2006/relationships/hyperlink" Target="https://www.franchisetimes.com/top-400-2024/295-the-human-bean/article_5976f542-566a-11ef-8be0-c35c2b7449b1.html" TargetMode="External"/><Relationship Id="rId343" Type="http://schemas.openxmlformats.org/officeDocument/2006/relationships/hyperlink" Target="https://www.franchisetimes.com/top-400-2024/316-kitchen-tune-up/article_effa958c-566a-11ef-ad8a-abbf1c694f65.html" TargetMode="External"/><Relationship Id="rId364" Type="http://schemas.openxmlformats.org/officeDocument/2006/relationships/hyperlink" Target="https://www.franchisetimes.com/top-400-2024/337-miracle-method-surface-refinishing/article_c71f1844-566b-11ef-95c2-4f36d8a57bd5.html" TargetMode="External"/><Relationship Id="rId61" Type="http://schemas.openxmlformats.org/officeDocument/2006/relationships/hyperlink" Target="https://www.franchisetimes.com/top-400-2024/41-home-instead-senior-care/article_ea6bf05c-566f-11ef-9d2a-1fabf8a5a90f.html" TargetMode="External"/><Relationship Id="rId82" Type="http://schemas.openxmlformats.org/officeDocument/2006/relationships/hyperlink" Target="https://www.franchisetimes.com/top-400-2024/60-red-robin/article_9c6e066c-58b1-11ef-a8b2-e7f3e4b2d6c5.html" TargetMode="External"/><Relationship Id="rId199" Type="http://schemas.openxmlformats.org/officeDocument/2006/relationships/hyperlink" Target="https://www.franchisetimes.com/top-400-2024/172-vanguard-cleaning-systems/article_5a2d17e2-5664-11ef-b33e-eb50369a8e0b.html" TargetMode="External"/><Relationship Id="rId203" Type="http://schemas.openxmlformats.org/officeDocument/2006/relationships/hyperlink" Target="https://www.franchisetimes.com/top-400-2024/176-pizza-ranch/article_7ecaa33a-5664-11ef-a227-9f9ae669f495.html" TargetMode="External"/><Relationship Id="rId385" Type="http://schemas.openxmlformats.org/officeDocument/2006/relationships/hyperlink" Target="https://www.franchisetimes.com/top-400-2024/358-eggs-up-grill/article_2654ac7e-566d-11ef-b155-b306172832eb.html" TargetMode="External"/><Relationship Id="rId19" Type="http://schemas.openxmlformats.org/officeDocument/2006/relationships/hyperlink" Target="https://www.google.com/search?q=Taco%20Bell%20franchise%20times%20site%3Afranchisetimes.com%2Ftop-400-2024" TargetMode="External"/><Relationship Id="rId224" Type="http://schemas.openxmlformats.org/officeDocument/2006/relationships/hyperlink" Target="https://www.franchisetimes.com/top-400-2024/197-golden-chick/article_599fc3ae-5666-11ef-bbaf-2b785502809a.html" TargetMode="External"/><Relationship Id="rId245" Type="http://schemas.openxmlformats.org/officeDocument/2006/relationships/hyperlink" Target="https://www.franchisetimes.com/top-400-2024/218-benjamin-franklin-plumbing/article_ed74b192-5667-11ef-9efe-1f9269dc5908.html" TargetMode="External"/><Relationship Id="rId266" Type="http://schemas.openxmlformats.org/officeDocument/2006/relationships/hyperlink" Target="https://www.franchisetimes.com/top-400-2024/239-elements-massage/article_1adce410-5668-11ef-82f5-4310b423b3a3.html" TargetMode="External"/><Relationship Id="rId287" Type="http://schemas.openxmlformats.org/officeDocument/2006/relationships/hyperlink" Target="https://www.franchisetimes.com/top-400-2024/260-ritas-italian-ice/article_da68e5fe-5668-11ef-81b9-5b09e6569431.html" TargetMode="External"/><Relationship Id="rId410" Type="http://schemas.openxmlformats.org/officeDocument/2006/relationships/hyperlink" Target="https://www.franchisetimes.com/top-400-2024/383-iron-valley-real-estate/article_5ab36ba4-566d-11ef-a4b1-4f40245ebab5.html" TargetMode="External"/><Relationship Id="rId30" Type="http://schemas.openxmlformats.org/officeDocument/2006/relationships/hyperlink" Target="https://www.google.com/search?q=Tim%20Hortons%20franchise%20times%20site%3Afranchisetimes.com%2Ftop-400-2024" TargetMode="External"/><Relationship Id="rId105" Type="http://schemas.openxmlformats.org/officeDocument/2006/relationships/hyperlink" Target="https://www.franchisetimes.com/top-400-2024/80-european-wax-center/article_98991530-58b2-11ef-b012-bf902dfbc40f.html" TargetMode="External"/><Relationship Id="rId126" Type="http://schemas.openxmlformats.org/officeDocument/2006/relationships/hyperlink" Target="https://www.franchisetimes.com/top-400-2024/99-crumbl-cookies/article_05041740-565d-11ef-bd9b-1b2f005f4415.html" TargetMode="External"/><Relationship Id="rId147" Type="http://schemas.openxmlformats.org/officeDocument/2006/relationships/hyperlink" Target="https://www.franchisetimes.com/top-400-2024/120-kampgrounds-of-america/article_95f647e6-565d-11ef-b2c6-87f28c13eac6.html" TargetMode="External"/><Relationship Id="rId168" Type="http://schemas.openxmlformats.org/officeDocument/2006/relationships/hyperlink" Target="https://www.franchisetimes.com/top-400-2024/141-pinch-a-penny/article_b8105a6e-565e-11ef-9f97-471ab7344a19.html" TargetMode="External"/><Relationship Id="rId312" Type="http://schemas.openxmlformats.org/officeDocument/2006/relationships/hyperlink" Target="https://www.franchisetimes.com/top-400-2024/285-mosquito-joe/article_de076c0c-5669-11ef-ad8b-5399be005798.html" TargetMode="External"/><Relationship Id="rId333" Type="http://schemas.openxmlformats.org/officeDocument/2006/relationships/hyperlink" Target="https://www.franchisetimes.com/top-400-2024/306-my-salon-suite/article_5fc90484-566b-11ef-8409-7fc7fbf98ea5.html" TargetMode="External"/><Relationship Id="rId354" Type="http://schemas.openxmlformats.org/officeDocument/2006/relationships/hyperlink" Target="https://www.franchisetimes.com/top-400-2024/327-marble-slab-creamery/article_d4587e52-566a-11ef-a1ce-73aeb252329c.html" TargetMode="External"/><Relationship Id="rId51" Type="http://schemas.openxmlformats.org/officeDocument/2006/relationships/hyperlink" Target="https://www.franchisetimes.com/top-400-2024/31-whataburger/article_9fdab0d6-566b-11ef-906d-8fdec8cbb389.html" TargetMode="External"/><Relationship Id="rId72" Type="http://schemas.openxmlformats.org/officeDocument/2006/relationships/hyperlink" Target="https://www.franchisetimes.com/top-400-2024/51-midas/article_e4ff3a50-58b0-11ef-baca-b3aaa9179de5.html" TargetMode="External"/><Relationship Id="rId93" Type="http://schemas.openxmlformats.org/officeDocument/2006/relationships/hyperlink" Target="https://www.franchisetimes.com/top-400-2024/70-marco-s-pizza/article_18836ac6-58b2-11ef-9e17-7b59dbac2b67.html" TargetMode="External"/><Relationship Id="rId189" Type="http://schemas.openxmlformats.org/officeDocument/2006/relationships/hyperlink" Target="https://www.franchisetimes.com/top-400-2024/162-1-800-radiator/article_f70fbf84-5663-11ef-85cd-97a1fd7a42d1.html" TargetMode="External"/><Relationship Id="rId375" Type="http://schemas.openxmlformats.org/officeDocument/2006/relationships/hyperlink" Target="https://www.franchisetimes.com/top-400-2024/348-archadeck-outdoor-living/article_bbb37aae-566b-11ef-8936-1b7259abf1a9.html" TargetMode="External"/><Relationship Id="rId396" Type="http://schemas.openxmlformats.org/officeDocument/2006/relationships/hyperlink" Target="https://www.franchisetimes.com/top-400-2024/369-pip-marketing-signs-print/article_1576220c-566d-11ef-9be7-bff15fd49255.html" TargetMode="External"/><Relationship Id="rId3" Type="http://schemas.openxmlformats.org/officeDocument/2006/relationships/hyperlink" Target="https://www.google.com/search?q=7-Eleven%20franchise%20times%20site%3Afranchisetimes.com%2Ftop-400-2024" TargetMode="External"/><Relationship Id="rId214" Type="http://schemas.openxmlformats.org/officeDocument/2006/relationships/hyperlink" Target="https://www.franchisetimes.com/top-400-2024/187-play-it-again-sports/article_8488e9d0-5664-11ef-bde2-cb448f0f261a.html" TargetMode="External"/><Relationship Id="rId235" Type="http://schemas.openxmlformats.org/officeDocument/2006/relationships/hyperlink" Target="https://www.franchisetimes.com/top-400-2024/208-penn-station-east-coast-subs/article_7d1d5d78-5666-11ef-a216-6744974738bc.html" TargetMode="External"/><Relationship Id="rId256" Type="http://schemas.openxmlformats.org/officeDocument/2006/relationships/hyperlink" Target="https://www.franchisetimes.com/top-400-2024/229-united-country/article_a86359ec-5666-11ef-9f9a-eb4ee97ea2c4.html" TargetMode="External"/><Relationship Id="rId277" Type="http://schemas.openxmlformats.org/officeDocument/2006/relationships/hyperlink" Target="https://www.franchisetimes.com/top-400-2024/250-la-madeleine/article_5005733c-5668-11ef-8c67-8f65964c7552.html" TargetMode="External"/><Relationship Id="rId298" Type="http://schemas.openxmlformats.org/officeDocument/2006/relationships/hyperlink" Target="https://www.franchisetimes.com/top-400-2024/271-another-broken-egg-cafe/article_a2d53d04-5668-11ef-9b68-97cc78c24471.html" TargetMode="External"/><Relationship Id="rId400" Type="http://schemas.openxmlformats.org/officeDocument/2006/relationships/hyperlink" Target="https://www.franchisetimes.com/top-400-2024/373-port-of-subs/article_b95a7838-566c-11ef-bf17-3b3ed91a32b0.html" TargetMode="External"/><Relationship Id="rId421" Type="http://schemas.openxmlformats.org/officeDocument/2006/relationships/hyperlink" Target="https://www.franchisetimes.com/top-400-2024/394-units-moving-and-portable-storage/article_0ff0c814-566d-11ef-a9c3-1ff013bd2cf7.html" TargetMode="External"/><Relationship Id="rId116" Type="http://schemas.openxmlformats.org/officeDocument/2006/relationships/hyperlink" Target="https://www.google.com/search?q=Color%20Glo%20International%20franchise%20times%20site%3Afranchisetimes.com%2Ftop-400-2024" TargetMode="External"/><Relationship Id="rId137" Type="http://schemas.openxmlformats.org/officeDocument/2006/relationships/hyperlink" Target="https://www.franchisetimes.com/top-400-2024/110-brightstar-care/article_4f16ddc2-565d-11ef-aeaf-03dd9d643855.html" TargetMode="External"/><Relationship Id="rId158" Type="http://schemas.openxmlformats.org/officeDocument/2006/relationships/hyperlink" Target="https://www.franchisetimes.com/top-400-2024/131-golds-gym/article_8ce2a4f6-565d-11ef-8a28-a78543dead5b.html" TargetMode="External"/><Relationship Id="rId302" Type="http://schemas.openxmlformats.org/officeDocument/2006/relationships/hyperlink" Target="https://www.franchisetimes.com/top-400-2024/275-amazing-lash-studio/article_6d111116-5668-11ef-a256-fba60116067b.html" TargetMode="External"/><Relationship Id="rId323" Type="http://schemas.openxmlformats.org/officeDocument/2006/relationships/hyperlink" Target="https://www.franchisetimes.com/top-400-2024/296-fish-window-cleaning/article_9d5a0bdc-566a-11ef-9aa6-e3bb2daaa558.html" TargetMode="External"/><Relationship Id="rId344" Type="http://schemas.openxmlformats.org/officeDocument/2006/relationships/hyperlink" Target="https://www.franchisetimes.com/top-400-2024/317-stretch-zone/article_06439360-566c-11ef-868a-2385d5a73c70.html" TargetMode="External"/><Relationship Id="rId20" Type="http://schemas.openxmlformats.org/officeDocument/2006/relationships/hyperlink" Target="https://www.franchisetimes.com/top-400-2024/10-taco-bell/article_1bbfd5cc-5659-11ef-817a-9710858b5996.html" TargetMode="External"/><Relationship Id="rId41" Type="http://schemas.openxmlformats.org/officeDocument/2006/relationships/hyperlink" Target="https://www.franchisetimes.com/top-400-2024/23-applebee-s/article_e30e166c-5667-11ef-980b-c733c160e96e.html" TargetMode="External"/><Relationship Id="rId62" Type="http://schemas.openxmlformats.org/officeDocument/2006/relationships/hyperlink" Target="https://www.franchisetimes.com/top-400-2024/42-carl-s-jr/article_890d40bc-58af-11ef-b118-03f85d08867c.html" TargetMode="External"/><Relationship Id="rId83" Type="http://schemas.openxmlformats.org/officeDocument/2006/relationships/hyperlink" Target="https://www.franchisetimes.com/top-400-2024/61-church-s-chicken/article_b4479ad2-58b1-11ef-88cb-77038cc68947.html" TargetMode="External"/><Relationship Id="rId179" Type="http://schemas.openxmlformats.org/officeDocument/2006/relationships/hyperlink" Target="https://www.franchisetimes.com/top-400-2024/152-hungry-howie-s-pizza/article_c8d2bbc6-5663-11ef-99da-c7eca0462232.html" TargetMode="External"/><Relationship Id="rId365" Type="http://schemas.openxmlformats.org/officeDocument/2006/relationships/hyperlink" Target="https://www.franchisetimes.com/top-400-2024/338-ace-handyman-services/article_387afb98-566c-11ef-a8ab-fb4713efbeea.html" TargetMode="External"/><Relationship Id="rId386" Type="http://schemas.openxmlformats.org/officeDocument/2006/relationships/hyperlink" Target="https://www.franchisetimes.com/top-400-2024/359-hteao/article_47f05bf2-566e-11ef-ba16-07e42369b0a9.html" TargetMode="External"/><Relationship Id="rId190" Type="http://schemas.openxmlformats.org/officeDocument/2006/relationships/hyperlink" Target="https://www.franchisetimes.com/top-400-2024/163-round-table-pizza/article_172833a0-5664-11ef-9411-2b074418002c.html" TargetMode="External"/><Relationship Id="rId204" Type="http://schemas.openxmlformats.org/officeDocument/2006/relationships/hyperlink" Target="https://www.franchisetimes.com/top-400-2024/177-chicken-salad-chick/article_d49d4802-5665-11ef-80b3-9b06170304f4.html" TargetMode="External"/><Relationship Id="rId225" Type="http://schemas.openxmlformats.org/officeDocument/2006/relationships/hyperlink" Target="https://www.franchisetimes.com/top-400-2024/198-johnny-rockets/article_716fecfc-5666-11ef-acb7-7f0a78d8c69c.html" TargetMode="External"/><Relationship Id="rId246" Type="http://schemas.openxmlformats.org/officeDocument/2006/relationships/hyperlink" Target="https://www.franchisetimes.com/top-400-2024/219-homewatch-caregivers/article_1019ad88-5668-11ef-b9ac-231b23208225.html" TargetMode="External"/><Relationship Id="rId267" Type="http://schemas.openxmlformats.org/officeDocument/2006/relationships/hyperlink" Target="https://www.franchisetimes.com/top-400-2024/240-fantastic-sams/article_eefe117c-5665-11ef-8ae3-2f99af11e076.html" TargetMode="External"/><Relationship Id="rId288" Type="http://schemas.openxmlformats.org/officeDocument/2006/relationships/hyperlink" Target="https://www.franchisetimes.com/top-400-2024/261-larosas-pizzeria/article_c728caa0-5667-11ef-813f-9b0be9290388.html" TargetMode="External"/><Relationship Id="rId411" Type="http://schemas.openxmlformats.org/officeDocument/2006/relationships/hyperlink" Target="https://www.franchisetimes.com/top-400-2024/384-maid-brigade/article_b37325a0-566c-11ef-a744-8f389dcd5c74.html" TargetMode="External"/><Relationship Id="rId106" Type="http://schemas.openxmlformats.org/officeDocument/2006/relationships/hyperlink" Target="https://www.franchisetimes.com/top-400-2024/81-jani-king/article_6735211e-58b2-11ef-84eb-77a5764d2e84.html" TargetMode="External"/><Relationship Id="rId127" Type="http://schemas.openxmlformats.org/officeDocument/2006/relationships/hyperlink" Target="https://www.franchisetimes.com/top-400-2024/100-epcon-communities/article_80839da8-565a-11ef-864f-f7ebb4eb5b53.html" TargetMode="External"/><Relationship Id="rId313" Type="http://schemas.openxmlformats.org/officeDocument/2006/relationships/hyperlink" Target="https://www.franchisetimes.com/top-400-2024/286-ledo-pizza/article_4a46d4de-566a-11ef-867f-1f52272cd888.html" TargetMode="External"/><Relationship Id="rId10" Type="http://schemas.openxmlformats.org/officeDocument/2006/relationships/hyperlink" Target="https://www.franchisetimes.com/top-400-2024/5-ace-hardware/article_c43e81fe-58b0-11ef-ab9f-4ff1198d5729.html" TargetMode="External"/><Relationship Id="rId31" Type="http://schemas.openxmlformats.org/officeDocument/2006/relationships/hyperlink" Target="https://www.franchisetimes.com/top-400-2024/16-tim-hortons/article_ceff4c44-5663-11ef-8ea2-83ab077a74c0.html" TargetMode="External"/><Relationship Id="rId52" Type="http://schemas.openxmlformats.org/officeDocument/2006/relationships/hyperlink" Target="https://www.franchisetimes.com/top-400-2024/32-ihop/article_5a12f3ec-566b-11ef-9917-c3dfc75e944f.html" TargetMode="External"/><Relationship Id="rId73" Type="http://schemas.openxmlformats.org/officeDocument/2006/relationships/hyperlink" Target="https://www.franchisetimes.com/top-400-2024/52-pet-supplies-plus/article_6a34faac-58b1-11ef-9efd-3f626a77cf02.html" TargetMode="External"/><Relationship Id="rId94" Type="http://schemas.openxmlformats.org/officeDocument/2006/relationships/hyperlink" Target="https://www.franchisetimes.com/top-400-2024/71-qdoba-mexican-eats/article_22609456-58b2-11ef-b00a-3b3a535024e6.html" TargetMode="External"/><Relationship Id="rId148" Type="http://schemas.openxmlformats.org/officeDocument/2006/relationships/hyperlink" Target="https://www.franchisetimes.com/top-400-2024/121-proforma/article_9cd49a5e-565d-11ef-bd75-83bcfd558424.html" TargetMode="External"/><Relationship Id="rId169" Type="http://schemas.openxmlformats.org/officeDocument/2006/relationships/hyperlink" Target="https://www.franchisetimes.com/top-400-2024/272-great-american-cookies/article_d8d9c6d0-5669-11ef-85bd-5f89d157f86e.html" TargetMode="External"/><Relationship Id="rId334" Type="http://schemas.openxmlformats.org/officeDocument/2006/relationships/hyperlink" Target="https://www.franchisetimes.com/top-400-2024/307-nekter-juice-bar/article_74d4ae10-566a-11ef-b9eb-b38758757d9f.html" TargetMode="External"/><Relationship Id="rId355" Type="http://schemas.openxmlformats.org/officeDocument/2006/relationships/hyperlink" Target="https://www.franchisetimes.com/top-400-2024/328-soccer-shots/article_39ebe452-566b-11ef-974b-5b962b39928e.html" TargetMode="External"/><Relationship Id="rId376" Type="http://schemas.openxmlformats.org/officeDocument/2006/relationships/hyperlink" Target="https://www.franchisetimes.com/top-400-2024/349-brothers-that-just-do-gutters/article_d8ec8c3c-566b-11ef-bb9b-c773c50e5807.html" TargetMode="External"/><Relationship Id="rId397" Type="http://schemas.openxmlformats.org/officeDocument/2006/relationships/hyperlink" Target="https://www.franchisetimes.com/top-400-2024/370-hurricane-grill-wings/article_44674ea2-566c-11ef-aeb8-5f71b454f83c.html" TargetMode="External"/><Relationship Id="rId4" Type="http://schemas.openxmlformats.org/officeDocument/2006/relationships/hyperlink" Target="https://www.franchisetimes.com/top-400-2024/2-7-eleven/article_f9199c4e-5665-11ef-9c03-97a80c626518.html" TargetMode="External"/><Relationship Id="rId180" Type="http://schemas.openxmlformats.org/officeDocument/2006/relationships/hyperlink" Target="https://www.franchisetimes.com/top-400-2024/41-home-instead-senior-care/article_ea6bf05c-566f-11ef-9d2a-1fabf8a5a90f.html" TargetMode="External"/><Relationship Id="rId215" Type="http://schemas.openxmlformats.org/officeDocument/2006/relationships/hyperlink" Target="https://www.franchisetimes.com/top-400-2024/188-grease-monkey/article_2af7c312-5666-11ef-ba7d-1bc047b54f52.html" TargetMode="External"/><Relationship Id="rId236" Type="http://schemas.openxmlformats.org/officeDocument/2006/relationships/hyperlink" Target="https://www.franchisetimes.com/top-400-2024/209-wetzels-pretzels/article_e5edb1cc-5666-11ef-86f8-2f12b5ef4171.html" TargetMode="External"/><Relationship Id="rId257" Type="http://schemas.openxmlformats.org/officeDocument/2006/relationships/hyperlink" Target="https://www.franchisetimes.com/top-400-2024/230-playa-bowls/article_b385279e-5669-11ef-aacb-1f26062cbf06.html" TargetMode="External"/><Relationship Id="rId278" Type="http://schemas.openxmlformats.org/officeDocument/2006/relationships/hyperlink" Target="https://www.franchisetimes.com/top-400-2024/251-7-brew/article_ade5a104-5666-11ef-a456-43ea190308b1.html" TargetMode="External"/><Relationship Id="rId401" Type="http://schemas.openxmlformats.org/officeDocument/2006/relationships/hyperlink" Target="https://www.franchisetimes.com/top-400-2024/374-yogasix/article_5714c46a-566e-11ef-b2de-5fe55fd7a610.html" TargetMode="External"/><Relationship Id="rId422" Type="http://schemas.openxmlformats.org/officeDocument/2006/relationships/hyperlink" Target="https://www.franchisetimes.com/top-400-2024/395-hoodz/article_0298ec2c-566e-11ef-b207-5b98f40ee73c.html" TargetMode="External"/><Relationship Id="rId303" Type="http://schemas.openxmlformats.org/officeDocument/2006/relationships/hyperlink" Target="https://www.franchisetimes.com/top-400-2024/276-burgerfi/article_923454bc-5668-11ef-b357-7b72243a087c.html" TargetMode="External"/><Relationship Id="rId42" Type="http://schemas.openxmlformats.org/officeDocument/2006/relationships/hyperlink" Target="https://www.franchisetimes.com/top-400-2024/24-servpro/article_e4fad75a-566a-11ef-ae1d-3ff2edcb5729.html" TargetMode="External"/><Relationship Id="rId84" Type="http://schemas.openxmlformats.org/officeDocument/2006/relationships/hyperlink" Target="https://www.franchisetimes.com/top-400-2024/62-paul-davis-restoration/article_ef224828-58b1-11ef-bb43-93019db53722.html" TargetMode="External"/><Relationship Id="rId138" Type="http://schemas.openxmlformats.org/officeDocument/2006/relationships/hyperlink" Target="https://www.franchisetimes.com/top-400-2024/111-habit-burger-grill/article_2941779c-565d-11ef-835a-8b0bff4f4889.html" TargetMode="External"/><Relationship Id="rId345" Type="http://schemas.openxmlformats.org/officeDocument/2006/relationships/hyperlink" Target="https://www.franchisetimes.com/top-400-2024/318-woof-gang-bakery/article_7b140e14-566b-11ef-846c-a78691f566c9.html" TargetMode="External"/><Relationship Id="rId387" Type="http://schemas.openxmlformats.org/officeDocument/2006/relationships/hyperlink" Target="https://www.franchisetimes.com/top-400-2024/360-saladworks/article_220766ee-566c-11ef-8f78-7b043678abab.html" TargetMode="External"/><Relationship Id="rId191" Type="http://schemas.openxmlformats.org/officeDocument/2006/relationships/hyperlink" Target="https://www.franchisetimes.com/top-400-2024/164-chesters/article_28a0b7ce-5664-11ef-840a-1b12141a52d6.html" TargetMode="External"/><Relationship Id="rId205" Type="http://schemas.openxmlformats.org/officeDocument/2006/relationships/hyperlink" Target="https://www.franchisetimes.com/top-400-2024/178-weed-man/article_c861cdf6-5665-11ef-a493-6f1728c3a66e.html" TargetMode="External"/><Relationship Id="rId247" Type="http://schemas.openxmlformats.org/officeDocument/2006/relationships/hyperlink" Target="https://www.franchisetimes.com/top-400-2024/196-sola-salons/article_5f7f394e-5666-11ef-96b1-7334081218d5.html" TargetMode="External"/><Relationship Id="rId412" Type="http://schemas.openxmlformats.org/officeDocument/2006/relationships/hyperlink" Target="https://www.franchisetimes.com/top-400-2024/385-any-lab-test-now/article_d3496e9e-566b-11ef-afd3-478c298c8a26.html" TargetMode="External"/><Relationship Id="rId107" Type="http://schemas.openxmlformats.org/officeDocument/2006/relationships/hyperlink" Target="https://www.franchisetimes.com/top-400-2024/82-freddy-s-frozen-custard-steakburgers/article_c65e6236-58b2-11ef-bcf0-bb20db81e296.html" TargetMode="External"/><Relationship Id="rId289" Type="http://schemas.openxmlformats.org/officeDocument/2006/relationships/hyperlink" Target="https://www.franchisetimes.com/top-400-2024/262-ziebart/article_157c7666-5668-11ef-a078-178178b9bf27.html" TargetMode="External"/><Relationship Id="rId11" Type="http://schemas.openxmlformats.org/officeDocument/2006/relationships/hyperlink" Target="https://www.google.com/search?q=Chick-fil-A%20franchise%20times%20site%3Afranchisetimes.com%2Ftop-400-2024" TargetMode="External"/><Relationship Id="rId53" Type="http://schemas.openxmlformats.org/officeDocument/2006/relationships/hyperlink" Target="https://www.franchisetimes.com/top-400-2024/33-wingstop/article_be450fc0-566c-11ef-832e-13b014e60ef8.html" TargetMode="External"/><Relationship Id="rId149" Type="http://schemas.openxmlformats.org/officeDocument/2006/relationships/hyperlink" Target="https://www.franchisetimes.com/top-400-2024/122-two-men-and-a-truck/article_22e50882-565d-11ef-9b44-bb90206d1101.html" TargetMode="External"/><Relationship Id="rId314" Type="http://schemas.openxmlformats.org/officeDocument/2006/relationships/hyperlink" Target="https://www.franchisetimes.com/top-400-2024/287-fords-garage/article_334955ba-5668-11ef-85d3-2f5be3ed864e.html" TargetMode="External"/><Relationship Id="rId356" Type="http://schemas.openxmlformats.org/officeDocument/2006/relationships/hyperlink" Target="https://www.franchisetimes.com/top-400-2024/329-junk-king/article_f59dc81a-566a-11ef-a402-d74faeeaf2cf.html" TargetMode="External"/><Relationship Id="rId398" Type="http://schemas.openxmlformats.org/officeDocument/2006/relationships/hyperlink" Target="https://www.franchisetimes.com/top-400-2024/371-mooyah-burgers-fries-shakes/article_8c57a3ec-566c-11ef-8792-6799fb1eb47e.html" TargetMode="External"/><Relationship Id="rId95" Type="http://schemas.openxmlformats.org/officeDocument/2006/relationships/hyperlink" Target="https://www.franchisetimes.com/top-400-2024/468-ivy-kids-early-learning-center/article_b619d7e6-58af-11ef-921b-53402c2d09a4.html" TargetMode="External"/><Relationship Id="rId160" Type="http://schemas.openxmlformats.org/officeDocument/2006/relationships/hyperlink" Target="https://www.franchisetimes.com/top-400-2024/133-einstein-bros-bagels/article_a8794dfe-5663-11ef-9a19-6765de89c3b6.html" TargetMode="External"/><Relationship Id="rId216" Type="http://schemas.openxmlformats.org/officeDocument/2006/relationships/hyperlink" Target="https://www.franchisetimes.com/top-400-2024/189-goldfish-swim-school/article_8feb69c2-5666-11ef-85c3-53e68a39fba0.html" TargetMode="External"/><Relationship Id="rId423" Type="http://schemas.openxmlformats.org/officeDocument/2006/relationships/hyperlink" Target="https://www.franchisetimes.com/top-400-2024/396-cousins-maine-lobster/article_3303729c-566e-11ef-99d2-77ea45c3cecd.html" TargetMode="External"/><Relationship Id="rId258" Type="http://schemas.openxmlformats.org/officeDocument/2006/relationships/hyperlink" Target="https://www.franchisetimes.com/top-400-2024/231-beef-o-bradys/article_e03a1ac0-5663-11ef-9421-9b79c4e77189.html" TargetMode="External"/><Relationship Id="rId22" Type="http://schemas.openxmlformats.org/officeDocument/2006/relationships/hyperlink" Target="https://www.google.com/search?q=Dunkin%E2%80%99%20franchise%20times%20site%3Afranchisetimes.com%2Ftop-400-2024" TargetMode="External"/><Relationship Id="rId64" Type="http://schemas.openxmlformats.org/officeDocument/2006/relationships/hyperlink" Target="https://www.franchisetimes.com/top-400-2024/43-jimmy-john-s/article_1109b71e-566e-11ef-8906-17585f60bee4.html" TargetMode="External"/><Relationship Id="rId118" Type="http://schemas.openxmlformats.org/officeDocument/2006/relationships/hyperlink" Target="https://www.franchisetimes.com/top-400-2024/92-realty-one-group/article_292f5682-58b2-11ef-94c5-17a8c6db0ed0.html" TargetMode="External"/><Relationship Id="rId325" Type="http://schemas.openxmlformats.org/officeDocument/2006/relationships/hyperlink" Target="https://www.franchisetimes.com/top-400-2024/298-five-star-painting/article_e391d7f2-5669-11ef-b9c2-f7ab291df61a.html" TargetMode="External"/><Relationship Id="rId367" Type="http://schemas.openxmlformats.org/officeDocument/2006/relationships/hyperlink" Target="https://www.franchisetimes.com/top-400-2024/340-sterling-optical/article_ab2552d4-566b-11ef-986f-1762a7d1d99d.html" TargetMode="External"/><Relationship Id="rId171" Type="http://schemas.openxmlformats.org/officeDocument/2006/relationships/hyperlink" Target="https://www.franchisetimes.com/top-400-2024/144-perkins/article_d16b07de-565e-11ef-abd2-9f36468c1203.html" TargetMode="External"/><Relationship Id="rId227" Type="http://schemas.openxmlformats.org/officeDocument/2006/relationships/hyperlink" Target="https://www.franchisetimes.com/top-400-2024/200-biggby-coffee/article_e858d904-5667-11ef-a4de-872008d24cbd.html" TargetMode="External"/><Relationship Id="rId269" Type="http://schemas.openxmlformats.org/officeDocument/2006/relationships/hyperlink" Target="https://www.franchisetimes.com/top-400-2024/242-image360/article_3977748a-5668-11ef-8e2c-876a4d1df168.html" TargetMode="External"/><Relationship Id="rId33" Type="http://schemas.openxmlformats.org/officeDocument/2006/relationships/hyperlink" Target="https://www.franchisetimes.com/top-400-2024/17-popeyes-louisiana-kitchen/article_4a63f2e0-5664-11ef-9c6b-bfc1611e1794.html" TargetMode="External"/><Relationship Id="rId129" Type="http://schemas.openxmlformats.org/officeDocument/2006/relationships/hyperlink" Target="https://www.franchisetimes.com/top-400-2024/102-club-pilates/article_9b844266-5663-11ef-8437-d37950c485fb.html" TargetMode="External"/><Relationship Id="rId280" Type="http://schemas.openxmlformats.org/officeDocument/2006/relationships/hyperlink" Target="https://www.franchisetimes.com/top-400-2024/253-bar-louie/article_c009b12c-5666-11ef-885c-57f7dafe1e4a.html" TargetMode="External"/><Relationship Id="rId336" Type="http://schemas.openxmlformats.org/officeDocument/2006/relationships/hyperlink" Target="https://www.franchisetimes.com/top-400-2024/309-hawaiian-bros-island-grill/article_8466d042-566a-11ef-8b7d-0f5fba16692c.html" TargetMode="External"/><Relationship Id="rId75" Type="http://schemas.openxmlformats.org/officeDocument/2006/relationships/hyperlink" Target="https://www.franchisetimes.com/top-400-2024/54-great-clips/article_861e2626-58b1-11ef-ab04-4f6469643817.html" TargetMode="External"/><Relationship Id="rId140" Type="http://schemas.openxmlformats.org/officeDocument/2006/relationships/hyperlink" Target="https://www.franchisetimes.com/top-400-2024/113-honeybaked-ham/article_e4240f02-565d-11ef-9d64-b7da217fd8ec.html" TargetMode="External"/><Relationship Id="rId182" Type="http://schemas.openxmlformats.org/officeDocument/2006/relationships/hyperlink" Target="https://www.franchisetimes.com/top-400-2024/155-mr-rooter/article_fbf6fb02-5663-11ef-8911-cfec9d7dd050.html" TargetMode="External"/><Relationship Id="rId378" Type="http://schemas.openxmlformats.org/officeDocument/2006/relationships/hyperlink" Target="https://www.franchisetimes.com/top-400-2024/351-clean-eatz/article_51d634a4-566c-11ef-bdce-4734a619d412.html" TargetMode="External"/><Relationship Id="rId403" Type="http://schemas.openxmlformats.org/officeDocument/2006/relationships/hyperlink" Target="https://www.franchisetimes.com/top-400-2024/376-guss-world-famous-fried-chicken/article_3b13e274-566d-11ef-b79d-372fd7e57a75.html" TargetMode="External"/><Relationship Id="rId6" Type="http://schemas.openxmlformats.org/officeDocument/2006/relationships/hyperlink" Target="https://www.franchisetimes.com/top-400-2024/3-kfc/article_64418334-566a-11ef-9b51-9b41faf894de.html" TargetMode="External"/><Relationship Id="rId238" Type="http://schemas.openxmlformats.org/officeDocument/2006/relationships/hyperlink" Target="https://www.franchisetimes.com/top-400-2024/211-kona-ice/article_ba1a2b92-5667-11ef-8a13-1fa75613fb95.html" TargetMode="External"/><Relationship Id="rId291" Type="http://schemas.openxmlformats.org/officeDocument/2006/relationships/hyperlink" Target="https://www.franchisetimes.com/top-400-2024/264-mr-appliance/article_ae16a5ae-5668-11ef-ac7c-af976f920f0c.html" TargetMode="External"/><Relationship Id="rId305" Type="http://schemas.openxmlformats.org/officeDocument/2006/relationships/hyperlink" Target="https://www.franchisetimes.com/top-400-2024/278-jinya-ramen-bar/article_3fd5bad8-566a-11ef-ae72-4b4d4fd3156e.html" TargetMode="External"/><Relationship Id="rId347" Type="http://schemas.openxmlformats.org/officeDocument/2006/relationships/hyperlink" Target="https://www.franchisetimes.com/top-400-2024/320-handels-ice-cream/article_119ef0ba-566c-11ef-bff8-cb833656245d.html" TargetMode="External"/><Relationship Id="rId44" Type="http://schemas.openxmlformats.org/officeDocument/2006/relationships/hyperlink" Target="https://www.franchisetimes.com/top-400-2024/25-planet-fitness/article_1ff4a9b8-566a-11ef-8702-2fd79e89334c.html" TargetMode="External"/><Relationship Id="rId86" Type="http://schemas.openxmlformats.org/officeDocument/2006/relationships/hyperlink" Target="https://www.franchisetimes.com/top-400-2024/64-primrose-schools/article_f540c4c8-58b1-11ef-83f2-cbf5375630c2.html" TargetMode="External"/><Relationship Id="rId151" Type="http://schemas.openxmlformats.org/officeDocument/2006/relationships/hyperlink" Target="https://www.franchisetimes.com/top-400-2024/124-united-real-estate/article_1b190a22-565d-11ef-a041-83d940f833de.html" TargetMode="External"/><Relationship Id="rId389" Type="http://schemas.openxmlformats.org/officeDocument/2006/relationships/hyperlink" Target="https://www.franchisetimes.com/top-400-2024/362-toppers-pizza/article_e462e732-566b-11ef-8c8f-fb90ac678606.html" TargetMode="External"/><Relationship Id="rId193" Type="http://schemas.openxmlformats.org/officeDocument/2006/relationships/hyperlink" Target="https://www.franchisetimes.com/top-400-2024/166-tegg-service/article_b9ba0e58-5665-11ef-8b33-53ac51ceebfc.html" TargetMode="External"/><Relationship Id="rId207" Type="http://schemas.openxmlformats.org/officeDocument/2006/relationships/hyperlink" Target="https://www.franchisetimes.com/top-400-2024/180-atwork-group/article_45854d32-5664-11ef-9d8b-832b59abd18f.html" TargetMode="External"/><Relationship Id="rId249" Type="http://schemas.openxmlformats.org/officeDocument/2006/relationships/hyperlink" Target="https://www.franchisetimes.com/top-400-2024/222-always-best-care/article_0b0db2ee-5668-11ef-8b5a-8763f4a07531.html" TargetMode="External"/><Relationship Id="rId414" Type="http://schemas.openxmlformats.org/officeDocument/2006/relationships/hyperlink" Target="https://www.franchisetimes.com/top-400-2024/387-duck-donuts/article_72cff752-566d-11ef-b037-1b82a2e6ba04.html" TargetMode="External"/><Relationship Id="rId13" Type="http://schemas.openxmlformats.org/officeDocument/2006/relationships/hyperlink" Target="https://www.google.com/search?q=Subway%20franchise%20times%20site%3Afranchisetimes.com%2Ftop-400-2024" TargetMode="External"/><Relationship Id="rId109" Type="http://schemas.openxmlformats.org/officeDocument/2006/relationships/hyperlink" Target="https://www.franchisetimes.com/top-400-2024/85-auntie-anne-s/article_ceee63ec-58b2-11ef-9125-df2c2a97b24d.html" TargetMode="External"/><Relationship Id="rId260" Type="http://schemas.openxmlformats.org/officeDocument/2006/relationships/hyperlink" Target="https://www.franchisetimes.com/top-400-2024/233-lawn-doctor/article_cd626872-5667-11ef-91fa-4f94c513eae6.html" TargetMode="External"/><Relationship Id="rId316" Type="http://schemas.openxmlformats.org/officeDocument/2006/relationships/hyperlink" Target="https://www.franchisetimes.com/top-400-2024/289-nathan-s-famous/article_4292d642-566b-11ef-afef-97d3235c90bb.html" TargetMode="External"/><Relationship Id="rId55" Type="http://schemas.openxmlformats.org/officeDocument/2006/relationships/hyperlink" Target="https://www.franchisetimes.com/top-400-2024/35-culver-s-butterburgers-frozen-custard/article_7db12250-566c-11ef-a9cb-e7f8a5925775.html" TargetMode="External"/><Relationship Id="rId97" Type="http://schemas.openxmlformats.org/officeDocument/2006/relationships/hyperlink" Target="https://www.franchisetimes.com/top-400-2024/74-mcalister-s-deli/article_4f80e7e2-58b2-11ef-adb9-272c51ef8453.html" TargetMode="External"/><Relationship Id="rId120" Type="http://schemas.openxmlformats.org/officeDocument/2006/relationships/hyperlink" Target="https://www.franchisetimes.com/top-400-2024/94-fastsigns/article_be896f40-565c-11ef-97fe-1fdf3e12e146.html" TargetMode="External"/><Relationship Id="rId358" Type="http://schemas.openxmlformats.org/officeDocument/2006/relationships/hyperlink" Target="https://www.franchisetimes.com/top-400-2024/331-broken-yolk-cafe/article_cce0d402-566b-11ef-a315-0f6ffcdd7704.html" TargetMode="External"/><Relationship Id="rId162" Type="http://schemas.openxmlformats.org/officeDocument/2006/relationships/hyperlink" Target="https://www.franchisetimes.com/top-400-2024/135-urban-air-adventure-parks/article_eb19e7d2-565d-11ef-8b62-878fb0075b59.html" TargetMode="External"/><Relationship Id="rId218" Type="http://schemas.openxmlformats.org/officeDocument/2006/relationships/hyperlink" Target="https://www.franchisetimes.com/top-400-2024/191-inxpress/article_666a0826-5664-11ef-8272-4b9ace030782.html" TargetMode="External"/><Relationship Id="rId425" Type="http://schemas.openxmlformats.org/officeDocument/2006/relationships/hyperlink" Target="https://www.franchisetimes.com/top-400-2024/398-mr-transmission/article_661cab5e-566d-11ef-959e-9bdc44f0e8a1.html" TargetMode="External"/><Relationship Id="rId271" Type="http://schemas.openxmlformats.org/officeDocument/2006/relationships/hyperlink" Target="https://www.franchisetimes.com/top-400-2024/244-school-of-rock/article_85f7500a-5668-11ef-baaf-a7cb5f800f9a.html" TargetMode="External"/><Relationship Id="rId24" Type="http://schemas.openxmlformats.org/officeDocument/2006/relationships/hyperlink" Target="https://www.google.com/search?q=Pizza%20Hut%20franchise%20times%20site%3Afranchisetimes.com%2Ftop-400-2024" TargetMode="External"/><Relationship Id="rId66" Type="http://schemas.openxmlformats.org/officeDocument/2006/relationships/hyperlink" Target="https://www.franchisetimes.com/top-400-2024/45-hardee-s/article_bcb82fba-566d-11ef-ae80-27450f0b9df5.html" TargetMode="External"/><Relationship Id="rId131" Type="http://schemas.openxmlformats.org/officeDocument/2006/relationships/hyperlink" Target="https://www.franchisetimes.com/top-400-2024/104-cold-stone-creamery/article_3fb4f88c-565d-11ef-a6b5-a7ba863fb408.html" TargetMode="External"/><Relationship Id="rId327" Type="http://schemas.openxmlformats.org/officeDocument/2006/relationships/hyperlink" Target="https://www.franchisetimes.com/top-400-2024/300-property-management/article_c59fca7a-5668-11ef-a67c-1b134e8b2250.html" TargetMode="External"/><Relationship Id="rId369" Type="http://schemas.openxmlformats.org/officeDocument/2006/relationships/hyperlink" Target="https://www.franchisetimes.com/top-400-2024/342-enviro-master/article_85a94e66-566b-11ef-9380-1752b5d560f1.html" TargetMode="External"/><Relationship Id="rId173" Type="http://schemas.openxmlformats.org/officeDocument/2006/relationships/hyperlink" Target="https://www.franchisetimes.com/top-400-2024/146-1-800-got-junk/article_8dec9914-5663-11ef-b250-43d85331b360.html" TargetMode="External"/><Relationship Id="rId229" Type="http://schemas.openxmlformats.org/officeDocument/2006/relationships/hyperlink" Target="https://www.franchisetimes.com/top-400-2024/202-donatos-pizza/article_e85e035e-5665-11ef-9dc5-8f04c989cad1.html" TargetMode="External"/><Relationship Id="rId380" Type="http://schemas.openxmlformats.org/officeDocument/2006/relationships/hyperlink" Target="https://www.franchisetimes.com/top-400-2024/353-rocky-mountain-chocolate-factory/article_89aa5434-566a-11ef-bb04-f7363638db13.html" TargetMode="External"/><Relationship Id="rId240" Type="http://schemas.openxmlformats.org/officeDocument/2006/relationships/hyperlink" Target="https://www.franchisetimes.com/top-400-2024/213-tommys-express/article_20fb18da-5668-11ef-a4cd-472fcbe15bba.html" TargetMode="External"/><Relationship Id="rId35" Type="http://schemas.openxmlformats.org/officeDocument/2006/relationships/hyperlink" Target="https://www.franchisetimes.com/top-400-2024/18-dairy-queen/article_9791d284-5665-11ef-b898-879afb5e2054.html" TargetMode="External"/><Relationship Id="rId77" Type="http://schemas.openxmlformats.org/officeDocument/2006/relationships/hyperlink" Target="https://www.franchisetimes.com/top-400-2024/56-ampm/article_70e6aa76-58b1-11ef-9a9d-8f1a4fcc889f.html" TargetMode="External"/><Relationship Id="rId100" Type="http://schemas.openxmlformats.org/officeDocument/2006/relationships/hyperlink" Target="https://www.google.com/search?q=Boston%20Pizza%20franchise%20times%20site%3Afranchisetimes.com%2Ftop-400-2024" TargetMode="External"/><Relationship Id="rId282" Type="http://schemas.openxmlformats.org/officeDocument/2006/relationships/hyperlink" Target="https://www.franchisetimes.com/top-400-2024/255-stratus-building-solutions/article_b8c67d08-5668-11ef-886d-571c3ec7dbe1.html" TargetMode="External"/><Relationship Id="rId338" Type="http://schemas.openxmlformats.org/officeDocument/2006/relationships/hyperlink" Target="https://www.franchisetimes.com/top-400-2024/311-wings-etc/article_ce97bc8a-566a-11ef-be24-a74771e18ea4.html" TargetMode="External"/><Relationship Id="rId8" Type="http://schemas.openxmlformats.org/officeDocument/2006/relationships/hyperlink" Target="https://www.franchisetimes.com/top-400-2024/4-burger-king/article_7dc7491c-566d-11ef-bafe-fb84dc8479e0.html" TargetMode="External"/><Relationship Id="rId142" Type="http://schemas.openxmlformats.org/officeDocument/2006/relationships/hyperlink" Target="https://www.franchisetimes.com/top-400-2024/115-meineke-car-care-centers/article_38fab86a-565d-11ef-a806-bb50f9711c8a.html" TargetMode="External"/><Relationship Id="rId184" Type="http://schemas.openxmlformats.org/officeDocument/2006/relationships/hyperlink" Target="https://www.franchisetimes.com/top-400-2024/157-black-bear-diner/article_1c884f42-5664-11ef-89e6-7b48810b974b.html" TargetMode="External"/><Relationship Id="rId391" Type="http://schemas.openxmlformats.org/officeDocument/2006/relationships/hyperlink" Target="https://www.franchisetimes.com/top-400-2024/364-christmas-decor/article_580b1fd8-566c-11ef-8f75-579b74537372.html" TargetMode="External"/><Relationship Id="rId405" Type="http://schemas.openxmlformats.org/officeDocument/2006/relationships/hyperlink" Target="https://www.franchisetimes.com/top-400-2024/378-rodizio-grill/article_3607e280-566d-11ef-8dcc-27c081977147.html" TargetMode="External"/><Relationship Id="rId251" Type="http://schemas.openxmlformats.org/officeDocument/2006/relationships/hyperlink" Target="https://www.franchisetimes.com/top-400-2024/224-yogi-bear-s-jellystone-park/article_cd2ec22a-5666-11ef-b95a-e75bb5cb8b35.html" TargetMode="External"/><Relationship Id="rId46" Type="http://schemas.openxmlformats.org/officeDocument/2006/relationships/hyperlink" Target="https://www.franchisetimes.com/top-400-2024/27-jack-in-the-box/article_a9093086-5668-11ef-8503-6bc96d327c76.html" TargetMode="External"/><Relationship Id="rId293" Type="http://schemas.openxmlformats.org/officeDocument/2006/relationships/hyperlink" Target="https://www.franchisetimes.com/top-400-2024/266-waba-grill/article_80d4b536-5668-11ef-a171-f77d951aadb9.html" TargetMode="External"/><Relationship Id="rId307" Type="http://schemas.openxmlformats.org/officeDocument/2006/relationships/hyperlink" Target="https://www.franchisetimes.com/top-400-2024/280-altitude-trampoline-park/article_62dfb77e-5668-11ef-830b-3fadeecb24d3.html" TargetMode="External"/><Relationship Id="rId349" Type="http://schemas.openxmlformats.org/officeDocument/2006/relationships/hyperlink" Target="https://www.franchisetimes.com/top-400-2024/322-shakey-s-pizza-parlor/article_7591e060-566b-11ef-b983-c78bd55e4084.html" TargetMode="External"/><Relationship Id="rId88" Type="http://schemas.openxmlformats.org/officeDocument/2006/relationships/hyperlink" Target="https://www.franchisetimes.com/top-400-2024/66-tropical-smoothie-cafe/article_099002f4-58b2-11ef-bc2c-77d48b9890ff.html" TargetMode="External"/><Relationship Id="rId111" Type="http://schemas.openxmlformats.org/officeDocument/2006/relationships/hyperlink" Target="https://www.franchisetimes.com/top-400-2024/87-linc-service/article_9f60edc0-58b2-11ef-be8c-6767e31fb490.html" TargetMode="External"/><Relationship Id="rId153" Type="http://schemas.openxmlformats.org/officeDocument/2006/relationships/hyperlink" Target="https://www.franchisetimes.com/top-400-2024/126-kiddie-academy/article_c0968406-565e-11ef-a988-a388dbed2cb6.html" TargetMode="External"/><Relationship Id="rId195" Type="http://schemas.openxmlformats.org/officeDocument/2006/relationships/hyperlink" Target="https://www.franchisetimes.com/top-400-2024/168-slim-chickens/article_4f59e282-5664-11ef-bc9f-e33887a2f8f5.html" TargetMode="External"/><Relationship Id="rId209" Type="http://schemas.openxmlformats.org/officeDocument/2006/relationships/hyperlink" Target="https://www.franchisetimes.com/top-400-2024/182-mountain-mike-s-pizza/article_37f95350-5666-11ef-8320-cb71d525c883.html" TargetMode="External"/><Relationship Id="rId360" Type="http://schemas.openxmlformats.org/officeDocument/2006/relationships/hyperlink" Target="https://www.franchisetimes.com/top-400-2024/333-retro-fitness/article_a599d57e-566b-11ef-879e-7f8e20539186.html" TargetMode="External"/><Relationship Id="rId416" Type="http://schemas.openxmlformats.org/officeDocument/2006/relationships/hyperlink" Target="https://www.franchisetimes.com/top-400-2024/389-the-flying-biscuit-cafe/article_30f5b3c6-566d-11ef-bdaf-cbba15cad6cf.html" TargetMode="External"/><Relationship Id="rId220" Type="http://schemas.openxmlformats.org/officeDocument/2006/relationships/hyperlink" Target="https://www.franchisetimes.com/top-400-2024/193-shipley-do-nuts/article_4ecda004-5666-11ef-a815-ab0408b0109b.html" TargetMode="External"/><Relationship Id="rId15" Type="http://schemas.openxmlformats.org/officeDocument/2006/relationships/hyperlink" Target="https://www.google.com/search?q=Domino%E2%80%99s%20franchise%20times%20site%3Afranchisetimes.com%2Ftop-400-2024" TargetMode="External"/><Relationship Id="rId57" Type="http://schemas.openxmlformats.org/officeDocument/2006/relationships/hyperlink" Target="https://www.franchisetimes.com/top-400-2024/37-five-guys/article_de52d99c-566b-11ef-8cac-130da9f1dd53.html" TargetMode="External"/><Relationship Id="rId262" Type="http://schemas.openxmlformats.org/officeDocument/2006/relationships/hyperlink" Target="https://www.franchisetimes.com/top-400-2024/235-the-melting-pot/article_f4672698-5666-11ef-9647-ab33eedf2549.html" TargetMode="External"/><Relationship Id="rId318" Type="http://schemas.openxmlformats.org/officeDocument/2006/relationships/hyperlink" Target="https://www.franchisetimes.com/top-400-2024/291-anago-cleaning-systems/article_d9120e40-566a-11ef-a382-7f236b1ebad4.html" TargetMode="External"/><Relationship Id="rId99" Type="http://schemas.openxmlformats.org/officeDocument/2006/relationships/hyperlink" Target="https://www.franchisetimes.com/top-400-2024/75-tous-les-jours/article_5f91c336-58b2-11ef-87c2-97edb66d97c5.html" TargetMode="External"/><Relationship Id="rId122" Type="http://schemas.openxmlformats.org/officeDocument/2006/relationships/hyperlink" Target="https://www.franchisetimes.com/top-400-2024/95-sport-clips/article_90ba90a0-565a-11ef-b16b-7f964ebe1cef.html" TargetMode="External"/><Relationship Id="rId164" Type="http://schemas.openxmlformats.org/officeDocument/2006/relationships/hyperlink" Target="https://www.franchisetimes.com/top-400-2024/137-captain-d-s/article_245e1f4a-565e-11ef-81e2-7373252f0a72.html" TargetMode="External"/><Relationship Id="rId371" Type="http://schemas.openxmlformats.org/officeDocument/2006/relationships/hyperlink" Target="https://www.franchisetimes.com/top-400-2024/344-pizza-factory/article_0bd10dee-566c-11ef-9b42-4ff4d4d7ef03.html" TargetMode="External"/><Relationship Id="rId427" Type="http://schemas.openxmlformats.org/officeDocument/2006/relationships/hyperlink" Target="https://www.franchisetimes.com/top-400-2024/400-baja-fresh/article_4f233922-566d-11ef-a275-a3a0ef4c1107.html" TargetMode="External"/><Relationship Id="rId26" Type="http://schemas.openxmlformats.org/officeDocument/2006/relationships/hyperlink" Target="https://www.google.com/search?q=RE%2FMAX%20franchise%20times%20site%3Afranchisetimes.com%2Ftop-400-2024" TargetMode="External"/><Relationship Id="rId231" Type="http://schemas.openxmlformats.org/officeDocument/2006/relationships/hyperlink" Target="https://www.franchisetimes.com/top-400-2024/204-pridestaff/article_7793f17a-5664-11ef-ad93-8f8bc9878ad2.html" TargetMode="External"/><Relationship Id="rId273" Type="http://schemas.openxmlformats.org/officeDocument/2006/relationships/hyperlink" Target="https://www.franchisetimes.com/top-400-2024/246-mighty-auto-parts/article_49b30602-5668-11ef-a24a-774999ab5b1b.html" TargetMode="External"/><Relationship Id="rId329" Type="http://schemas.openxmlformats.org/officeDocument/2006/relationships/hyperlink" Target="https://www.franchisetimes.com/top-400-2024/302-the-grounds-guys/article_b3738736-566a-11ef-8ef1-17fd555ed761.html" TargetMode="External"/><Relationship Id="rId68" Type="http://schemas.openxmlformats.org/officeDocument/2006/relationships/hyperlink" Target="https://www.franchisetimes.com/top-400-2024/47-rent-a-center/article_1b7d6364-58b0-11ef-a9d7-478edb4b37a2.html" TargetMode="External"/><Relationship Id="rId133" Type="http://schemas.openxmlformats.org/officeDocument/2006/relationships/hyperlink" Target="https://www.franchisetimes.com/top-400-2024/106-city-wide-facility-solutions/article_c6949b46-565d-11ef-81e5-2bc917c74ae0.html" TargetMode="External"/><Relationship Id="rId175" Type="http://schemas.openxmlformats.org/officeDocument/2006/relationships/hyperlink" Target="https://www.franchisetimes.com/top-400-2024/148-sky-zone/article_070ea7a6-5664-11ef-94bf-ab3ad33d74a5.html" TargetMode="External"/><Relationship Id="rId340" Type="http://schemas.openxmlformats.org/officeDocument/2006/relationships/hyperlink" Target="https://www.franchisetimes.com/top-400-2024/313-strickland-brothers-oil-change/article_ba006f06-566a-11ef-bfbd-b302ecc33dd6.html" TargetMode="External"/><Relationship Id="rId200" Type="http://schemas.openxmlformats.org/officeDocument/2006/relationships/hyperlink" Target="https://www.franchisetimes.com/top-400-2024/79-crunch-fitness/article_453c6c0e-565d-11ef-ad2e-ff2279d3a895.html" TargetMode="External"/><Relationship Id="rId382" Type="http://schemas.openxmlformats.org/officeDocument/2006/relationships/hyperlink" Target="https://www.franchisetimes.com/top-400-2024/355-koala-insulation/article_fd9edd08-566d-11ef-b2c4-bbe1a2d96c00.html" TargetMode="External"/><Relationship Id="rId242" Type="http://schemas.openxmlformats.org/officeDocument/2006/relationships/hyperlink" Target="https://www.franchisetimes.com/top-400-2024/215-farmer-boys-hamburgers/article_d3fff272-5666-11ef-9334-27f199a33070.html" TargetMode="External"/><Relationship Id="rId284" Type="http://schemas.openxmlformats.org/officeDocument/2006/relationships/hyperlink" Target="https://www.franchisetimes.com/top-400-2024/257-floor-coverings-international/article_79947fb8-5668-11ef-9e1f-3f18fd5a5068.html" TargetMode="External"/><Relationship Id="rId37" Type="http://schemas.openxmlformats.org/officeDocument/2006/relationships/hyperlink" Target="https://www.franchisetimes.com/top-400-2024/20-sonic-drive-in/article_0954cdea-5666-11ef-ae9a-27e683fb4086.html" TargetMode="External"/><Relationship Id="rId79" Type="http://schemas.openxmlformats.org/officeDocument/2006/relationships/hyperlink" Target="https://www.franchisetimes.com/top-400-2024/57-homevestors/article_50a37f8c-58b1-11ef-a1fd-8b1d5688d989.html" TargetMode="External"/><Relationship Id="rId102" Type="http://schemas.openxmlformats.org/officeDocument/2006/relationships/hyperlink" Target="https://www.franchisetimes.com/top-400-2024/77-visiting-angels/article_91b318ce-58b2-11ef-a251-d368169857c7.html" TargetMode="External"/><Relationship Id="rId144" Type="http://schemas.openxmlformats.org/officeDocument/2006/relationships/hyperlink" Target="https://www.franchisetimes.com/top-400-2024/117-pirtek/article_f0774652-565d-11ef-8544-c3c780a479ac.html" TargetMode="External"/><Relationship Id="rId90" Type="http://schemas.openxmlformats.org/officeDocument/2006/relationships/hyperlink" Target="https://www.google.com/search?q=Window%20World%20franchise%20times%20site%3Afranchisetimes.com%2Ftop-400-2024" TargetMode="External"/><Relationship Id="rId186" Type="http://schemas.openxmlformats.org/officeDocument/2006/relationships/hyperlink" Target="https://www.franchisetimes.com/top-400-2024/159-spherion-staffing/article_0b66ae26-565e-11ef-b9e7-07989e4153c0.html" TargetMode="External"/><Relationship Id="rId351" Type="http://schemas.openxmlformats.org/officeDocument/2006/relationships/hyperlink" Target="https://www.franchisetimes.com/top-400-2024/324-americas-swimming-pool-company/article_4ce85130-566b-11ef-8d94-9326432702b0.html" TargetMode="External"/><Relationship Id="rId393" Type="http://schemas.openxmlformats.org/officeDocument/2006/relationships/hyperlink" Target="https://www.franchisetimes.com/top-400-2024/366-the-greene-turtle-sports-bar/article_32c0310a-566c-11ef-9585-9ba06e803014.html" TargetMode="External"/><Relationship Id="rId407" Type="http://schemas.openxmlformats.org/officeDocument/2006/relationships/hyperlink" Target="https://www.franchisetimes.com/top-400-2024/380-caring-transitions/article_4a1d9d82-566d-11ef-a3c5-b7ff5ebbc4fa.html" TargetMode="External"/><Relationship Id="rId211" Type="http://schemas.openxmlformats.org/officeDocument/2006/relationships/hyperlink" Target="https://www.franchisetimes.com/top-400-2024/184-rainbow-international/article_6500a894-5666-11ef-aae5-2fa1e324a9f1.html" TargetMode="External"/><Relationship Id="rId253" Type="http://schemas.openxmlformats.org/officeDocument/2006/relationships/hyperlink" Target="https://www.franchisetimes.com/top-400-2024/226-firstlight-home-care/article_5579ba12-5668-11ef-bf7a-37fd90d1942b.html" TargetMode="External"/><Relationship Id="rId295" Type="http://schemas.openxmlformats.org/officeDocument/2006/relationships/hyperlink" Target="https://www.franchisetimes.com/top-400-2024/268-mr-handyman/article_b36f0636-5668-11ef-b363-638b05c9e6cd.html" TargetMode="External"/><Relationship Id="rId309" Type="http://schemas.openxmlformats.org/officeDocument/2006/relationships/hyperlink" Target="https://www.franchisetimes.com/top-400-2024/282-aqua-tots-swim-schools/article_3aa8ba6a-566a-11ef-9515-032a24f6636b.html" TargetMode="External"/><Relationship Id="rId48" Type="http://schemas.openxmlformats.org/officeDocument/2006/relationships/hyperlink" Target="https://www.franchisetimes.com/top-400-2024/28-express-employment-professionals/article_26f2a956-5668-11ef-993f-3f89b493bd47.html" TargetMode="External"/><Relationship Id="rId113" Type="http://schemas.openxmlformats.org/officeDocument/2006/relationships/hyperlink" Target="https://www.google.com/search?q=Right%20at%20Home%20franchise%20times%20site%3Afranchisetimes.com%2Ftop-400-2024" TargetMode="External"/><Relationship Id="rId320" Type="http://schemas.openxmlformats.org/officeDocument/2006/relationships/hyperlink" Target="https://www.franchisetimes.com/top-400-2024/293-teriyaki-madness/article_c48020a2-566a-11ef-a585-9b444f100e94.html" TargetMode="External"/><Relationship Id="rId155" Type="http://schemas.openxmlformats.org/officeDocument/2006/relationships/hyperlink" Target="https://www.franchisetimes.com/top-400-2024/128-batteries-plus/article_bb5e7d6e-565d-11ef-a276-8fca949a75ec.html" TargetMode="External"/><Relationship Id="rId197" Type="http://schemas.openxmlformats.org/officeDocument/2006/relationships/hyperlink" Target="https://www.franchisetimes.com/top-400-2024/177-chicken-salad-chick/article_d49d4802-5665-11ef-80b3-9b06170304f4.html" TargetMode="External"/><Relationship Id="rId362" Type="http://schemas.openxmlformats.org/officeDocument/2006/relationships/hyperlink" Target="https://www.franchisetimes.com/top-400-2024/335-bubbakoo-s-burritos/article_3ef631ea-566c-11ef-a200-5b4936614714.html" TargetMode="External"/><Relationship Id="rId418" Type="http://schemas.openxmlformats.org/officeDocument/2006/relationships/hyperlink" Target="https://www.franchisetimes.com/top-400-2024/391-healthsource-chiropractic/article_2b8b92ac-566d-11ef-8439-e35ecdbf3a8c.html" TargetMode="External"/><Relationship Id="rId222" Type="http://schemas.openxmlformats.org/officeDocument/2006/relationships/hyperlink" Target="https://www.franchisetimes.com/top-400-2024/195-molly-maid/article_427f5a9a-5666-11ef-bbaf-7f40ae0f837f.html" TargetMode="External"/><Relationship Id="rId264" Type="http://schemas.openxmlformats.org/officeDocument/2006/relationships/hyperlink" Target="https://www.franchisetimes.com/top-400-2024/102-club-pilates/article_9b844266-5663-11ef-8437-d37950c485fb.html" TargetMode="External"/><Relationship Id="rId17" Type="http://schemas.openxmlformats.org/officeDocument/2006/relationships/hyperlink" Target="https://www.google.com/search?q=Circle%20K%20franchise%20times%20site%3Afranchisetimes.com%2Ftop-400-2024" TargetMode="External"/><Relationship Id="rId59" Type="http://schemas.openxmlformats.org/officeDocument/2006/relationships/hyperlink" Target="https://www.franchisetimes.com/top-400-2024/39-paris-baguette/article_82f973ce-566d-11ef-bb82-9fa96a821f13.html" TargetMode="External"/><Relationship Id="rId124" Type="http://schemas.openxmlformats.org/officeDocument/2006/relationships/hyperlink" Target="https://www.franchisetimes.com/top-400-2024/97-papa-murphys/article_65d13330-565a-11ef-91b7-af6f3a2b81a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5" defaultRowHeight="15" customHeight="1"/>
  <cols>
    <col min="1" max="1" width="7.6640625" customWidth="1"/>
    <col min="2" max="2" width="6" customWidth="1"/>
    <col min="3" max="3" width="8.33203125" customWidth="1"/>
    <col min="4" max="5" width="13.6640625" customWidth="1"/>
    <col min="6" max="8" width="14.33203125" customWidth="1"/>
    <col min="9" max="11" width="12.33203125" customWidth="1"/>
    <col min="12" max="13" width="11.5" customWidth="1"/>
    <col min="14" max="16" width="17" customWidth="1"/>
    <col min="17" max="18" width="7.6640625" customWidth="1"/>
    <col min="19" max="20" width="13.83203125" customWidth="1"/>
    <col min="21" max="22" width="11.1640625" customWidth="1"/>
    <col min="23" max="24" width="12.1640625" customWidth="1"/>
    <col min="25" max="27" width="11.1640625" customWidth="1"/>
    <col min="28" max="30" width="12.5" customWidth="1"/>
    <col min="31" max="34" width="8.5" customWidth="1"/>
    <col min="35" max="35" width="126" customWidth="1"/>
    <col min="36" max="43" width="9.83203125" customWidth="1"/>
  </cols>
  <sheetData>
    <row r="1" spans="1:4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 t="s">
        <v>4</v>
      </c>
      <c r="I1" s="3" t="s">
        <v>5</v>
      </c>
      <c r="J1" s="4"/>
      <c r="K1" s="4" t="s">
        <v>6</v>
      </c>
      <c r="L1" s="5"/>
      <c r="M1" s="5" t="s">
        <v>7</v>
      </c>
      <c r="N1" s="6"/>
      <c r="O1" s="6" t="s">
        <v>8</v>
      </c>
      <c r="P1" s="6"/>
      <c r="Q1" s="7"/>
      <c r="R1" s="7" t="s">
        <v>9</v>
      </c>
      <c r="S1" s="8"/>
      <c r="T1" s="9" t="s">
        <v>10</v>
      </c>
      <c r="U1" s="10"/>
      <c r="V1" s="10" t="s">
        <v>11</v>
      </c>
      <c r="W1" s="1"/>
      <c r="X1" s="11" t="s">
        <v>12</v>
      </c>
      <c r="Y1" s="1"/>
      <c r="Z1" s="1"/>
      <c r="AA1" s="1" t="s">
        <v>13</v>
      </c>
      <c r="AB1" s="1"/>
      <c r="AC1" s="11"/>
      <c r="AD1" s="11" t="s">
        <v>14</v>
      </c>
      <c r="AE1" s="1"/>
      <c r="AF1" s="11" t="s">
        <v>15</v>
      </c>
      <c r="AG1" s="1"/>
      <c r="AH1" s="11" t="s">
        <v>16</v>
      </c>
      <c r="AI1" s="12" t="s">
        <v>17</v>
      </c>
      <c r="AJ1" s="13"/>
      <c r="AK1" s="13"/>
      <c r="AL1" s="13"/>
      <c r="AM1" s="13"/>
      <c r="AN1" s="13"/>
      <c r="AO1" s="13"/>
      <c r="AP1" s="13"/>
      <c r="AQ1" s="13"/>
    </row>
    <row r="2" spans="1:43" ht="14.25" customHeight="1">
      <c r="A2" s="14">
        <v>24.001000000000001</v>
      </c>
      <c r="B2" s="14">
        <v>2024</v>
      </c>
      <c r="C2" s="15">
        <v>1</v>
      </c>
      <c r="D2" s="16" t="str">
        <f ca="1">IFERROR(__xludf.DUMMYFUNCTION("IMPORTXML(AI2, ""//h1[@itemprop='headline']/span"")"),"1. McDonald’s")</f>
        <v>1. McDonald’s</v>
      </c>
      <c r="E2" s="17" t="str">
        <f ca="1">IFERROR(__xludf.DUMMYFUNCTION("REGEXEXTRACT(D2, ""\.\s*(.+)"")"),"McDonald’s")</f>
        <v>McDonald’s</v>
      </c>
      <c r="F2" s="18" t="str">
        <f ca="1">IFERROR(__xludf.DUMMYFUNCTION("IMPORTXML(AI2, ""//li[strong[text()='Investment Range:']]"")"),"Investment Range:")</f>
        <v>Investment Range:</v>
      </c>
      <c r="G2" s="18" t="str">
        <f ca="1">IFERROR(__xludf.DUMMYFUNCTION("""COMPUTED_VALUE""")," $1,470,500 - $2,642,000")</f>
        <v xml:space="preserve"> $1,470,500 - $2,642,000</v>
      </c>
      <c r="H2" s="18" t="str">
        <f ca="1">IFERROR(__xludf.DUMMYFUNCTION("SUBSTITUTE(REGEXEXTRACT(G2, ""\$(\d{1,3}(?:,\d{3})*)""), "","", ""."")
"),"1.470.500")</f>
        <v>1.470.500</v>
      </c>
      <c r="I2" s="19" t="str">
        <f ca="1">IFERROR(__xludf.DUMMYFUNCTION("SUBSTITUTE(REGEXEXTRACT(G2, ""-\s*\$(\d{1,3}(?:,\d{3})*)""), "","", ""."")
"),"2.642.000")</f>
        <v>2.642.000</v>
      </c>
      <c r="J2" s="19" t="str">
        <f ca="1">IFERROR(__xludf.DUMMYFUNCTION("IMPORTXML(AI2, ""//li[strong[text()='Initial Investment:']]"")"),"Initial Investment:")</f>
        <v>Initial Investment:</v>
      </c>
      <c r="K2" s="19" t="str">
        <f ca="1">IFERROR(__xludf.DUMMYFUNCTION("""COMPUTED_VALUE""")," $45,000")</f>
        <v xml:space="preserve"> $45,000</v>
      </c>
      <c r="L2" s="20" t="str">
        <f ca="1">IFERROR(__xludf.DUMMYFUNCTION("IMPORTXML(AI2, ""//li[strong[text()='Category:']]"")"),"Category:")</f>
        <v>Category:</v>
      </c>
      <c r="M2" s="20" t="str">
        <f ca="1">IFERROR(__xludf.DUMMYFUNCTION("""COMPUTED_VALUE""")," Restaurant")</f>
        <v xml:space="preserve"> Restaurant</v>
      </c>
      <c r="N2" s="19" t="str">
        <f ca="1">IFERROR(__xludf.DUMMYFUNCTION("IMPORTXML(AI2, ""//li[strong[text()='Global Sales:']]"")"),"Global Sales:")</f>
        <v>Global Sales:</v>
      </c>
      <c r="O2" s="19" t="str">
        <f ca="1">IFERROR(__xludf.DUMMYFUNCTION("""COMPUTED_VALUE""")," $129,500,000,000")</f>
        <v xml:space="preserve"> $129,500,000,000</v>
      </c>
      <c r="P2" s="19" t="str">
        <f t="shared" ref="P2:P256" ca="1" si="0">SUBSTITUTE(SUBSTITUTE(O2, "$", ""), ",", ".")</f>
        <v xml:space="preserve"> 129.500.000.000</v>
      </c>
      <c r="Q2" s="19" t="str">
        <f ca="1">IFERROR(__xludf.DUMMYFUNCTION("IMPORTXML(AI2, ""//li[strong[text()='US Units:']]"")"),"US Units:")</f>
        <v>US Units:</v>
      </c>
      <c r="R2" s="21">
        <f ca="1">IFERROR(__xludf.DUMMYFUNCTION("""COMPUTED_VALUE"""),13.457)</f>
        <v>13.457000000000001</v>
      </c>
      <c r="S2" s="19" t="str">
        <f ca="1">IFERROR(__xludf.DUMMYFUNCTION("IMPORTXML(AI2, ""//li[strong[text()='International Units:']]"")"),"International Units:")</f>
        <v>International Units:</v>
      </c>
      <c r="T2" s="19">
        <f ca="1">IFERROR(__xludf.DUMMYFUNCTION("""COMPUTED_VALUE"""),28.365)</f>
        <v>28.364999999999998</v>
      </c>
      <c r="U2" s="19" t="str">
        <f ca="1">IFERROR(__xludf.DUMMYFUNCTION("IMPORTXML(AI2, ""//li[strong[text()='Percent Franchised:']]"")"),"Percent Franchised:")</f>
        <v>Percent Franchised:</v>
      </c>
      <c r="V2" s="22">
        <f ca="1">IFERROR(__xludf.DUMMYFUNCTION("""COMPUTED_VALUE"""),0.95)</f>
        <v>0.95</v>
      </c>
      <c r="W2" s="19" t="str">
        <f ca="1">IFERROR(__xludf.DUMMYFUNCTION("IMPORTXML(AI2, ""//li[strong[text()='% International Units:']]"")"),"% International Units:")</f>
        <v>% International Units:</v>
      </c>
      <c r="X2" s="23">
        <f ca="1">IFERROR(__xludf.DUMMYFUNCTION("""COMPUTED_VALUE"""),0.68)</f>
        <v>0.68</v>
      </c>
      <c r="Y2" s="19" t="str">
        <f ca="1">IFERROR(__xludf.DUMMYFUNCTION("IMPORTXML(AI2, ""//li[strong[text()='US Franchised Units:']]"")"),"US Franchised Units:")</f>
        <v>US Franchised Units:</v>
      </c>
      <c r="Z2" s="24">
        <f ca="1">IFERROR(__xludf.DUMMYFUNCTION("""COMPUTED_VALUE"""),12.772)</f>
        <v>12.772</v>
      </c>
      <c r="AA2" s="14" t="str">
        <f t="shared" ref="AA2:AA256" ca="1" si="1">SUBSTITUTE(SUBSTITUTE(Z2, "$", ""), ",", ".")</f>
        <v>12.772</v>
      </c>
      <c r="AB2" s="19" t="str">
        <f ca="1">IFERROR(__xludf.DUMMYFUNCTION("IMPORTXML(AI2, ""//li[strong[text()='International Franchised Units:']]"")"),"International Franchised Units:")</f>
        <v>International Franchised Units:</v>
      </c>
      <c r="AC2" s="24">
        <f ca="1">IFERROR(__xludf.DUMMYFUNCTION("""COMPUTED_VALUE"""),26.908)</f>
        <v>26.908000000000001</v>
      </c>
      <c r="AD2" s="14" t="str">
        <f t="shared" ref="AD2:AD256" ca="1" si="2">SUBSTITUTE(SUBSTITUTE(AC2, "$", ""), ",", ".")</f>
        <v>26.908</v>
      </c>
      <c r="AE2" s="25" t="str">
        <f ca="1">IFERROR(__xludf.DUMMYFUNCTION("IMPORTXML(AI2, ""//li[strong[text()='Sales Growth %:']]"")"),"Sales Growth %:")</f>
        <v>Sales Growth %:</v>
      </c>
      <c r="AF2" s="25" t="str">
        <f ca="1">IFERROR(__xludf.DUMMYFUNCTION("""COMPUTED_VALUE""")," 9.6%")</f>
        <v xml:space="preserve"> 9.6%</v>
      </c>
      <c r="AG2" s="25" t="str">
        <f ca="1">IFERROR(__xludf.DUMMYFUNCTION("IMPORTXML(AI2, ""//li[strong[text()='Unit Growth %:']]"")"),"Unit Growth %:")</f>
        <v>Unit Growth %:</v>
      </c>
      <c r="AH2" s="25" t="str">
        <f ca="1">IFERROR(__xludf.DUMMYFUNCTION("""COMPUTED_VALUE""")," 3.8%")</f>
        <v xml:space="preserve"> 3.8%</v>
      </c>
      <c r="AI2" s="26" t="s">
        <v>18</v>
      </c>
      <c r="AJ2" s="27"/>
      <c r="AK2" s="27"/>
      <c r="AL2" s="27"/>
      <c r="AM2" s="27"/>
      <c r="AN2" s="27"/>
      <c r="AO2" s="27"/>
      <c r="AP2" s="27"/>
      <c r="AQ2" s="27"/>
    </row>
    <row r="3" spans="1:43" ht="14.25" customHeight="1">
      <c r="A3" s="14">
        <v>24.001999999999999</v>
      </c>
      <c r="B3" s="14">
        <v>2024</v>
      </c>
      <c r="C3" s="15">
        <v>2</v>
      </c>
      <c r="D3" s="16" t="str">
        <f ca="1">IFERROR(__xludf.DUMMYFUNCTION("IMPORTXML(AI3, ""//h1[@itemprop='headline']/span"")"),"2. 7-Eleven")</f>
        <v>2. 7-Eleven</v>
      </c>
      <c r="E3" s="17" t="str">
        <f ca="1">IFERROR(__xludf.DUMMYFUNCTION("REGEXEXTRACT(D3, ""\.\s*(.+)"")"),"7-Eleven")</f>
        <v>7-Eleven</v>
      </c>
      <c r="F3" s="18" t="str">
        <f ca="1">IFERROR(__xludf.DUMMYFUNCTION("IMPORTXML(AI3, ""//li[strong[text()='Investment Range:']]"")"),"Investment Range:")</f>
        <v>Investment Range:</v>
      </c>
      <c r="G3" s="28" t="str">
        <f ca="1">IFERROR(__xludf.DUMMYFUNCTION("""COMPUTED_VALUE""")," $141,650 - $1,370,850")</f>
        <v xml:space="preserve"> $141,650 - $1,370,850</v>
      </c>
      <c r="H3" s="18" t="str">
        <f ca="1">IFERROR(__xludf.DUMMYFUNCTION("SUBSTITUTE(REGEXEXTRACT(G3, ""\$(\d{1,3}(?:,\d{3})*)""), "","", ""."")
"),"141.650")</f>
        <v>141.650</v>
      </c>
      <c r="I3" s="19" t="str">
        <f ca="1">IFERROR(__xludf.DUMMYFUNCTION("SUBSTITUTE(REGEXEXTRACT(G3, ""-\s*\$(\d{1,3}(?:,\d{3})*)""), "","", ""."")
"),"1.370.850")</f>
        <v>1.370.850</v>
      </c>
      <c r="J3" s="19" t="str">
        <f ca="1">IFERROR(__xludf.DUMMYFUNCTION("IMPORTXML(AI3, ""//li[strong[text()='Initial Investment:']]"")"),"Initial Investment:")</f>
        <v>Initial Investment:</v>
      </c>
      <c r="K3" s="19" t="str">
        <f ca="1">IFERROR(__xludf.DUMMYFUNCTION("""COMPUTED_VALUE""")," $0 - $560,000")</f>
        <v xml:space="preserve"> $0 - $560,000</v>
      </c>
      <c r="L3" s="20" t="str">
        <f ca="1">IFERROR(__xludf.DUMMYFUNCTION("IMPORTXML(AI3, ""//li[strong[text()='Category:']]"")"),"Category:")</f>
        <v>Category:</v>
      </c>
      <c r="M3" s="14" t="str">
        <f ca="1">IFERROR(__xludf.DUMMYFUNCTION("""COMPUTED_VALUE""")," Retail")</f>
        <v xml:space="preserve"> Retail</v>
      </c>
      <c r="N3" s="19" t="str">
        <f ca="1">IFERROR(__xludf.DUMMYFUNCTION("IMPORTXML(AI3, ""//li[strong[text()='Global Sales:']]"")"),"Global Sales:")</f>
        <v>Global Sales:</v>
      </c>
      <c r="O3" s="19" t="str">
        <f ca="1">IFERROR(__xludf.DUMMYFUNCTION("""COMPUTED_VALUE""")," $97,885,166,233")</f>
        <v xml:space="preserve"> $97,885,166,233</v>
      </c>
      <c r="P3" s="19" t="str">
        <f t="shared" ca="1" si="0"/>
        <v xml:space="preserve"> 97.885.166.233</v>
      </c>
      <c r="Q3" s="19" t="str">
        <f ca="1">IFERROR(__xludf.DUMMYFUNCTION("IMPORTXML(AI3, ""//li[strong[text()='US Units:']]"")"),"US Units:")</f>
        <v>US Units:</v>
      </c>
      <c r="R3" s="21">
        <f ca="1">IFERROR(__xludf.DUMMYFUNCTION("""COMPUTED_VALUE"""),12.47)</f>
        <v>12.47</v>
      </c>
      <c r="S3" s="19" t="str">
        <f ca="1">IFERROR(__xludf.DUMMYFUNCTION("IMPORTXML(AI3, ""//li[strong[text()='International Units:']]"")"),"International Units:")</f>
        <v>International Units:</v>
      </c>
      <c r="T3" s="29">
        <f ca="1">IFERROR(__xludf.DUMMYFUNCTION("""COMPUTED_VALUE"""),70.285)</f>
        <v>70.284999999999997</v>
      </c>
      <c r="U3" s="19" t="str">
        <f ca="1">IFERROR(__xludf.DUMMYFUNCTION("IMPORTXML(AI3, ""//li[strong[text()='Percent Franchised:']]"")"),"Percent Franchised:")</f>
        <v>Percent Franchised:</v>
      </c>
      <c r="V3" s="22">
        <f ca="1">IFERROR(__xludf.DUMMYFUNCTION("""COMPUTED_VALUE"""),0.93)</f>
        <v>0.93</v>
      </c>
      <c r="W3" s="19" t="str">
        <f ca="1">IFERROR(__xludf.DUMMYFUNCTION("IMPORTXML(AI3, ""//li[strong[text()='% International Units:']]"")"),"% International Units:")</f>
        <v>% International Units:</v>
      </c>
      <c r="X3" s="23">
        <f ca="1">IFERROR(__xludf.DUMMYFUNCTION("""COMPUTED_VALUE"""),0.85)</f>
        <v>0.85</v>
      </c>
      <c r="Y3" s="19" t="str">
        <f ca="1">IFERROR(__xludf.DUMMYFUNCTION("IMPORTXML(AI3, ""//li[strong[text()='US Franchised Units:']]"")"),"US Franchised Units:")</f>
        <v>US Franchised Units:</v>
      </c>
      <c r="Z3" s="24">
        <f ca="1">IFERROR(__xludf.DUMMYFUNCTION("""COMPUTED_VALUE"""),7.245)</f>
        <v>7.2450000000000001</v>
      </c>
      <c r="AA3" s="14" t="str">
        <f t="shared" ca="1" si="1"/>
        <v>7.245</v>
      </c>
      <c r="AB3" s="19" t="str">
        <f ca="1">IFERROR(__xludf.DUMMYFUNCTION("IMPORTXML(AI3, ""//li[strong[text()='International Franchised Units:']]"")"),"International Franchised Units:")</f>
        <v>International Franchised Units:</v>
      </c>
      <c r="AC3" s="24">
        <f ca="1">IFERROR(__xludf.DUMMYFUNCTION("""COMPUTED_VALUE"""),69.689)</f>
        <v>69.688999999999993</v>
      </c>
      <c r="AD3" s="14" t="str">
        <f t="shared" ca="1" si="2"/>
        <v>69.689</v>
      </c>
      <c r="AE3" s="25" t="str">
        <f ca="1">IFERROR(__xludf.DUMMYFUNCTION("IMPORTXML(AI3, ""//li[strong[text()='Sales Growth %:']]"")"),"Sales Growth %:")</f>
        <v>Sales Growth %:</v>
      </c>
      <c r="AF3" s="30" t="str">
        <f ca="1">IFERROR(__xludf.DUMMYFUNCTION("""COMPUTED_VALUE""")," 4.7%")</f>
        <v xml:space="preserve"> 4.7%</v>
      </c>
      <c r="AG3" s="25" t="str">
        <f ca="1">IFERROR(__xludf.DUMMYFUNCTION("IMPORTXML(AI3, ""//li[strong[text()='Unit Growth %:']]"")"),"Unit Growth %:")</f>
        <v>Unit Growth %:</v>
      </c>
      <c r="AH3" s="25" t="str">
        <f ca="1">IFERROR(__xludf.DUMMYFUNCTION("""COMPUTED_VALUE""")," -1.6%")</f>
        <v xml:space="preserve"> -1.6%</v>
      </c>
      <c r="AI3" s="26" t="s">
        <v>19</v>
      </c>
      <c r="AJ3" s="27"/>
      <c r="AK3" s="27"/>
      <c r="AL3" s="27"/>
      <c r="AM3" s="27"/>
      <c r="AN3" s="27"/>
      <c r="AO3" s="27"/>
      <c r="AP3" s="27"/>
      <c r="AQ3" s="27"/>
    </row>
    <row r="4" spans="1:43" ht="14.25" customHeight="1">
      <c r="A4" s="31">
        <v>24.003</v>
      </c>
      <c r="B4" s="14">
        <v>2024</v>
      </c>
      <c r="C4" s="32">
        <v>3</v>
      </c>
      <c r="D4" s="16" t="str">
        <f ca="1">IFERROR(__xludf.DUMMYFUNCTION("IMPORTXML(AI4, ""//h1[@itemprop='headline']/span"")"),"3. KFC")</f>
        <v>3. KFC</v>
      </c>
      <c r="E4" s="17" t="str">
        <f ca="1">IFERROR(__xludf.DUMMYFUNCTION("REGEXEXTRACT(D4, ""\.\s*(.+)"")"),"KFC")</f>
        <v>KFC</v>
      </c>
      <c r="F4" s="18" t="str">
        <f ca="1">IFERROR(__xludf.DUMMYFUNCTION("IMPORTXML(AI4, ""//li[strong[text()='Investment Range:']]"")"),"Investment Range:")</f>
        <v>Investment Range:</v>
      </c>
      <c r="G4" s="33" t="str">
        <f ca="1">IFERROR(__xludf.DUMMYFUNCTION("""COMPUTED_VALUE""")," $1,852,825 - $3,771,550")</f>
        <v xml:space="preserve"> $1,852,825 - $3,771,550</v>
      </c>
      <c r="H4" s="18" t="str">
        <f ca="1">IFERROR(__xludf.DUMMYFUNCTION("SUBSTITUTE(REGEXEXTRACT(G4, ""\$(\d{1,3}(?:,\d{3})*)""), "","", ""."")
"),"1.852.825")</f>
        <v>1.852.825</v>
      </c>
      <c r="I4" s="19" t="str">
        <f ca="1">IFERROR(__xludf.DUMMYFUNCTION("SUBSTITUTE(REGEXEXTRACT(G4, ""-\s*\$(\d{1,3}(?:,\d{3})*)""), "","", ""."")
"),"3.771.550")</f>
        <v>3.771.550</v>
      </c>
      <c r="J4" s="19" t="str">
        <f ca="1">IFERROR(__xludf.DUMMYFUNCTION("IMPORTXML(AI4, ""//li[strong[text()='Initial Investment:']]"")"),"Initial Investment:")</f>
        <v>Initial Investment:</v>
      </c>
      <c r="K4" s="21" t="str">
        <f ca="1">IFERROR(__xludf.DUMMYFUNCTION("""COMPUTED_VALUE""")," $45,575 - $50,500")</f>
        <v xml:space="preserve"> $45,575 - $50,500</v>
      </c>
      <c r="L4" s="20" t="str">
        <f ca="1">IFERROR(__xludf.DUMMYFUNCTION("IMPORTXML(AI4, ""//li[strong[text()='Category:']]"")"),"Category:")</f>
        <v>Category:</v>
      </c>
      <c r="M4" s="21" t="str">
        <f ca="1">IFERROR(__xludf.DUMMYFUNCTION("""COMPUTED_VALUE""")," Restaurant")</f>
        <v xml:space="preserve"> Restaurant</v>
      </c>
      <c r="N4" s="19" t="str">
        <f ca="1">IFERROR(__xludf.DUMMYFUNCTION("IMPORTXML(AI4, ""//li[strong[text()='Global Sales:']]"")"),"Global Sales:")</f>
        <v>Global Sales:</v>
      </c>
      <c r="O4" s="21" t="str">
        <f ca="1">IFERROR(__xludf.DUMMYFUNCTION("""COMPUTED_VALUE""")," $33,863,000,000")</f>
        <v xml:space="preserve"> $33,863,000,000</v>
      </c>
      <c r="P4" s="19" t="str">
        <f t="shared" ca="1" si="0"/>
        <v xml:space="preserve"> 33.863.000.000</v>
      </c>
      <c r="Q4" s="19" t="str">
        <f ca="1">IFERROR(__xludf.DUMMYFUNCTION("IMPORTXML(AI4, ""//li[strong[text()='US Units:']]"")"),"US Units:")</f>
        <v>US Units:</v>
      </c>
      <c r="R4" s="21">
        <f ca="1">IFERROR(__xludf.DUMMYFUNCTION("""COMPUTED_VALUE"""),3.791)</f>
        <v>3.7909999999999999</v>
      </c>
      <c r="S4" s="19" t="str">
        <f ca="1">IFERROR(__xludf.DUMMYFUNCTION("IMPORTXML(AI4, ""//li[strong[text()='International Units:']]"")"),"International Units:")</f>
        <v>International Units:</v>
      </c>
      <c r="T4" s="34">
        <f ca="1">IFERROR(__xludf.DUMMYFUNCTION("""COMPUTED_VALUE"""),26.109)</f>
        <v>26.109000000000002</v>
      </c>
      <c r="U4" s="19" t="str">
        <f ca="1">IFERROR(__xludf.DUMMYFUNCTION("IMPORTXML(AI4, ""//li[strong[text()='Percent Franchised:']]"")"),"Percent Franchised:")</f>
        <v>Percent Franchised:</v>
      </c>
      <c r="V4" s="23">
        <f ca="1">IFERROR(__xludf.DUMMYFUNCTION("""COMPUTED_VALUE"""),0.99)</f>
        <v>0.99</v>
      </c>
      <c r="W4" s="19" t="str">
        <f ca="1">IFERROR(__xludf.DUMMYFUNCTION("IMPORTXML(AI4, ""//li[strong[text()='% International Units:']]"")"),"% International Units:")</f>
        <v>% International Units:</v>
      </c>
      <c r="X4" s="23">
        <f ca="1">IFERROR(__xludf.DUMMYFUNCTION("""COMPUTED_VALUE"""),0.87)</f>
        <v>0.87</v>
      </c>
      <c r="Y4" s="19" t="str">
        <f ca="1">IFERROR(__xludf.DUMMYFUNCTION("IMPORTXML(AI4, ""//li[strong[text()='US Franchised Units:']]"")"),"US Franchised Units:")</f>
        <v>US Franchised Units:</v>
      </c>
      <c r="Z4" s="24">
        <f ca="1">IFERROR(__xludf.DUMMYFUNCTION("""COMPUTED_VALUE"""),3.791)</f>
        <v>3.7909999999999999</v>
      </c>
      <c r="AA4" s="14" t="str">
        <f t="shared" ca="1" si="1"/>
        <v>3.791</v>
      </c>
      <c r="AB4" s="19" t="str">
        <f ca="1">IFERROR(__xludf.DUMMYFUNCTION("IMPORTXML(AI4, ""//li[strong[text()='International Franchised Units:']]"")"),"International Franchised Units:")</f>
        <v>International Franchised Units:</v>
      </c>
      <c r="AC4" s="24">
        <f ca="1">IFERROR(__xludf.DUMMYFUNCTION("""COMPUTED_VALUE"""),26.109)</f>
        <v>26.109000000000002</v>
      </c>
      <c r="AD4" s="14" t="str">
        <f t="shared" ca="1" si="2"/>
        <v>26.109</v>
      </c>
      <c r="AE4" s="25" t="str">
        <f ca="1">IFERROR(__xludf.DUMMYFUNCTION("IMPORTXML(AI4, ""//li[strong[text()='Sales Growth %:']]"")"),"Sales Growth %:")</f>
        <v>Sales Growth %:</v>
      </c>
      <c r="AF4" s="35" t="str">
        <f ca="1">IFERROR(__xludf.DUMMYFUNCTION("""COMPUTED_VALUE""")," 8.8%")</f>
        <v xml:space="preserve"> 8.8%</v>
      </c>
      <c r="AG4" s="25" t="str">
        <f ca="1">IFERROR(__xludf.DUMMYFUNCTION("IMPORTXML(AI4, ""//li[strong[text()='Unit Growth %:']]"")"),"Unit Growth %:")</f>
        <v>Unit Growth %:</v>
      </c>
      <c r="AH4" s="25" t="str">
        <f ca="1">IFERROR(__xludf.DUMMYFUNCTION("""COMPUTED_VALUE""")," 7.7%")</f>
        <v xml:space="preserve"> 7.7%</v>
      </c>
      <c r="AI4" s="26" t="s">
        <v>20</v>
      </c>
      <c r="AJ4" s="27"/>
      <c r="AK4" s="27"/>
      <c r="AL4" s="27"/>
      <c r="AM4" s="27"/>
      <c r="AN4" s="27"/>
      <c r="AO4" s="27"/>
      <c r="AP4" s="27"/>
      <c r="AQ4" s="27"/>
    </row>
    <row r="5" spans="1:43" ht="14.25" customHeight="1">
      <c r="A5" s="16">
        <v>24.004000000000001</v>
      </c>
      <c r="B5" s="17">
        <v>2024</v>
      </c>
      <c r="C5" s="36">
        <v>4</v>
      </c>
      <c r="D5" s="16" t="str">
        <f ca="1">IFERROR(__xludf.DUMMYFUNCTION("IMPORTXML(AI5, ""//h1[@itemprop='headline']/span"")"),"4. Burger King")</f>
        <v>4. Burger King</v>
      </c>
      <c r="E5" s="17" t="str">
        <f ca="1">IFERROR(__xludf.DUMMYFUNCTION("REGEXEXTRACT(D5, ""\.\s*(.+)"")"),"Burger King")</f>
        <v>Burger King</v>
      </c>
      <c r="F5" s="18" t="str">
        <f ca="1">IFERROR(__xludf.DUMMYFUNCTION("IMPORTXML(AI5, ""//li[strong[text()='Investment Range:']]"")"),"Investment Range:")</f>
        <v>Investment Range:</v>
      </c>
      <c r="G5" s="37" t="str">
        <f ca="1">IFERROR(__xludf.DUMMYFUNCTION("""COMPUTED_VALUE""")," $247,300 - $4,670,900")</f>
        <v xml:space="preserve"> $247,300 - $4,670,900</v>
      </c>
      <c r="H5" s="18" t="str">
        <f ca="1">IFERROR(__xludf.DUMMYFUNCTION("SUBSTITUTE(REGEXEXTRACT(G5, ""\$(\d{1,3}(?:,\d{3})*)""), "","", ""."")
"),"247.300")</f>
        <v>247.300</v>
      </c>
      <c r="I5" s="19" t="str">
        <f ca="1">IFERROR(__xludf.DUMMYFUNCTION("SUBSTITUTE(REGEXEXTRACT(G5, ""-\s*\$(\d{1,3}(?:,\d{3})*)""), "","", ""."")
"),"4.670.900")</f>
        <v>4.670.900</v>
      </c>
      <c r="J5" s="19" t="str">
        <f ca="1">IFERROR(__xludf.DUMMYFUNCTION("IMPORTXML(AI5, ""//li[strong[text()='Initial Investment:']]"")"),"Initial Investment:")</f>
        <v>Initial Investment:</v>
      </c>
      <c r="K5" s="16" t="str">
        <f ca="1">IFERROR(__xludf.DUMMYFUNCTION("""COMPUTED_VALUE""")," $57,750 - $62,500")</f>
        <v xml:space="preserve"> $57,750 - $62,500</v>
      </c>
      <c r="L5" s="20" t="str">
        <f ca="1">IFERROR(__xludf.DUMMYFUNCTION("IMPORTXML(AI5, ""//li[strong[text()='Category:']]"")"),"Category:")</f>
        <v>Category:</v>
      </c>
      <c r="M5" s="16" t="str">
        <f ca="1">IFERROR(__xludf.DUMMYFUNCTION("""COMPUTED_VALUE""")," Restaurant")</f>
        <v xml:space="preserve"> Restaurant</v>
      </c>
      <c r="N5" s="19" t="str">
        <f ca="1">IFERROR(__xludf.DUMMYFUNCTION("IMPORTXML(AI5, ""//li[strong[text()='Global Sales:']]"")"),"Global Sales:")</f>
        <v>Global Sales:</v>
      </c>
      <c r="O5" s="16" t="str">
        <f ca="1">IFERROR(__xludf.DUMMYFUNCTION("""COMPUTED_VALUE""")," $27,019,000,000")</f>
        <v xml:space="preserve"> $27,019,000,000</v>
      </c>
      <c r="P5" s="19" t="str">
        <f t="shared" ca="1" si="0"/>
        <v xml:space="preserve"> 27.019.000.000</v>
      </c>
      <c r="Q5" s="19" t="str">
        <f ca="1">IFERROR(__xludf.DUMMYFUNCTION("IMPORTXML(AI5, ""//li[strong[text()='US Units:']]"")"),"US Units:")</f>
        <v>US Units:</v>
      </c>
      <c r="R5" s="16">
        <f ca="1">IFERROR(__xludf.DUMMYFUNCTION("""COMPUTED_VALUE"""),6.778)</f>
        <v>6.7779999999999996</v>
      </c>
      <c r="S5" s="19" t="str">
        <f ca="1">IFERROR(__xludf.DUMMYFUNCTION("IMPORTXML(AI5, ""//li[strong[text()='International Units:']]"")"),"#N/A")</f>
        <v>#N/A</v>
      </c>
      <c r="T5" s="38"/>
      <c r="U5" s="19" t="str">
        <f ca="1">IFERROR(__xludf.DUMMYFUNCTION("IMPORTXML(AI5, ""//li[strong[text()='Percent Franchised:']]"")"),"Percent Franchised:")</f>
        <v>Percent Franchised:</v>
      </c>
      <c r="V5" s="39">
        <f ca="1">IFERROR(__xludf.DUMMYFUNCTION("""COMPUTED_VALUE"""),0.99)</f>
        <v>0.99</v>
      </c>
      <c r="W5" s="19" t="str">
        <f ca="1">IFERROR(__xludf.DUMMYFUNCTION("IMPORTXML(AI5, ""//li[strong[text()='% International Units:']]"")"),"% International Units:")</f>
        <v>% International Units:</v>
      </c>
      <c r="X5" s="39">
        <f ca="1">IFERROR(__xludf.DUMMYFUNCTION("""COMPUTED_VALUE"""),0.65)</f>
        <v>0.65</v>
      </c>
      <c r="Y5" s="19" t="str">
        <f ca="1">IFERROR(__xludf.DUMMYFUNCTION("IMPORTXML(AI5, ""//li[strong[text()='US Franchised Units:']]"")"),"US Franchised Units:")</f>
        <v>US Franchised Units:</v>
      </c>
      <c r="Z5" s="16">
        <f ca="1">IFERROR(__xludf.DUMMYFUNCTION("""COMPUTED_VALUE"""),6.64)</f>
        <v>6.64</v>
      </c>
      <c r="AA5" s="14" t="str">
        <f t="shared" ca="1" si="1"/>
        <v>6.64</v>
      </c>
      <c r="AB5" s="19" t="str">
        <f ca="1">IFERROR(__xludf.DUMMYFUNCTION("IMPORTXML(AI5, ""//li[strong[text()='International Franchised Units:']]"")"),"International Franchised Units:")</f>
        <v>International Franchised Units:</v>
      </c>
      <c r="AC5" s="16">
        <f ca="1">IFERROR(__xludf.DUMMYFUNCTION("""COMPUTED_VALUE"""),12.606)</f>
        <v>12.606</v>
      </c>
      <c r="AD5" s="14" t="str">
        <f t="shared" ca="1" si="2"/>
        <v>12.606</v>
      </c>
      <c r="AE5" s="25" t="str">
        <f ca="1">IFERROR(__xludf.DUMMYFUNCTION("IMPORTXML(AI5, ""//li[strong[text()='Sales Growth %:']]"")"),"Sales Growth %:")</f>
        <v>Sales Growth %:</v>
      </c>
      <c r="AF5" s="16" t="str">
        <f ca="1">IFERROR(__xludf.DUMMYFUNCTION("""COMPUTED_VALUE""")," 6.0%")</f>
        <v xml:space="preserve"> 6.0%</v>
      </c>
      <c r="AG5" s="25" t="str">
        <f ca="1">IFERROR(__xludf.DUMMYFUNCTION("IMPORTXML(AI5, ""//li[strong[text()='Unit Growth %:']]"")"),"Unit Growth %:")</f>
        <v>Unit Growth %:</v>
      </c>
      <c r="AH5" s="25" t="str">
        <f ca="1">IFERROR(__xludf.DUMMYFUNCTION("""COMPUTED_VALUE""")," -2.0%")</f>
        <v xml:space="preserve"> -2.0%</v>
      </c>
      <c r="AI5" s="40" t="s">
        <v>21</v>
      </c>
      <c r="AJ5" s="41"/>
      <c r="AK5" s="41"/>
      <c r="AL5" s="41"/>
      <c r="AM5" s="41"/>
      <c r="AN5" s="41"/>
      <c r="AO5" s="41"/>
      <c r="AP5" s="41"/>
      <c r="AQ5" s="41"/>
    </row>
    <row r="6" spans="1:43" ht="14.25" customHeight="1">
      <c r="A6" s="42">
        <v>24.004999999999999</v>
      </c>
      <c r="B6" s="14">
        <v>2024</v>
      </c>
      <c r="C6" s="15">
        <v>5</v>
      </c>
      <c r="D6" s="16" t="str">
        <f ca="1">IFERROR(__xludf.DUMMYFUNCTION("IMPORTXML(AI6, ""//h1[@itemprop='headline']/span"")"),"5. Ace Hardware")</f>
        <v>5. Ace Hardware</v>
      </c>
      <c r="E6" s="17" t="str">
        <f ca="1">IFERROR(__xludf.DUMMYFUNCTION("REGEXEXTRACT(D6, ""\.\s*(.+)"")"),"Ace Hardware")</f>
        <v>Ace Hardware</v>
      </c>
      <c r="F6" s="18" t="str">
        <f ca="1">IFERROR(__xludf.DUMMYFUNCTION("IMPORTXML(AI6, ""//li[strong[text()='Investment Range:']]"")"),"Investment Range:")</f>
        <v>Investment Range:</v>
      </c>
      <c r="G6" s="43" t="str">
        <f ca="1">IFERROR(__xludf.DUMMYFUNCTION("""COMPUTED_VALUE""")," $602,350 - $1,990,180")</f>
        <v xml:space="preserve"> $602,350 - $1,990,180</v>
      </c>
      <c r="H6" s="18" t="str">
        <f ca="1">IFERROR(__xludf.DUMMYFUNCTION("SUBSTITUTE(REGEXEXTRACT(G6, ""\$(\d{1,3}(?:,\d{3})*)""), "","", ""."")
"),"602.350")</f>
        <v>602.350</v>
      </c>
      <c r="I6" s="19" t="str">
        <f ca="1">IFERROR(__xludf.DUMMYFUNCTION("SUBSTITUTE(REGEXEXTRACT(G6, ""-\s*\$(\d{1,3}(?:,\d{3})*)""), "","", ""."")
"),"1.990.180")</f>
        <v>1.990.180</v>
      </c>
      <c r="J6" s="19" t="str">
        <f ca="1">IFERROR(__xludf.DUMMYFUNCTION("IMPORTXML(AI6, ""//li[strong[text()='Initial Investment:']]"")"),"Initial Investment:")</f>
        <v>Initial Investment:</v>
      </c>
      <c r="K6" s="24" t="str">
        <f ca="1">IFERROR(__xludf.DUMMYFUNCTION("""COMPUTED_VALUE""")," $10,000")</f>
        <v xml:space="preserve"> $10,000</v>
      </c>
      <c r="L6" s="20" t="str">
        <f ca="1">IFERROR(__xludf.DUMMYFUNCTION("IMPORTXML(AI6, ""//li[strong[text()='Category:']]"")"),"Category:")</f>
        <v>Category:</v>
      </c>
      <c r="M6" s="24" t="str">
        <f ca="1">IFERROR(__xludf.DUMMYFUNCTION("""COMPUTED_VALUE""")," Retail")</f>
        <v xml:space="preserve"> Retail</v>
      </c>
      <c r="N6" s="19" t="str">
        <f ca="1">IFERROR(__xludf.DUMMYFUNCTION("IMPORTXML(AI6, ""//li[strong[text()='Global Sales:']]"")"),"Global Sales:")</f>
        <v>Global Sales:</v>
      </c>
      <c r="O6" s="24" t="str">
        <f ca="1">IFERROR(__xludf.DUMMYFUNCTION("""COMPUTED_VALUE""")," $23,287,774,222")</f>
        <v xml:space="preserve"> $23,287,774,222</v>
      </c>
      <c r="P6" s="19" t="str">
        <f t="shared" ca="1" si="0"/>
        <v xml:space="preserve"> 23.287.774.222</v>
      </c>
      <c r="Q6" s="19" t="str">
        <f ca="1">IFERROR(__xludf.DUMMYFUNCTION("IMPORTXML(AI6, ""//li[strong[text()='US Units:']]"")"),"US Units:")</f>
        <v>US Units:</v>
      </c>
      <c r="R6" s="24">
        <f ca="1">IFERROR(__xludf.DUMMYFUNCTION("""COMPUTED_VALUE"""),4.994)</f>
        <v>4.9939999999999998</v>
      </c>
      <c r="S6" s="19" t="str">
        <f ca="1">IFERROR(__xludf.DUMMYFUNCTION("IMPORTXML(AI6, ""//li[strong[text()='International Units:']]"")"),"International Units:")</f>
        <v>International Units:</v>
      </c>
      <c r="T6" s="44">
        <f ca="1">IFERROR(__xludf.DUMMYFUNCTION("""COMPUTED_VALUE"""),876)</f>
        <v>876</v>
      </c>
      <c r="U6" s="19" t="str">
        <f ca="1">IFERROR(__xludf.DUMMYFUNCTION("IMPORTXML(AI6, ""//li[strong[text()='Percent Franchised:']]"")"),"Percent Franchised:")</f>
        <v>Percent Franchised:</v>
      </c>
      <c r="V6" s="45">
        <f ca="1">IFERROR(__xludf.DUMMYFUNCTION("""COMPUTED_VALUE"""),0.96)</f>
        <v>0.96</v>
      </c>
      <c r="W6" s="19" t="str">
        <f ca="1">IFERROR(__xludf.DUMMYFUNCTION("IMPORTXML(AI6, ""//li[strong[text()='% International Units:']]"")"),"% International Units:")</f>
        <v>% International Units:</v>
      </c>
      <c r="X6" s="45">
        <f ca="1">IFERROR(__xludf.DUMMYFUNCTION("""COMPUTED_VALUE"""),0.15)</f>
        <v>0.15</v>
      </c>
      <c r="Y6" s="19" t="str">
        <f ca="1">IFERROR(__xludf.DUMMYFUNCTION("IMPORTXML(AI6, ""//li[strong[text()='US Franchised Units:']]"")"),"US Franchised Units:")</f>
        <v>US Franchised Units:</v>
      </c>
      <c r="Z6" s="24">
        <f ca="1">IFERROR(__xludf.DUMMYFUNCTION("""COMPUTED_VALUE"""),4.759)</f>
        <v>4.7590000000000003</v>
      </c>
      <c r="AA6" s="14" t="str">
        <f t="shared" ca="1" si="1"/>
        <v>4.759</v>
      </c>
      <c r="AB6" s="19" t="str">
        <f ca="1">IFERROR(__xludf.DUMMYFUNCTION("IMPORTXML(AI6, ""//li[strong[text()='International Franchised Units:']]"")"),"International Franchised Units:")</f>
        <v>International Franchised Units:</v>
      </c>
      <c r="AC6" s="24">
        <f ca="1">IFERROR(__xludf.DUMMYFUNCTION("""COMPUTED_VALUE"""),876)</f>
        <v>876</v>
      </c>
      <c r="AD6" s="14" t="str">
        <f t="shared" ca="1" si="2"/>
        <v>876</v>
      </c>
      <c r="AE6" s="25" t="str">
        <f ca="1">IFERROR(__xludf.DUMMYFUNCTION("IMPORTXML(AI6, ""//li[strong[text()='Sales Growth %:']]"")"),"Sales Growth %:")</f>
        <v>Sales Growth %:</v>
      </c>
      <c r="AF6" s="24" t="str">
        <f ca="1">IFERROR(__xludf.DUMMYFUNCTION("""COMPUTED_VALUE""")," 0.6%")</f>
        <v xml:space="preserve"> 0.6%</v>
      </c>
      <c r="AG6" s="25" t="str">
        <f ca="1">IFERROR(__xludf.DUMMYFUNCTION("IMPORTXML(AI6, ""//li[strong[text()='Unit Growth %:']]"")"),"Unit Growth %:")</f>
        <v>Unit Growth %:</v>
      </c>
      <c r="AH6" s="25" t="str">
        <f ca="1">IFERROR(__xludf.DUMMYFUNCTION("""COMPUTED_VALUE""")," 2.2%")</f>
        <v xml:space="preserve"> 2.2%</v>
      </c>
      <c r="AI6" s="46" t="s">
        <v>22</v>
      </c>
      <c r="AJ6" s="27"/>
      <c r="AK6" s="27"/>
      <c r="AL6" s="27"/>
      <c r="AM6" s="27"/>
      <c r="AN6" s="27"/>
      <c r="AO6" s="27"/>
      <c r="AP6" s="27"/>
      <c r="AQ6" s="27"/>
    </row>
    <row r="7" spans="1:43" ht="14.25" customHeight="1">
      <c r="A7" s="42">
        <v>24.006</v>
      </c>
      <c r="B7" s="14">
        <v>2024</v>
      </c>
      <c r="C7" s="32">
        <v>6</v>
      </c>
      <c r="D7" s="16" t="str">
        <f ca="1">IFERROR(__xludf.DUMMYFUNCTION("IMPORTXML(AI7, ""//h1[@itemprop='headline']/span"")"),"6. Chick-fil-A")</f>
        <v>6. Chick-fil-A</v>
      </c>
      <c r="E7" s="17" t="str">
        <f ca="1">IFERROR(__xludf.DUMMYFUNCTION("REGEXEXTRACT(D7, ""\.\s*(.+)"")"),"Chick-fil-A")</f>
        <v>Chick-fil-A</v>
      </c>
      <c r="F7" s="18" t="str">
        <f ca="1">IFERROR(__xludf.DUMMYFUNCTION("IMPORTXML(AI7, ""//li[strong[text()='Investment Range:']]"")"),"Investment Range:")</f>
        <v>Investment Range:</v>
      </c>
      <c r="G7" s="43" t="str">
        <f ca="1">IFERROR(__xludf.DUMMYFUNCTION("""COMPUTED_VALUE""")," $585,500 - $3,337,000")</f>
        <v xml:space="preserve"> $585,500 - $3,337,000</v>
      </c>
      <c r="H7" s="18" t="str">
        <f ca="1">IFERROR(__xludf.DUMMYFUNCTION("SUBSTITUTE(REGEXEXTRACT(G7, ""\$(\d{1,3}(?:,\d{3})*)""), "","", ""."")
"),"585.500")</f>
        <v>585.500</v>
      </c>
      <c r="I7" s="19" t="str">
        <f ca="1">IFERROR(__xludf.DUMMYFUNCTION("SUBSTITUTE(REGEXEXTRACT(G7, ""-\s*\$(\d{1,3}(?:,\d{3})*)""), "","", ""."")
"),"3.337.000")</f>
        <v>3.337.000</v>
      </c>
      <c r="J7" s="19" t="str">
        <f ca="1">IFERROR(__xludf.DUMMYFUNCTION("IMPORTXML(AI7, ""//li[strong[text()='Initial Investment:']]"")"),"Loading...")</f>
        <v>Loading...</v>
      </c>
      <c r="K7" s="24"/>
      <c r="L7" s="20" t="str">
        <f ca="1">IFERROR(__xludf.DUMMYFUNCTION("IMPORTXML(AI7, ""//li[strong[text()='Category:']]"")"),"Category:")</f>
        <v>Category:</v>
      </c>
      <c r="M7" s="24" t="str">
        <f ca="1">IFERROR(__xludf.DUMMYFUNCTION("""COMPUTED_VALUE""")," Restaurant")</f>
        <v xml:space="preserve"> Restaurant</v>
      </c>
      <c r="N7" s="19" t="str">
        <f ca="1">IFERROR(__xludf.DUMMYFUNCTION("IMPORTXML(AI7, ""//li[strong[text()='Global Sales:']]"")"),"Loading...")</f>
        <v>Loading...</v>
      </c>
      <c r="O7" s="24"/>
      <c r="P7" s="19" t="str">
        <f t="shared" si="0"/>
        <v/>
      </c>
      <c r="Q7" s="19" t="str">
        <f ca="1">IFERROR(__xludf.DUMMYFUNCTION("IMPORTXML(AI7, ""//li[strong[text()='US Units:']]"")"),"Loading...")</f>
        <v>Loading...</v>
      </c>
      <c r="R7" s="24"/>
      <c r="S7" s="19" t="str">
        <f ca="1">IFERROR(__xludf.DUMMYFUNCTION("IMPORTXML(AI7, ""//li[strong[text()='International Units:']]"")"),"Loading...")</f>
        <v>Loading...</v>
      </c>
      <c r="T7" s="44"/>
      <c r="U7" s="19" t="str">
        <f ca="1">IFERROR(__xludf.DUMMYFUNCTION("IMPORTXML(AI7, ""//li[strong[text()='Percent Franchised:']]"")"),"Loading...")</f>
        <v>Loading...</v>
      </c>
      <c r="V7" s="24"/>
      <c r="W7" s="19" t="str">
        <f ca="1">IFERROR(__xludf.DUMMYFUNCTION("IMPORTXML(AI7, ""//li[strong[text()='% International Units:']]"")"),"Loading...")</f>
        <v>Loading...</v>
      </c>
      <c r="X7" s="24"/>
      <c r="Y7" s="19" t="str">
        <f ca="1">IFERROR(__xludf.DUMMYFUNCTION("IMPORTXML(AI7, ""//li[strong[text()='US Franchised Units:']]"")"),"Loading...")</f>
        <v>Loading...</v>
      </c>
      <c r="Z7" s="24"/>
      <c r="AA7" s="14" t="str">
        <f t="shared" si="1"/>
        <v/>
      </c>
      <c r="AB7" s="19" t="str">
        <f ca="1">IFERROR(__xludf.DUMMYFUNCTION("IMPORTXML(AI7, ""//li[strong[text()='International Franchised Units:']]"")"),"Loading...")</f>
        <v>Loading...</v>
      </c>
      <c r="AC7" s="24"/>
      <c r="AD7" s="14" t="str">
        <f t="shared" si="2"/>
        <v/>
      </c>
      <c r="AE7" s="25" t="str">
        <f ca="1">IFERROR(__xludf.DUMMYFUNCTION("IMPORTXML(AI7, ""//li[strong[text()='Sales Growth %:']]"")"),"Loading...")</f>
        <v>Loading...</v>
      </c>
      <c r="AF7" s="24"/>
      <c r="AG7" s="25" t="str">
        <f ca="1">IFERROR(__xludf.DUMMYFUNCTION("IMPORTXML(AI7, ""//li[strong[text()='Unit Growth %:']]"")"),"Loading...")</f>
        <v>Loading...</v>
      </c>
      <c r="AH7" s="25"/>
      <c r="AI7" s="26" t="s">
        <v>23</v>
      </c>
      <c r="AJ7" s="27"/>
      <c r="AK7" s="27"/>
      <c r="AL7" s="27"/>
      <c r="AM7" s="27"/>
      <c r="AN7" s="27"/>
      <c r="AO7" s="27"/>
      <c r="AP7" s="27"/>
      <c r="AQ7" s="27"/>
    </row>
    <row r="8" spans="1:43" ht="14.25" customHeight="1">
      <c r="A8" s="42">
        <v>24.007000000000001</v>
      </c>
      <c r="B8" s="14">
        <v>2024</v>
      </c>
      <c r="C8" s="36">
        <v>7</v>
      </c>
      <c r="D8" s="16" t="str">
        <f ca="1">IFERROR(__xludf.DUMMYFUNCTION("IMPORTXML(AI8, ""//h1[@itemprop='headline']/span"")"),"7. Subway")</f>
        <v>7. Subway</v>
      </c>
      <c r="E8" s="17" t="str">
        <f ca="1">IFERROR(__xludf.DUMMYFUNCTION("REGEXEXTRACT(D8, ""\.\s*(.+)"")"),"Subway")</f>
        <v>Subway</v>
      </c>
      <c r="F8" s="18" t="str">
        <f ca="1">IFERROR(__xludf.DUMMYFUNCTION("IMPORTXML(AI8, ""//li[strong[text()='Investment Range:']]"")"),"Investment Range:")</f>
        <v>Investment Range:</v>
      </c>
      <c r="G8" s="43" t="str">
        <f ca="1">IFERROR(__xludf.DUMMYFUNCTION("""COMPUTED_VALUE""")," $238,623 - $536,745")</f>
        <v xml:space="preserve"> $238,623 - $536,745</v>
      </c>
      <c r="H8" s="18" t="str">
        <f ca="1">IFERROR(__xludf.DUMMYFUNCTION("SUBSTITUTE(REGEXEXTRACT(G8, ""\$(\d{1,3}(?:,\d{3})*)""), "","", ""."")
"),"238.623")</f>
        <v>238.623</v>
      </c>
      <c r="I8" s="19" t="str">
        <f ca="1">IFERROR(__xludf.DUMMYFUNCTION("SUBSTITUTE(REGEXEXTRACT(G8, ""-\s*\$(\d{1,3}(?:,\d{3})*)""), "","", ""."")
"),"536.745")</f>
        <v>536.745</v>
      </c>
      <c r="J8" s="19" t="str">
        <f ca="1">IFERROR(__xludf.DUMMYFUNCTION("IMPORTXML(AI8, ""//li[strong[text()='Initial Investment:']]"")"),"Loading...")</f>
        <v>Loading...</v>
      </c>
      <c r="K8" s="24"/>
      <c r="L8" s="20" t="str">
        <f ca="1">IFERROR(__xludf.DUMMYFUNCTION("IMPORTXML(AI8, ""//li[strong[text()='Category:']]"")"),"Category:")</f>
        <v>Category:</v>
      </c>
      <c r="M8" s="24" t="str">
        <f ca="1">IFERROR(__xludf.DUMMYFUNCTION("""COMPUTED_VALUE""")," Restaurant")</f>
        <v xml:space="preserve"> Restaurant</v>
      </c>
      <c r="N8" s="19" t="str">
        <f ca="1">IFERROR(__xludf.DUMMYFUNCTION("IMPORTXML(AI8, ""//li[strong[text()='Global Sales:']]"")"),"Loading...")</f>
        <v>Loading...</v>
      </c>
      <c r="O8" s="24"/>
      <c r="P8" s="19" t="str">
        <f t="shared" si="0"/>
        <v/>
      </c>
      <c r="Q8" s="19" t="str">
        <f ca="1">IFERROR(__xludf.DUMMYFUNCTION("IMPORTXML(AI8, ""//li[strong[text()='US Units:']]"")"),"Loading...")</f>
        <v>Loading...</v>
      </c>
      <c r="R8" s="24"/>
      <c r="S8" s="19" t="str">
        <f ca="1">IFERROR(__xludf.DUMMYFUNCTION("IMPORTXML(AI8, ""//li[strong[text()='International Units:']]"")"),"Loading...")</f>
        <v>Loading...</v>
      </c>
      <c r="T8" s="44"/>
      <c r="U8" s="19" t="str">
        <f ca="1">IFERROR(__xludf.DUMMYFUNCTION("IMPORTXML(AI8, ""//li[strong[text()='Percent Franchised:']]"")"),"Loading...")</f>
        <v>Loading...</v>
      </c>
      <c r="V8" s="24"/>
      <c r="W8" s="19" t="str">
        <f ca="1">IFERROR(__xludf.DUMMYFUNCTION("IMPORTXML(AI8, ""//li[strong[text()='% International Units:']]"")"),"Loading...")</f>
        <v>Loading...</v>
      </c>
      <c r="X8" s="24"/>
      <c r="Y8" s="19" t="str">
        <f ca="1">IFERROR(__xludf.DUMMYFUNCTION("IMPORTXML(AI8, ""//li[strong[text()='US Franchised Units:']]"")"),"Loading...")</f>
        <v>Loading...</v>
      </c>
      <c r="Z8" s="24"/>
      <c r="AA8" s="14" t="str">
        <f t="shared" si="1"/>
        <v/>
      </c>
      <c r="AB8" s="19" t="str">
        <f ca="1">IFERROR(__xludf.DUMMYFUNCTION("IMPORTXML(AI8, ""//li[strong[text()='International Franchised Units:']]"")"),"Loading...")</f>
        <v>Loading...</v>
      </c>
      <c r="AC8" s="24"/>
      <c r="AD8" s="14" t="str">
        <f t="shared" si="2"/>
        <v/>
      </c>
      <c r="AE8" s="25" t="str">
        <f ca="1">IFERROR(__xludf.DUMMYFUNCTION("IMPORTXML(AI8, ""//li[strong[text()='Sales Growth %:']]"")"),"Loading...")</f>
        <v>Loading...</v>
      </c>
      <c r="AF8" s="24"/>
      <c r="AG8" s="25" t="str">
        <f ca="1">IFERROR(__xludf.DUMMYFUNCTION("IMPORTXML(AI8, ""//li[strong[text()='Unit Growth %:']]"")"),"Loading...")</f>
        <v>Loading...</v>
      </c>
      <c r="AH8" s="25"/>
      <c r="AI8" s="26" t="s">
        <v>24</v>
      </c>
      <c r="AJ8" s="27"/>
      <c r="AK8" s="27"/>
      <c r="AL8" s="27"/>
      <c r="AM8" s="27"/>
      <c r="AN8" s="27"/>
      <c r="AO8" s="27"/>
      <c r="AP8" s="27"/>
      <c r="AQ8" s="27"/>
    </row>
    <row r="9" spans="1:43" ht="14.25" customHeight="1">
      <c r="A9" s="42">
        <v>24.007999999999999</v>
      </c>
      <c r="B9" s="14">
        <v>2024</v>
      </c>
      <c r="C9" s="15">
        <v>8</v>
      </c>
      <c r="D9" s="16" t="str">
        <f ca="1">IFERROR(__xludf.DUMMYFUNCTION("IMPORTXML(AI9, ""//h1[@itemprop='headline']/span"")"),"8. Domino's")</f>
        <v>8. Domino's</v>
      </c>
      <c r="E9" s="17" t="str">
        <f ca="1">IFERROR(__xludf.DUMMYFUNCTION("REGEXEXTRACT(D9, ""\.\s*(.+)"")"),"Domino's")</f>
        <v>Domino's</v>
      </c>
      <c r="F9" s="18" t="str">
        <f ca="1">IFERROR(__xludf.DUMMYFUNCTION("IMPORTXML(AI9, ""//li[strong[text()='Investment Range:']]"")"),"Investment Range:")</f>
        <v>Investment Range:</v>
      </c>
      <c r="G9" s="43" t="str">
        <f ca="1">IFERROR(__xludf.DUMMYFUNCTION("""COMPUTED_VALUE""")," $156,450 - $743,500")</f>
        <v xml:space="preserve"> $156,450 - $743,500</v>
      </c>
      <c r="H9" s="18" t="str">
        <f ca="1">IFERROR(__xludf.DUMMYFUNCTION("SUBSTITUTE(REGEXEXTRACT(G9, ""\$(\d{1,3}(?:,\d{3})*)""), "","", ""."")
"),"156.450")</f>
        <v>156.450</v>
      </c>
      <c r="I9" s="19" t="str">
        <f ca="1">IFERROR(__xludf.DUMMYFUNCTION("SUBSTITUTE(REGEXEXTRACT(G9, ""-\s*\$(\d{1,3}(?:,\d{3})*)""), "","", ""."")
"),"743.500")</f>
        <v>743.500</v>
      </c>
      <c r="J9" s="19" t="str">
        <f ca="1">IFERROR(__xludf.DUMMYFUNCTION("IMPORTXML(AI9, ""//li[strong[text()='Initial Investment:']]"")"),"Loading...")</f>
        <v>Loading...</v>
      </c>
      <c r="K9" s="24"/>
      <c r="L9" s="20" t="str">
        <f ca="1">IFERROR(__xludf.DUMMYFUNCTION("IMPORTXML(AI9, ""//li[strong[text()='Category:']]"")"),"Loading...")</f>
        <v>Loading...</v>
      </c>
      <c r="M9" s="24"/>
      <c r="N9" s="19" t="str">
        <f ca="1">IFERROR(__xludf.DUMMYFUNCTION("IMPORTXML(AI9, ""//li[strong[text()='Global Sales:']]"")"),"Loading...")</f>
        <v>Loading...</v>
      </c>
      <c r="O9" s="24"/>
      <c r="P9" s="19" t="str">
        <f t="shared" si="0"/>
        <v/>
      </c>
      <c r="Q9" s="19" t="str">
        <f ca="1">IFERROR(__xludf.DUMMYFUNCTION("IMPORTXML(AI9, ""//li[strong[text()='US Units:']]"")"),"Loading...")</f>
        <v>Loading...</v>
      </c>
      <c r="R9" s="24"/>
      <c r="S9" s="19" t="str">
        <f ca="1">IFERROR(__xludf.DUMMYFUNCTION("IMPORTXML(AI9, ""//li[strong[text()='International Units:']]"")"),"Loading...")</f>
        <v>Loading...</v>
      </c>
      <c r="T9" s="44"/>
      <c r="U9" s="19" t="str">
        <f ca="1">IFERROR(__xludf.DUMMYFUNCTION("IMPORTXML(AI9, ""//li[strong[text()='Percent Franchised:']]"")"),"Loading...")</f>
        <v>Loading...</v>
      </c>
      <c r="V9" s="24"/>
      <c r="W9" s="19" t="str">
        <f ca="1">IFERROR(__xludf.DUMMYFUNCTION("IMPORTXML(AI9, ""//li[strong[text()='% International Units:']]"")"),"Loading...")</f>
        <v>Loading...</v>
      </c>
      <c r="X9" s="24"/>
      <c r="Y9" s="19" t="str">
        <f ca="1">IFERROR(__xludf.DUMMYFUNCTION("IMPORTXML(AI9, ""//li[strong[text()='US Franchised Units:']]"")"),"Loading...")</f>
        <v>Loading...</v>
      </c>
      <c r="Z9" s="24"/>
      <c r="AA9" s="14" t="str">
        <f t="shared" si="1"/>
        <v/>
      </c>
      <c r="AB9" s="19" t="str">
        <f ca="1">IFERROR(__xludf.DUMMYFUNCTION("IMPORTXML(AI9, ""//li[strong[text()='International Franchised Units:']]"")"),"Loading...")</f>
        <v>Loading...</v>
      </c>
      <c r="AC9" s="24"/>
      <c r="AD9" s="14" t="str">
        <f t="shared" si="2"/>
        <v/>
      </c>
      <c r="AE9" s="25" t="str">
        <f ca="1">IFERROR(__xludf.DUMMYFUNCTION("IMPORTXML(AI9, ""//li[strong[text()='Sales Growth %:']]"")"),"Loading...")</f>
        <v>Loading...</v>
      </c>
      <c r="AF9" s="24"/>
      <c r="AG9" s="25" t="str">
        <f ca="1">IFERROR(__xludf.DUMMYFUNCTION("IMPORTXML(AI9, ""//li[strong[text()='Unit Growth %:']]"")"),"Loading...")</f>
        <v>Loading...</v>
      </c>
      <c r="AH9" s="25"/>
      <c r="AI9" s="26" t="s">
        <v>25</v>
      </c>
      <c r="AJ9" s="27"/>
      <c r="AK9" s="27"/>
      <c r="AL9" s="27"/>
      <c r="AM9" s="27"/>
      <c r="AN9" s="27"/>
      <c r="AO9" s="27"/>
      <c r="AP9" s="27"/>
      <c r="AQ9" s="27"/>
    </row>
    <row r="10" spans="1:43" ht="14.25" customHeight="1">
      <c r="A10" s="42">
        <v>24.009</v>
      </c>
      <c r="B10" s="14">
        <v>2024</v>
      </c>
      <c r="C10" s="32">
        <v>9</v>
      </c>
      <c r="D10" s="16" t="str">
        <f ca="1">IFERROR(__xludf.DUMMYFUNCTION("IMPORTXML(AI10, ""//h1[@itemprop='headline']/span"")"),"9. Circle K")</f>
        <v>9. Circle K</v>
      </c>
      <c r="E10" s="17" t="str">
        <f ca="1">IFERROR(__xludf.DUMMYFUNCTION("REGEXEXTRACT(D10, ""\.\s*(.+)"")"),"Circle K")</f>
        <v>Circle K</v>
      </c>
      <c r="F10" s="18" t="str">
        <f ca="1">IFERROR(__xludf.DUMMYFUNCTION("IMPORTXML(AI10, ""//li[strong[text()='Investment Range:']]"")"),"Investment Range:")</f>
        <v>Investment Range:</v>
      </c>
      <c r="G10" s="43" t="str">
        <f ca="1">IFERROR(__xludf.DUMMYFUNCTION("""COMPUTED_VALUE""")," $3,079,500 - $8,296,500")</f>
        <v xml:space="preserve"> $3,079,500 - $8,296,500</v>
      </c>
      <c r="H10" s="18" t="str">
        <f ca="1">IFERROR(__xludf.DUMMYFUNCTION("SUBSTITUTE(REGEXEXTRACT(G10, ""\$(\d{1,3}(?:,\d{3})*)""), "","", ""."")
"),"3.079.500")</f>
        <v>3.079.500</v>
      </c>
      <c r="I10" s="19" t="str">
        <f ca="1">IFERROR(__xludf.DUMMYFUNCTION("SUBSTITUTE(REGEXEXTRACT(G10, ""-\s*\$(\d{1,3}(?:,\d{3})*)""), "","", ""."")
"),"8.296.500")</f>
        <v>8.296.500</v>
      </c>
      <c r="J10" s="19" t="str">
        <f ca="1">IFERROR(__xludf.DUMMYFUNCTION("IMPORTXML(AI10, ""//li[strong[text()='Initial Investment:']]"")"),"Loading...")</f>
        <v>Loading...</v>
      </c>
      <c r="K10" s="24"/>
      <c r="L10" s="20" t="str">
        <f ca="1">IFERROR(__xludf.DUMMYFUNCTION("IMPORTXML(AI10, ""//li[strong[text()='Category:']]"")"),"Category:")</f>
        <v>Category:</v>
      </c>
      <c r="M10" s="24" t="str">
        <f ca="1">IFERROR(__xludf.DUMMYFUNCTION("""COMPUTED_VALUE""")," Personal Services")</f>
        <v xml:space="preserve"> Personal Services</v>
      </c>
      <c r="N10" s="19" t="str">
        <f ca="1">IFERROR(__xludf.DUMMYFUNCTION("IMPORTXML(AI10, ""//li[strong[text()='Global Sales:']]"")"),"Loading...")</f>
        <v>Loading...</v>
      </c>
      <c r="O10" s="24"/>
      <c r="P10" s="19" t="str">
        <f t="shared" si="0"/>
        <v/>
      </c>
      <c r="Q10" s="19" t="str">
        <f ca="1">IFERROR(__xludf.DUMMYFUNCTION("IMPORTXML(AI10, ""//li[strong[text()='US Units:']]"")"),"Loading...")</f>
        <v>Loading...</v>
      </c>
      <c r="R10" s="24"/>
      <c r="S10" s="19" t="str">
        <f ca="1">IFERROR(__xludf.DUMMYFUNCTION("IMPORTXML(AI10, ""//li[strong[text()='International Units:']]"")"),"Loading...")</f>
        <v>Loading...</v>
      </c>
      <c r="T10" s="44"/>
      <c r="U10" s="19" t="str">
        <f ca="1">IFERROR(__xludf.DUMMYFUNCTION("IMPORTXML(AI10, ""//li[strong[text()='Percent Franchised:']]"")"),"Loading...")</f>
        <v>Loading...</v>
      </c>
      <c r="V10" s="24"/>
      <c r="W10" s="19" t="str">
        <f ca="1">IFERROR(__xludf.DUMMYFUNCTION("IMPORTXML(AI10, ""//li[strong[text()='% International Units:']]"")"),"Loading...")</f>
        <v>Loading...</v>
      </c>
      <c r="X10" s="24"/>
      <c r="Y10" s="19" t="str">
        <f ca="1">IFERROR(__xludf.DUMMYFUNCTION("IMPORTXML(AI10, ""//li[strong[text()='US Franchised Units:']]"")"),"Loading...")</f>
        <v>Loading...</v>
      </c>
      <c r="Z10" s="24"/>
      <c r="AA10" s="14" t="str">
        <f t="shared" si="1"/>
        <v/>
      </c>
      <c r="AB10" s="19" t="str">
        <f ca="1">IFERROR(__xludf.DUMMYFUNCTION("IMPORTXML(AI10, ""//li[strong[text()='International Franchised Units:']]"")"),"Loading...")</f>
        <v>Loading...</v>
      </c>
      <c r="AC10" s="24"/>
      <c r="AD10" s="14" t="str">
        <f t="shared" si="2"/>
        <v/>
      </c>
      <c r="AE10" s="25" t="str">
        <f ca="1">IFERROR(__xludf.DUMMYFUNCTION("IMPORTXML(AI10, ""//li[strong[text()='Sales Growth %:']]"")"),"Loading...")</f>
        <v>Loading...</v>
      </c>
      <c r="AF10" s="24"/>
      <c r="AG10" s="25" t="str">
        <f ca="1">IFERROR(__xludf.DUMMYFUNCTION("IMPORTXML(AI10, ""//li[strong[text()='Unit Growth %:']]"")"),"Loading...")</f>
        <v>Loading...</v>
      </c>
      <c r="AH10" s="25"/>
      <c r="AI10" s="26" t="s">
        <v>26</v>
      </c>
      <c r="AJ10" s="27"/>
      <c r="AK10" s="27"/>
      <c r="AL10" s="27"/>
      <c r="AM10" s="27"/>
      <c r="AN10" s="27"/>
      <c r="AO10" s="27"/>
      <c r="AP10" s="27"/>
      <c r="AQ10" s="27"/>
    </row>
    <row r="11" spans="1:43" ht="14.25" customHeight="1">
      <c r="A11" s="42">
        <v>24.01</v>
      </c>
      <c r="B11" s="14">
        <v>2024</v>
      </c>
      <c r="C11" s="36">
        <v>10</v>
      </c>
      <c r="D11" s="16" t="str">
        <f ca="1">IFERROR(__xludf.DUMMYFUNCTION("IMPORTXML(AI11, ""//h1[@itemprop='headline']/span"")"),"10. Taco Bell")</f>
        <v>10. Taco Bell</v>
      </c>
      <c r="E11" s="17" t="str">
        <f ca="1">IFERROR(__xludf.DUMMYFUNCTION("REGEXEXTRACT(D11, ""\.\s*(.+)"")"),"Taco Bell")</f>
        <v>Taco Bell</v>
      </c>
      <c r="F11" s="18" t="str">
        <f ca="1">IFERROR(__xludf.DUMMYFUNCTION("IMPORTXML(AI11, ""//li[strong[text()='Investment Range:']]"")"),"Investment Range:")</f>
        <v>Investment Range:</v>
      </c>
      <c r="G11" s="47" t="str">
        <f ca="1">IFERROR(__xludf.DUMMYFUNCTION("""COMPUTED_VALUE""")," $1,584,750 - $3,980,200")</f>
        <v xml:space="preserve"> $1,584,750 - $3,980,200</v>
      </c>
      <c r="H11" s="18" t="str">
        <f ca="1">IFERROR(__xludf.DUMMYFUNCTION("SUBSTITUTE(REGEXEXTRACT(G11, ""\$(\d{1,3}(?:,\d{3})*)""), "","", ""."")
"),"1.584.750")</f>
        <v>1.584.750</v>
      </c>
      <c r="I11" s="19" t="str">
        <f ca="1">IFERROR(__xludf.DUMMYFUNCTION("SUBSTITUTE(REGEXEXTRACT(G11, ""-\s*\$(\d{1,3}(?:,\d{3})*)""), "","", ""."")
"),"3.980.200")</f>
        <v>3.980.200</v>
      </c>
      <c r="J11" s="19" t="str">
        <f ca="1">IFERROR(__xludf.DUMMYFUNCTION("IMPORTXML(AI11, ""//li[strong[text()='Initial Investment:']]"")"),"Initial Investment:")</f>
        <v>Initial Investment:</v>
      </c>
      <c r="K11" s="24" t="str">
        <f ca="1">IFERROR(__xludf.DUMMYFUNCTION("""COMPUTED_VALUE""")," $45,000")</f>
        <v xml:space="preserve"> $45,000</v>
      </c>
      <c r="L11" s="20" t="str">
        <f ca="1">IFERROR(__xludf.DUMMYFUNCTION("IMPORTXML(AI11, ""//li[strong[text()='Category:']]"")"),"Loading...")</f>
        <v>Loading...</v>
      </c>
      <c r="M11" s="24"/>
      <c r="N11" s="19" t="str">
        <f ca="1">IFERROR(__xludf.DUMMYFUNCTION("IMPORTXML(AI11, ""//li[strong[text()='Global Sales:']]"")"),"Loading...")</f>
        <v>Loading...</v>
      </c>
      <c r="O11" s="24"/>
      <c r="P11" s="19" t="str">
        <f t="shared" si="0"/>
        <v/>
      </c>
      <c r="Q11" s="19" t="str">
        <f ca="1">IFERROR(__xludf.DUMMYFUNCTION("IMPORTXML(AI11, ""//li[strong[text()='US Units:']]"")"),"Loading...")</f>
        <v>Loading...</v>
      </c>
      <c r="R11" s="24"/>
      <c r="S11" s="19" t="str">
        <f ca="1">IFERROR(__xludf.DUMMYFUNCTION("IMPORTXML(AI11, ""//li[strong[text()='International Units:']]"")"),"Loading...")</f>
        <v>Loading...</v>
      </c>
      <c r="T11" s="44"/>
      <c r="U11" s="19" t="str">
        <f ca="1">IFERROR(__xludf.DUMMYFUNCTION("IMPORTXML(AI11, ""//li[strong[text()='Percent Franchised:']]"")"),"Loading...")</f>
        <v>Loading...</v>
      </c>
      <c r="V11" s="24"/>
      <c r="W11" s="19" t="str">
        <f ca="1">IFERROR(__xludf.DUMMYFUNCTION("IMPORTXML(AI11, ""//li[strong[text()='% International Units:']]"")"),"Loading...")</f>
        <v>Loading...</v>
      </c>
      <c r="X11" s="24"/>
      <c r="Y11" s="19" t="str">
        <f ca="1">IFERROR(__xludf.DUMMYFUNCTION("IMPORTXML(AI11, ""//li[strong[text()='US Franchised Units:']]"")"),"Loading...")</f>
        <v>Loading...</v>
      </c>
      <c r="Z11" s="24"/>
      <c r="AA11" s="14" t="str">
        <f t="shared" si="1"/>
        <v/>
      </c>
      <c r="AB11" s="19" t="str">
        <f ca="1">IFERROR(__xludf.DUMMYFUNCTION("IMPORTXML(AI11, ""//li[strong[text()='International Franchised Units:']]"")"),"Loading...")</f>
        <v>Loading...</v>
      </c>
      <c r="AC11" s="24"/>
      <c r="AD11" s="14" t="str">
        <f t="shared" si="2"/>
        <v/>
      </c>
      <c r="AE11" s="25" t="str">
        <f ca="1">IFERROR(__xludf.DUMMYFUNCTION("IMPORTXML(AI11, ""//li[strong[text()='Sales Growth %:']]"")"),"Loading...")</f>
        <v>Loading...</v>
      </c>
      <c r="AF11" s="24"/>
      <c r="AG11" s="25" t="str">
        <f ca="1">IFERROR(__xludf.DUMMYFUNCTION("IMPORTXML(AI11, ""//li[strong[text()='Unit Growth %:']]"")"),"Loading...")</f>
        <v>Loading...</v>
      </c>
      <c r="AH11" s="25"/>
      <c r="AI11" s="26" t="s">
        <v>27</v>
      </c>
      <c r="AJ11" s="27"/>
      <c r="AK11" s="27"/>
      <c r="AL11" s="27"/>
      <c r="AM11" s="27"/>
      <c r="AN11" s="27"/>
      <c r="AO11" s="27"/>
      <c r="AP11" s="27"/>
      <c r="AQ11" s="27"/>
    </row>
    <row r="12" spans="1:43" ht="14.25" customHeight="1">
      <c r="A12" s="42">
        <v>24.010999999999999</v>
      </c>
      <c r="B12" s="14">
        <v>2024</v>
      </c>
      <c r="C12" s="36">
        <v>11</v>
      </c>
      <c r="D12" s="16" t="str">
        <f ca="1">IFERROR(__xludf.DUMMYFUNCTION("IMPORTXML(AI12, ""//h1[@itemprop='headline']/span"")"),"11. Wendy’s")</f>
        <v>11. Wendy’s</v>
      </c>
      <c r="E12" s="17" t="str">
        <f ca="1">IFERROR(__xludf.DUMMYFUNCTION("REGEXEXTRACT(D12, ""\.\s*(.+)"")"),"Wendy’s")</f>
        <v>Wendy’s</v>
      </c>
      <c r="F12" s="18" t="str">
        <f ca="1">IFERROR(__xludf.DUMMYFUNCTION("IMPORTXML(AI12, ""//li[strong[text()='Investment Range:']]"")"),"Investment Range:")</f>
        <v>Investment Range:</v>
      </c>
      <c r="G12" s="43" t="str">
        <f ca="1">IFERROR(__xludf.DUMMYFUNCTION("""COMPUTED_VALUE""")," $1,108,474 - $2,828,707")</f>
        <v xml:space="preserve"> $1,108,474 - $2,828,707</v>
      </c>
      <c r="H12" s="18" t="str">
        <f ca="1">IFERROR(__xludf.DUMMYFUNCTION("SUBSTITUTE(REGEXEXTRACT(G12, ""\$(\d{1,3}(?:,\d{3})*)""), "","", ""."")
"),"1.108.474")</f>
        <v>1.108.474</v>
      </c>
      <c r="I12" s="19" t="str">
        <f ca="1">IFERROR(__xludf.DUMMYFUNCTION("SUBSTITUTE(REGEXEXTRACT(G12, ""-\s*\$(\d{1,3}(?:,\d{3})*)""), "","", ""."")
"),"2.828.707")</f>
        <v>2.828.707</v>
      </c>
      <c r="J12" s="19" t="str">
        <f ca="1">IFERROR(__xludf.DUMMYFUNCTION("IMPORTXML(AI12, ""//li[strong[text()='Initial Investment:']]"")"),"Loading...")</f>
        <v>Loading...</v>
      </c>
      <c r="K12" s="24"/>
      <c r="L12" s="20" t="str">
        <f ca="1">IFERROR(__xludf.DUMMYFUNCTION("IMPORTXML(AI12, ""//li[strong[text()='Category:']]"")"),"Loading...")</f>
        <v>Loading...</v>
      </c>
      <c r="M12" s="24"/>
      <c r="N12" s="19" t="str">
        <f ca="1">IFERROR(__xludf.DUMMYFUNCTION("IMPORTXML(AI12, ""//li[strong[text()='Global Sales:']]"")"),"Loading...")</f>
        <v>Loading...</v>
      </c>
      <c r="O12" s="24"/>
      <c r="P12" s="19" t="str">
        <f t="shared" si="0"/>
        <v/>
      </c>
      <c r="Q12" s="19" t="str">
        <f ca="1">IFERROR(__xludf.DUMMYFUNCTION("IMPORTXML(AI12, ""//li[strong[text()='US Units:']]"")"),"Loading...")</f>
        <v>Loading...</v>
      </c>
      <c r="R12" s="24"/>
      <c r="S12" s="19" t="str">
        <f ca="1">IFERROR(__xludf.DUMMYFUNCTION("IMPORTXML(AI12, ""//li[strong[text()='International Units:']]"")"),"Loading...")</f>
        <v>Loading...</v>
      </c>
      <c r="T12" s="44"/>
      <c r="U12" s="19" t="str">
        <f ca="1">IFERROR(__xludf.DUMMYFUNCTION("IMPORTXML(AI12, ""//li[strong[text()='Percent Franchised:']]"")"),"Loading...")</f>
        <v>Loading...</v>
      </c>
      <c r="V12" s="24"/>
      <c r="W12" s="19" t="str">
        <f ca="1">IFERROR(__xludf.DUMMYFUNCTION("IMPORTXML(AI12, ""//li[strong[text()='% International Units:']]"")"),"Loading...")</f>
        <v>Loading...</v>
      </c>
      <c r="X12" s="24"/>
      <c r="Y12" s="19" t="str">
        <f ca="1">IFERROR(__xludf.DUMMYFUNCTION("IMPORTXML(AI12, ""//li[strong[text()='US Franchised Units:']]"")"),"Loading...")</f>
        <v>Loading...</v>
      </c>
      <c r="Z12" s="24"/>
      <c r="AA12" s="14" t="str">
        <f t="shared" si="1"/>
        <v/>
      </c>
      <c r="AB12" s="19" t="str">
        <f ca="1">IFERROR(__xludf.DUMMYFUNCTION("IMPORTXML(AI12, ""//li[strong[text()='International Franchised Units:']]"")"),"Loading...")</f>
        <v>Loading...</v>
      </c>
      <c r="AC12" s="24"/>
      <c r="AD12" s="14" t="str">
        <f t="shared" si="2"/>
        <v/>
      </c>
      <c r="AE12" s="25" t="str">
        <f ca="1">IFERROR(__xludf.DUMMYFUNCTION("IMPORTXML(AI12, ""//li[strong[text()='Sales Growth %:']]"")"),"Loading...")</f>
        <v>Loading...</v>
      </c>
      <c r="AF12" s="24"/>
      <c r="AG12" s="25" t="str">
        <f ca="1">IFERROR(__xludf.DUMMYFUNCTION("IMPORTXML(AI12, ""//li[strong[text()='Unit Growth %:']]"")"),"Loading...")</f>
        <v>Loading...</v>
      </c>
      <c r="AH12" s="25"/>
      <c r="AI12" s="26" t="s">
        <v>28</v>
      </c>
      <c r="AJ12" s="27"/>
      <c r="AK12" s="27"/>
      <c r="AL12" s="27"/>
      <c r="AM12" s="27"/>
      <c r="AN12" s="27"/>
      <c r="AO12" s="27"/>
      <c r="AP12" s="27"/>
      <c r="AQ12" s="27"/>
    </row>
    <row r="13" spans="1:43" ht="14.25" customHeight="1">
      <c r="A13" s="42">
        <v>24.012</v>
      </c>
      <c r="B13" s="14">
        <v>2024</v>
      </c>
      <c r="C13" s="15">
        <v>12</v>
      </c>
      <c r="D13" s="16" t="str">
        <f ca="1">IFERROR(__xludf.DUMMYFUNCTION("IMPORTXML(AI13, ""//h1[@itemprop='headline']/span"")"),"12. Dunkin’")</f>
        <v>12. Dunkin’</v>
      </c>
      <c r="E13" s="17" t="str">
        <f ca="1">IFERROR(__xludf.DUMMYFUNCTION("REGEXEXTRACT(D13, ""\.\s*(.+)"")"),"Dunkin’")</f>
        <v>Dunkin’</v>
      </c>
      <c r="F13" s="18" t="str">
        <f ca="1">IFERROR(__xludf.DUMMYFUNCTION("IMPORTXML(AI13, ""//li[strong[text()='Investment Range:']]"")"),"Investment Range:")</f>
        <v>Investment Range:</v>
      </c>
      <c r="G13" s="43" t="str">
        <f ca="1">IFERROR(__xludf.DUMMYFUNCTION("""COMPUTED_VALUE""")," $210,900 - $1,832,500")</f>
        <v xml:space="preserve"> $210,900 - $1,832,500</v>
      </c>
      <c r="H13" s="18" t="str">
        <f ca="1">IFERROR(__xludf.DUMMYFUNCTION("SUBSTITUTE(REGEXEXTRACT(G13, ""\$(\d{1,3}(?:,\d{3})*)""), "","", ""."")
"),"210.900")</f>
        <v>210.900</v>
      </c>
      <c r="I13" s="19" t="str">
        <f ca="1">IFERROR(__xludf.DUMMYFUNCTION("SUBSTITUTE(REGEXEXTRACT(G13, ""-\s*\$(\d{1,3}(?:,\d{3})*)""), "","", ""."")
"),"1.832.500")</f>
        <v>1.832.500</v>
      </c>
      <c r="J13" s="19" t="str">
        <f ca="1">IFERROR(__xludf.DUMMYFUNCTION("IMPORTXML(AI13, ""//li[strong[text()='Initial Investment:']]"")"),"Loading...")</f>
        <v>Loading...</v>
      </c>
      <c r="K13" s="24"/>
      <c r="L13" s="20" t="str">
        <f ca="1">IFERROR(__xludf.DUMMYFUNCTION("IMPORTXML(AI13, ""//li[strong[text()='Category:']]"")"),"Loading...")</f>
        <v>Loading...</v>
      </c>
      <c r="M13" s="24"/>
      <c r="N13" s="19" t="str">
        <f ca="1">IFERROR(__xludf.DUMMYFUNCTION("IMPORTXML(AI13, ""//li[strong[text()='Global Sales:']]"")"),"Loading...")</f>
        <v>Loading...</v>
      </c>
      <c r="O13" s="24"/>
      <c r="P13" s="19" t="str">
        <f t="shared" si="0"/>
        <v/>
      </c>
      <c r="Q13" s="19" t="str">
        <f ca="1">IFERROR(__xludf.DUMMYFUNCTION("IMPORTXML(AI13, ""//li[strong[text()='US Units:']]"")"),"US Units:")</f>
        <v>US Units:</v>
      </c>
      <c r="R13" s="24">
        <f ca="1">IFERROR(__xludf.DUMMYFUNCTION("""COMPUTED_VALUE"""),9.58)</f>
        <v>9.58</v>
      </c>
      <c r="S13" s="19" t="str">
        <f ca="1">IFERROR(__xludf.DUMMYFUNCTION("IMPORTXML(AI13, ""//li[strong[text()='International Units:']]"")"),"Loading...")</f>
        <v>Loading...</v>
      </c>
      <c r="T13" s="44"/>
      <c r="U13" s="19" t="str">
        <f ca="1">IFERROR(__xludf.DUMMYFUNCTION("IMPORTXML(AI13, ""//li[strong[text()='Percent Franchised:']]"")"),"Loading...")</f>
        <v>Loading...</v>
      </c>
      <c r="V13" s="24"/>
      <c r="W13" s="19" t="str">
        <f ca="1">IFERROR(__xludf.DUMMYFUNCTION("IMPORTXML(AI13, ""//li[strong[text()='% International Units:']]"")"),"Loading...")</f>
        <v>Loading...</v>
      </c>
      <c r="X13" s="24"/>
      <c r="Y13" s="19" t="str">
        <f ca="1">IFERROR(__xludf.DUMMYFUNCTION("IMPORTXML(AI13, ""//li[strong[text()='US Franchised Units:']]"")"),"Loading...")</f>
        <v>Loading...</v>
      </c>
      <c r="Z13" s="24"/>
      <c r="AA13" s="14" t="str">
        <f t="shared" si="1"/>
        <v/>
      </c>
      <c r="AB13" s="19" t="str">
        <f ca="1">IFERROR(__xludf.DUMMYFUNCTION("IMPORTXML(AI13, ""//li[strong[text()='International Franchised Units:']]"")"),"Loading...")</f>
        <v>Loading...</v>
      </c>
      <c r="AC13" s="24"/>
      <c r="AD13" s="14" t="str">
        <f t="shared" si="2"/>
        <v/>
      </c>
      <c r="AE13" s="25" t="str">
        <f ca="1">IFERROR(__xludf.DUMMYFUNCTION("IMPORTXML(AI13, ""//li[strong[text()='Sales Growth %:']]"")"),"Loading...")</f>
        <v>Loading...</v>
      </c>
      <c r="AF13" s="24"/>
      <c r="AG13" s="25" t="str">
        <f ca="1">IFERROR(__xludf.DUMMYFUNCTION("IMPORTXML(AI13, ""//li[strong[text()='Unit Growth %:']]"")"),"Loading...")</f>
        <v>Loading...</v>
      </c>
      <c r="AH13" s="25"/>
      <c r="AI13" s="26" t="s">
        <v>29</v>
      </c>
      <c r="AJ13" s="27"/>
      <c r="AK13" s="27"/>
      <c r="AL13" s="27"/>
      <c r="AM13" s="27"/>
      <c r="AN13" s="27"/>
      <c r="AO13" s="27"/>
      <c r="AP13" s="27"/>
      <c r="AQ13" s="27"/>
    </row>
    <row r="14" spans="1:43" ht="14.25" customHeight="1">
      <c r="A14" s="42">
        <v>24.013000000000002</v>
      </c>
      <c r="B14" s="14">
        <v>2024</v>
      </c>
      <c r="C14" s="32">
        <v>13</v>
      </c>
      <c r="D14" s="16" t="str">
        <f ca="1">IFERROR(__xludf.DUMMYFUNCTION("IMPORTXML(AI14, ""//h1[@itemprop='headline']/span"")"),"13. Pizza Hut")</f>
        <v>13. Pizza Hut</v>
      </c>
      <c r="E14" s="17" t="str">
        <f ca="1">IFERROR(__xludf.DUMMYFUNCTION("REGEXEXTRACT(D14, ""\.\s*(.+)"")"),"Pizza Hut")</f>
        <v>Pizza Hut</v>
      </c>
      <c r="F14" s="18" t="str">
        <f ca="1">IFERROR(__xludf.DUMMYFUNCTION("IMPORTXML(AI14, ""//li[contains(., 'Investment Range')]"")"),"Loading...")</f>
        <v>Loading...</v>
      </c>
      <c r="G14" s="43"/>
      <c r="H14" s="18" t="str">
        <f ca="1">IFERROR(__xludf.DUMMYFUNCTION("SUBSTITUTE(REGEXEXTRACT(G14, ""\$(\d{1,3}(?:,\d{3})*)""), "","", ""."")
"),"#N/A")</f>
        <v>#N/A</v>
      </c>
      <c r="I14" s="19" t="str">
        <f ca="1">IFERROR(__xludf.DUMMYFUNCTION("SUBSTITUTE(REGEXEXTRACT(G14, ""-\s*\$(\d{1,3}(?:,\d{3})*)""), "","", ""."")
"),"#N/A")</f>
        <v>#N/A</v>
      </c>
      <c r="J14" s="19" t="str">
        <f ca="1">IFERROR(__xludf.DUMMYFUNCTION("IMPORTXML(AI14, ""//li[strong[text()='Initial Investment:']]"")"),"Loading...")</f>
        <v>Loading...</v>
      </c>
      <c r="K14" s="24"/>
      <c r="L14" s="20" t="str">
        <f ca="1">IFERROR(__xludf.DUMMYFUNCTION("IMPORTXML(AI14, ""//li[strong[text()='Category:']]"")"),"Loading...")</f>
        <v>Loading...</v>
      </c>
      <c r="M14" s="24"/>
      <c r="N14" s="19" t="str">
        <f ca="1">IFERROR(__xludf.DUMMYFUNCTION("IMPORTXML(AI14, ""//li[strong[text()='Global Sales:']]"")"),"Loading...")</f>
        <v>Loading...</v>
      </c>
      <c r="O14" s="24"/>
      <c r="P14" s="19" t="str">
        <f t="shared" si="0"/>
        <v/>
      </c>
      <c r="Q14" s="19" t="str">
        <f ca="1">IFERROR(__xludf.DUMMYFUNCTION("IMPORTXML(AI14, ""//li[strong[text()='US Units:']]"")"),"Loading...")</f>
        <v>Loading...</v>
      </c>
      <c r="R14" s="24"/>
      <c r="S14" s="19" t="str">
        <f ca="1">IFERROR(__xludf.DUMMYFUNCTION("IMPORTXML(AI14, ""//li[strong[text()='International Units:']]"")"),"Loading...")</f>
        <v>Loading...</v>
      </c>
      <c r="T14" s="44"/>
      <c r="U14" s="19" t="str">
        <f ca="1">IFERROR(__xludf.DUMMYFUNCTION("IMPORTXML(AI14, ""//li[strong[text()='Percent Franchised:']]"")"),"Loading...")</f>
        <v>Loading...</v>
      </c>
      <c r="V14" s="24"/>
      <c r="W14" s="19" t="str">
        <f ca="1">IFERROR(__xludf.DUMMYFUNCTION("IMPORTXML(AI14, ""//li[strong[text()='% International Units:']]"")"),"Loading...")</f>
        <v>Loading...</v>
      </c>
      <c r="X14" s="24"/>
      <c r="Y14" s="19" t="str">
        <f ca="1">IFERROR(__xludf.DUMMYFUNCTION("IMPORTXML(AI14, ""//li[strong[text()='US Franchised Units:']]"")"),"Loading...")</f>
        <v>Loading...</v>
      </c>
      <c r="Z14" s="24"/>
      <c r="AA14" s="14" t="str">
        <f t="shared" si="1"/>
        <v/>
      </c>
      <c r="AB14" s="19" t="str">
        <f ca="1">IFERROR(__xludf.DUMMYFUNCTION("IMPORTXML(AI14, ""//li[strong[text()='International Franchised Units:']]"")"),"Loading...")</f>
        <v>Loading...</v>
      </c>
      <c r="AC14" s="24"/>
      <c r="AD14" s="14" t="str">
        <f t="shared" si="2"/>
        <v/>
      </c>
      <c r="AE14" s="25" t="str">
        <f ca="1">IFERROR(__xludf.DUMMYFUNCTION("IMPORTXML(AI14, ""//li[strong[text()='Sales Growth %:']]"")"),"Loading...")</f>
        <v>Loading...</v>
      </c>
      <c r="AF14" s="24"/>
      <c r="AG14" s="25" t="str">
        <f ca="1">IFERROR(__xludf.DUMMYFUNCTION("IMPORTXML(AI14, ""//li[strong[text()='Unit Growth %:']]"")"),"Loading...")</f>
        <v>Loading...</v>
      </c>
      <c r="AH14" s="25"/>
      <c r="AI14" s="26" t="s">
        <v>30</v>
      </c>
      <c r="AJ14" s="27"/>
      <c r="AK14" s="27"/>
      <c r="AL14" s="27"/>
      <c r="AM14" s="27"/>
      <c r="AN14" s="27"/>
      <c r="AO14" s="27"/>
      <c r="AP14" s="27"/>
      <c r="AQ14" s="27"/>
    </row>
    <row r="15" spans="1:43" ht="14.25" customHeight="1">
      <c r="A15" s="42">
        <v>24.013999999999999</v>
      </c>
      <c r="B15" s="14">
        <v>2024</v>
      </c>
      <c r="C15" s="36">
        <v>14</v>
      </c>
      <c r="D15" s="16" t="str">
        <f ca="1">IFERROR(__xludf.DUMMYFUNCTION("IMPORTXML(AI15, ""//h1[@itemprop='headline']/span"")"),"14. RE/MAX")</f>
        <v>14. RE/MAX</v>
      </c>
      <c r="E15" s="17" t="str">
        <f ca="1">IFERROR(__xludf.DUMMYFUNCTION("REGEXEXTRACT(D15, ""\.\s*(.+)"")"),"RE/MAX")</f>
        <v>RE/MAX</v>
      </c>
      <c r="F15" s="18" t="str">
        <f ca="1">IFERROR(__xludf.DUMMYFUNCTION("IMPORTXML(AI15, ""//li[strong[text()='Investment Range:']]"")"),"Investment Range:")</f>
        <v>Investment Range:</v>
      </c>
      <c r="G15" s="43" t="str">
        <f ca="1">IFERROR(__xludf.DUMMYFUNCTION("""COMPUTED_VALUE""")," $44,000 - $241,500")</f>
        <v xml:space="preserve"> $44,000 - $241,500</v>
      </c>
      <c r="H15" s="18" t="str">
        <f ca="1">IFERROR(__xludf.DUMMYFUNCTION("SUBSTITUTE(REGEXEXTRACT(G15, ""\$(\d{1,3}(?:,\d{3})*)""), "","", ""."")
"),"44.000")</f>
        <v>44.000</v>
      </c>
      <c r="I15" s="19" t="str">
        <f ca="1">IFERROR(__xludf.DUMMYFUNCTION("SUBSTITUTE(REGEXEXTRACT(G15, ""-\s*\$(\d{1,3}(?:,\d{3})*)""), "","", ""."")
"),"241.500")</f>
        <v>241.500</v>
      </c>
      <c r="J15" s="19" t="str">
        <f ca="1">IFERROR(__xludf.DUMMYFUNCTION("IMPORTXML(AI15, ""//li[strong[text()='Initial Investment:']]"")"),"Loading...")</f>
        <v>Loading...</v>
      </c>
      <c r="K15" s="24"/>
      <c r="L15" s="20" t="str">
        <f ca="1">IFERROR(__xludf.DUMMYFUNCTION("IMPORTXML(AI15, ""//li[strong[text()='Category:']]"")"),"Loading...")</f>
        <v>Loading...</v>
      </c>
      <c r="M15" s="24"/>
      <c r="N15" s="19" t="str">
        <f ca="1">IFERROR(__xludf.DUMMYFUNCTION("IMPORTXML(AI15, ""//li[strong[text()='Global Sales:']]"")"),"Loading...")</f>
        <v>Loading...</v>
      </c>
      <c r="O15" s="24"/>
      <c r="P15" s="19" t="str">
        <f t="shared" si="0"/>
        <v/>
      </c>
      <c r="Q15" s="19" t="str">
        <f ca="1">IFERROR(__xludf.DUMMYFUNCTION("IMPORTXML(AI15, ""//li[strong[text()='US Units:']]"")"),"Loading...")</f>
        <v>Loading...</v>
      </c>
      <c r="R15" s="24"/>
      <c r="S15" s="19" t="str">
        <f ca="1">IFERROR(__xludf.DUMMYFUNCTION("IMPORTXML(AI15, ""//li[strong[text()='International Units:']]"")"),"Loading...")</f>
        <v>Loading...</v>
      </c>
      <c r="T15" s="44"/>
      <c r="U15" s="19" t="str">
        <f ca="1">IFERROR(__xludf.DUMMYFUNCTION("IMPORTXML(AI15, ""//li[strong[text()='Percent Franchised:']]"")"),"Loading...")</f>
        <v>Loading...</v>
      </c>
      <c r="V15" s="24"/>
      <c r="W15" s="19" t="str">
        <f ca="1">IFERROR(__xludf.DUMMYFUNCTION("IMPORTXML(AI15, ""//li[strong[text()='% International Units:']]"")"),"Loading...")</f>
        <v>Loading...</v>
      </c>
      <c r="X15" s="24"/>
      <c r="Y15" s="19" t="str">
        <f ca="1">IFERROR(__xludf.DUMMYFUNCTION("IMPORTXML(AI15, ""//li[strong[text()='US Franchised Units:']]"")"),"Loading...")</f>
        <v>Loading...</v>
      </c>
      <c r="Z15" s="24"/>
      <c r="AA15" s="14" t="str">
        <f t="shared" si="1"/>
        <v/>
      </c>
      <c r="AB15" s="19" t="str">
        <f ca="1">IFERROR(__xludf.DUMMYFUNCTION("IMPORTXML(AI15, ""//li[strong[text()='International Franchised Units:']]"")"),"Loading...")</f>
        <v>Loading...</v>
      </c>
      <c r="AC15" s="24"/>
      <c r="AD15" s="14" t="str">
        <f t="shared" si="2"/>
        <v/>
      </c>
      <c r="AE15" s="25" t="str">
        <f ca="1">IFERROR(__xludf.DUMMYFUNCTION("IMPORTXML(AI15, ""//li[strong[text()='Sales Growth %:']]"")"),"Loading...")</f>
        <v>Loading...</v>
      </c>
      <c r="AF15" s="24"/>
      <c r="AG15" s="25" t="str">
        <f ca="1">IFERROR(__xludf.DUMMYFUNCTION("IMPORTXML(AI15, ""//li[strong[text()='Unit Growth %:']]"")"),"Loading...")</f>
        <v>Loading...</v>
      </c>
      <c r="AH15" s="25"/>
      <c r="AI15" s="26" t="s">
        <v>31</v>
      </c>
      <c r="AJ15" s="27"/>
      <c r="AK15" s="27"/>
      <c r="AL15" s="27"/>
      <c r="AM15" s="27"/>
      <c r="AN15" s="27"/>
      <c r="AO15" s="27"/>
      <c r="AP15" s="27"/>
      <c r="AQ15" s="27"/>
    </row>
    <row r="16" spans="1:43" ht="14.25" customHeight="1">
      <c r="A16" s="42">
        <v>24.015000000000001</v>
      </c>
      <c r="B16" s="14">
        <v>2024</v>
      </c>
      <c r="C16" s="36">
        <v>15</v>
      </c>
      <c r="D16" s="16" t="str">
        <f ca="1">IFERROR(__xludf.DUMMYFUNCTION("IMPORTXML(AI16, ""//h1[@itemprop='headline']/span"")"),"15. Keller Williams Realty")</f>
        <v>15. Keller Williams Realty</v>
      </c>
      <c r="E16" s="17" t="str">
        <f ca="1">IFERROR(__xludf.DUMMYFUNCTION("REGEXEXTRACT(D16, ""\.\s*(.+)"")"),"Keller Williams Realty")</f>
        <v>Keller Williams Realty</v>
      </c>
      <c r="F16" s="18" t="str">
        <f ca="1">IFERROR(__xludf.DUMMYFUNCTION("IMPORTXML(AI16, ""//li[strong[text()='Investment Range:']]"")"),"Investment Range:")</f>
        <v>Investment Range:</v>
      </c>
      <c r="G16" s="43" t="str">
        <f ca="1">IFERROR(__xludf.DUMMYFUNCTION("""COMPUTED_VALUE""")," $182,430 - $335,697")</f>
        <v xml:space="preserve"> $182,430 - $335,697</v>
      </c>
      <c r="H16" s="18" t="str">
        <f ca="1">IFERROR(__xludf.DUMMYFUNCTION("SUBSTITUTE(REGEXEXTRACT(G16, ""\$(\d{1,3}(?:,\d{3})*)""), "","", ""."")
"),"182.430")</f>
        <v>182.430</v>
      </c>
      <c r="I16" s="19" t="str">
        <f ca="1">IFERROR(__xludf.DUMMYFUNCTION("SUBSTITUTE(REGEXEXTRACT(G16, ""-\s*\$(\d{1,3}(?:,\d{3})*)""), "","", ""."")
"),"335.697")</f>
        <v>335.697</v>
      </c>
      <c r="J16" s="19" t="str">
        <f ca="1">IFERROR(__xludf.DUMMYFUNCTION("IMPORTXML(AI16, ""//li[strong[text()='Initial Investment:']]"")"),"Loading...")</f>
        <v>Loading...</v>
      </c>
      <c r="K16" s="24"/>
      <c r="L16" s="20" t="str">
        <f ca="1">IFERROR(__xludf.DUMMYFUNCTION("IMPORTXML(AI16, ""//li[strong[text()='Category:']]"")"),"Loading...")</f>
        <v>Loading...</v>
      </c>
      <c r="M16" s="24"/>
      <c r="N16" s="19" t="str">
        <f ca="1">IFERROR(__xludf.DUMMYFUNCTION("IMPORTXML(AI16, ""//li[strong[text()='Global Sales:']]"")"),"Loading...")</f>
        <v>Loading...</v>
      </c>
      <c r="O16" s="24"/>
      <c r="P16" s="19" t="str">
        <f t="shared" si="0"/>
        <v/>
      </c>
      <c r="Q16" s="19" t="str">
        <f ca="1">IFERROR(__xludf.DUMMYFUNCTION("IMPORTXML(AI16, ""//li[strong[text()='US Units:']]"")"),"Loading...")</f>
        <v>Loading...</v>
      </c>
      <c r="R16" s="24"/>
      <c r="S16" s="19" t="str">
        <f ca="1">IFERROR(__xludf.DUMMYFUNCTION("IMPORTXML(AI16, ""//li[strong[text()='International Units:']]"")"),"Loading...")</f>
        <v>Loading...</v>
      </c>
      <c r="T16" s="44"/>
      <c r="U16" s="19" t="str">
        <f ca="1">IFERROR(__xludf.DUMMYFUNCTION("IMPORTXML(AI16, ""//li[strong[text()='Percent Franchised:']]"")"),"Loading...")</f>
        <v>Loading...</v>
      </c>
      <c r="V16" s="24"/>
      <c r="W16" s="19" t="str">
        <f ca="1">IFERROR(__xludf.DUMMYFUNCTION("IMPORTXML(AI16, ""//li[strong[text()='% International Units:']]"")"),"Loading...")</f>
        <v>Loading...</v>
      </c>
      <c r="X16" s="24"/>
      <c r="Y16" s="19" t="str">
        <f ca="1">IFERROR(__xludf.DUMMYFUNCTION("IMPORTXML(AI16, ""//li[strong[text()='US Franchised Units:']]"")"),"US Franchised Units:")</f>
        <v>US Franchised Units:</v>
      </c>
      <c r="Z16" s="24">
        <f ca="1">IFERROR(__xludf.DUMMYFUNCTION("""COMPUTED_VALUE"""),761)</f>
        <v>761</v>
      </c>
      <c r="AA16" s="14" t="str">
        <f t="shared" ca="1" si="1"/>
        <v>761</v>
      </c>
      <c r="AB16" s="19" t="str">
        <f ca="1">IFERROR(__xludf.DUMMYFUNCTION("IMPORTXML(AI16, ""//li[strong[text()='International Franchised Units:']]"")"),"Loading...")</f>
        <v>Loading...</v>
      </c>
      <c r="AC16" s="24"/>
      <c r="AD16" s="14" t="str">
        <f t="shared" si="2"/>
        <v/>
      </c>
      <c r="AE16" s="25" t="str">
        <f ca="1">IFERROR(__xludf.DUMMYFUNCTION("IMPORTXML(AI16, ""//li[strong[text()='Sales Growth %:']]"")"),"Loading...")</f>
        <v>Loading...</v>
      </c>
      <c r="AF16" s="24"/>
      <c r="AG16" s="25" t="str">
        <f ca="1">IFERROR(__xludf.DUMMYFUNCTION("IMPORTXML(AI16, ""//li[strong[text()='Unit Growth %:']]"")"),"Loading...")</f>
        <v>Loading...</v>
      </c>
      <c r="AH16" s="25"/>
      <c r="AI16" s="26" t="s">
        <v>32</v>
      </c>
      <c r="AJ16" s="27"/>
      <c r="AK16" s="27"/>
      <c r="AL16" s="27"/>
      <c r="AM16" s="27"/>
      <c r="AN16" s="27"/>
      <c r="AO16" s="27"/>
      <c r="AP16" s="27"/>
      <c r="AQ16" s="27"/>
    </row>
    <row r="17" spans="1:43" ht="14.25" customHeight="1">
      <c r="A17" s="42">
        <v>24.015999999999998</v>
      </c>
      <c r="B17" s="14">
        <v>2024</v>
      </c>
      <c r="C17" s="15">
        <v>16</v>
      </c>
      <c r="D17" s="16" t="str">
        <f ca="1">IFERROR(__xludf.DUMMYFUNCTION("IMPORTXML(AI17, ""//h1[@itemprop='headline']/span"")"),"16. Tim Hortons")</f>
        <v>16. Tim Hortons</v>
      </c>
      <c r="E17" s="17" t="str">
        <f ca="1">IFERROR(__xludf.DUMMYFUNCTION("REGEXEXTRACT(D17, ""\.\s*(.+)"")"),"Tim Hortons")</f>
        <v>Tim Hortons</v>
      </c>
      <c r="F17" s="18" t="str">
        <f ca="1">IFERROR(__xludf.DUMMYFUNCTION("IMPORTXML(AI17, ""//li[strong[text()='Investment Range:']]"")"),"Investment Range:")</f>
        <v>Investment Range:</v>
      </c>
      <c r="G17" s="43" t="str">
        <f ca="1">IFERROR(__xludf.DUMMYFUNCTION("""COMPUTED_VALUE""")," $236,500 - $2,137,500")</f>
        <v xml:space="preserve"> $236,500 - $2,137,500</v>
      </c>
      <c r="H17" s="18" t="str">
        <f ca="1">IFERROR(__xludf.DUMMYFUNCTION("SUBSTITUTE(REGEXEXTRACT(G17, ""\$(\d{1,3}(?:,\d{3})*)""), "","", ""."")
"),"236.500")</f>
        <v>236.500</v>
      </c>
      <c r="I17" s="19" t="str">
        <f ca="1">IFERROR(__xludf.DUMMYFUNCTION("SUBSTITUTE(REGEXEXTRACT(G17, ""-\s*\$(\d{1,3}(?:,\d{3})*)""), "","", ""."")
"),"2.137.500")</f>
        <v>2.137.500</v>
      </c>
      <c r="J17" s="19" t="str">
        <f ca="1">IFERROR(__xludf.DUMMYFUNCTION("IMPORTXML(AI17, ""//li[strong[text()='Initial Investment:']]"")"),"Loading...")</f>
        <v>Loading...</v>
      </c>
      <c r="K17" s="24"/>
      <c r="L17" s="20" t="str">
        <f ca="1">IFERROR(__xludf.DUMMYFUNCTION("IMPORTXML(AI17, ""//li[strong[text()='Category:']]"")"),"Loading...")</f>
        <v>Loading...</v>
      </c>
      <c r="M17" s="24"/>
      <c r="N17" s="19" t="str">
        <f ca="1">IFERROR(__xludf.DUMMYFUNCTION("IMPORTXML(AI17, ""//li[strong[text()='Global Sales:']]"")"),"Loading...")</f>
        <v>Loading...</v>
      </c>
      <c r="O17" s="24"/>
      <c r="P17" s="19" t="str">
        <f t="shared" si="0"/>
        <v/>
      </c>
      <c r="Q17" s="19" t="str">
        <f ca="1">IFERROR(__xludf.DUMMYFUNCTION("IMPORTXML(AI17, ""//li[strong[text()='US Units:']]"")"),"Loading...")</f>
        <v>Loading...</v>
      </c>
      <c r="R17" s="24"/>
      <c r="S17" s="19" t="str">
        <f ca="1">IFERROR(__xludf.DUMMYFUNCTION("IMPORTXML(AI17, ""//li[strong[text()='International Units:']]"")"),"Loading...")</f>
        <v>Loading...</v>
      </c>
      <c r="T17" s="44"/>
      <c r="U17" s="19" t="str">
        <f ca="1">IFERROR(__xludf.DUMMYFUNCTION("IMPORTXML(AI17, ""//li[strong[text()='Percent Franchised:']]"")"),"Loading...")</f>
        <v>Loading...</v>
      </c>
      <c r="V17" s="24"/>
      <c r="W17" s="19" t="str">
        <f ca="1">IFERROR(__xludf.DUMMYFUNCTION("IMPORTXML(AI17, ""//li[strong[text()='% International Units:']]"")"),"Loading...")</f>
        <v>Loading...</v>
      </c>
      <c r="X17" s="24"/>
      <c r="Y17" s="19" t="str">
        <f ca="1">IFERROR(__xludf.DUMMYFUNCTION("IMPORTXML(AI17, ""//li[strong[text()='US Franchised Units:']]"")"),"Loading...")</f>
        <v>Loading...</v>
      </c>
      <c r="Z17" s="24"/>
      <c r="AA17" s="14" t="str">
        <f t="shared" si="1"/>
        <v/>
      </c>
      <c r="AB17" s="19" t="str">
        <f ca="1">IFERROR(__xludf.DUMMYFUNCTION("IMPORTXML(AI17, ""//li[strong[text()='International Franchised Units:']]"")"),"Loading...")</f>
        <v>Loading...</v>
      </c>
      <c r="AC17" s="24"/>
      <c r="AD17" s="14" t="str">
        <f t="shared" si="2"/>
        <v/>
      </c>
      <c r="AE17" s="25" t="str">
        <f ca="1">IFERROR(__xludf.DUMMYFUNCTION("IMPORTXML(AI17, ""//li[strong[text()='Sales Growth %:']]"")"),"Loading...")</f>
        <v>Loading...</v>
      </c>
      <c r="AF17" s="24"/>
      <c r="AG17" s="25" t="str">
        <f ca="1">IFERROR(__xludf.DUMMYFUNCTION("IMPORTXML(AI17, ""//li[strong[text()='Unit Growth %:']]"")"),"Loading...")</f>
        <v>Loading...</v>
      </c>
      <c r="AH17" s="25"/>
      <c r="AI17" s="26" t="s">
        <v>33</v>
      </c>
      <c r="AJ17" s="27"/>
      <c r="AK17" s="27"/>
      <c r="AL17" s="27"/>
      <c r="AM17" s="27"/>
      <c r="AN17" s="27"/>
      <c r="AO17" s="27"/>
      <c r="AP17" s="27"/>
      <c r="AQ17" s="27"/>
    </row>
    <row r="18" spans="1:43" ht="14.25" customHeight="1">
      <c r="A18" s="42">
        <v>24.016999999999999</v>
      </c>
      <c r="B18" s="14">
        <v>2024</v>
      </c>
      <c r="C18" s="32">
        <v>17</v>
      </c>
      <c r="D18" s="16" t="str">
        <f ca="1">IFERROR(__xludf.DUMMYFUNCTION("IMPORTXML(AI18, ""//h1[@itemprop='headline']/span"")"),"17. Popeyes Louisiana Kitchen")</f>
        <v>17. Popeyes Louisiana Kitchen</v>
      </c>
      <c r="E18" s="17" t="str">
        <f ca="1">IFERROR(__xludf.DUMMYFUNCTION("REGEXEXTRACT(D18, ""\.\s*(.+)"")"),"Popeyes Louisiana Kitchen")</f>
        <v>Popeyes Louisiana Kitchen</v>
      </c>
      <c r="F18" s="18" t="str">
        <f ca="1">IFERROR(__xludf.DUMMYFUNCTION("IMPORTXML(AI18, ""//li[strong[text()='Investment Range:']]"")"),"Investment Range:")</f>
        <v>Investment Range:</v>
      </c>
      <c r="G18" s="43" t="str">
        <f ca="1">IFERROR(__xludf.DUMMYFUNCTION("""COMPUTED_VALUE""")," $1,188,500 - $3,875,700")</f>
        <v xml:space="preserve"> $1,188,500 - $3,875,700</v>
      </c>
      <c r="H18" s="18" t="str">
        <f ca="1">IFERROR(__xludf.DUMMYFUNCTION("SUBSTITUTE(REGEXEXTRACT(G18, ""\$(\d{1,3}(?:,\d{3})*)""), "","", ""."")
"),"1.188.500")</f>
        <v>1.188.500</v>
      </c>
      <c r="I18" s="19" t="str">
        <f ca="1">IFERROR(__xludf.DUMMYFUNCTION("SUBSTITUTE(REGEXEXTRACT(G18, ""-\s*\$(\d{1,3}(?:,\d{3})*)""), "","", ""."")
"),"3.875.700")</f>
        <v>3.875.700</v>
      </c>
      <c r="J18" s="19" t="str">
        <f ca="1">IFERROR(__xludf.DUMMYFUNCTION("IMPORTXML(AI18, ""//li[strong[text()='Initial Investment:']]"")"),"Loading...")</f>
        <v>Loading...</v>
      </c>
      <c r="K18" s="24"/>
      <c r="L18" s="20" t="str">
        <f ca="1">IFERROR(__xludf.DUMMYFUNCTION("IMPORTXML(AI18, ""//li[strong[text()='Category:']]"")"),"Loading...")</f>
        <v>Loading...</v>
      </c>
      <c r="M18" s="24"/>
      <c r="N18" s="19" t="str">
        <f ca="1">IFERROR(__xludf.DUMMYFUNCTION("IMPORTXML(AI18, ""//li[strong[text()='Global Sales:']]"")"),"Loading...")</f>
        <v>Loading...</v>
      </c>
      <c r="O18" s="24"/>
      <c r="P18" s="19" t="str">
        <f t="shared" si="0"/>
        <v/>
      </c>
      <c r="Q18" s="19" t="str">
        <f ca="1">IFERROR(__xludf.DUMMYFUNCTION("IMPORTXML(AI18, ""//li[strong[text()='US Units:']]"")"),"Loading...")</f>
        <v>Loading...</v>
      </c>
      <c r="R18" s="24"/>
      <c r="S18" s="19" t="str">
        <f ca="1">IFERROR(__xludf.DUMMYFUNCTION("IMPORTXML(AI18, ""//li[strong[text()='International Units:']]"")"),"Loading...")</f>
        <v>Loading...</v>
      </c>
      <c r="T18" s="44"/>
      <c r="U18" s="19" t="str">
        <f ca="1">IFERROR(__xludf.DUMMYFUNCTION("IMPORTXML(AI18, ""//li[strong[text()='Percent Franchised:']]"")"),"Loading...")</f>
        <v>Loading...</v>
      </c>
      <c r="V18" s="24"/>
      <c r="W18" s="19" t="str">
        <f ca="1">IFERROR(__xludf.DUMMYFUNCTION("IMPORTXML(AI18, ""//li[strong[text()='% International Units:']]"")"),"Loading...")</f>
        <v>Loading...</v>
      </c>
      <c r="X18" s="24"/>
      <c r="Y18" s="19" t="str">
        <f ca="1">IFERROR(__xludf.DUMMYFUNCTION("IMPORTXML(AI18, ""//li[strong[text()='US Franchised Units:']]"")"),"Loading...")</f>
        <v>Loading...</v>
      </c>
      <c r="Z18" s="24"/>
      <c r="AA18" s="14" t="str">
        <f t="shared" si="1"/>
        <v/>
      </c>
      <c r="AB18" s="19" t="str">
        <f ca="1">IFERROR(__xludf.DUMMYFUNCTION("IMPORTXML(AI18, ""//li[strong[text()='International Franchised Units:']]"")"),"Loading...")</f>
        <v>Loading...</v>
      </c>
      <c r="AC18" s="24"/>
      <c r="AD18" s="14" t="str">
        <f t="shared" si="2"/>
        <v/>
      </c>
      <c r="AE18" s="25" t="str">
        <f ca="1">IFERROR(__xludf.DUMMYFUNCTION("IMPORTXML(AI18, ""//li[strong[text()='Sales Growth %:']]"")"),"Loading...")</f>
        <v>Loading...</v>
      </c>
      <c r="AF18" s="24"/>
      <c r="AG18" s="25" t="str">
        <f ca="1">IFERROR(__xludf.DUMMYFUNCTION("IMPORTXML(AI18, ""//li[strong[text()='Unit Growth %:']]"")"),"Loading...")</f>
        <v>Loading...</v>
      </c>
      <c r="AH18" s="25"/>
      <c r="AI18" s="26" t="s">
        <v>34</v>
      </c>
      <c r="AJ18" s="27"/>
      <c r="AK18" s="27"/>
      <c r="AL18" s="27"/>
      <c r="AM18" s="27"/>
      <c r="AN18" s="27"/>
      <c r="AO18" s="27"/>
      <c r="AP18" s="27"/>
      <c r="AQ18" s="27"/>
    </row>
    <row r="19" spans="1:43" ht="14.25" customHeight="1">
      <c r="A19" s="42">
        <v>24.018000000000001</v>
      </c>
      <c r="B19" s="14">
        <v>2024</v>
      </c>
      <c r="C19" s="36">
        <v>18</v>
      </c>
      <c r="D19" s="16" t="str">
        <f ca="1">IFERROR(__xludf.DUMMYFUNCTION("IMPORTXML(AI19, ""//h1[@itemprop='headline']/span"")"),"18. Dairy Queen")</f>
        <v>18. Dairy Queen</v>
      </c>
      <c r="E19" s="17" t="str">
        <f ca="1">IFERROR(__xludf.DUMMYFUNCTION("REGEXEXTRACT(D19, ""\.\s*(.+)"")"),"Dairy Queen")</f>
        <v>Dairy Queen</v>
      </c>
      <c r="F19" s="18" t="str">
        <f ca="1">IFERROR(__xludf.DUMMYFUNCTION("IMPORTXML(AI19, ""//li[strong[text()='Investment Range:']]"")"),"Investment Range:")</f>
        <v>Investment Range:</v>
      </c>
      <c r="G19" s="43" t="str">
        <f ca="1">IFERROR(__xludf.DUMMYFUNCTION("""COMPUTED_VALUE""")," $1,516,200 - $2,542,250")</f>
        <v xml:space="preserve"> $1,516,200 - $2,542,250</v>
      </c>
      <c r="H19" s="18" t="str">
        <f ca="1">IFERROR(__xludf.DUMMYFUNCTION("SUBSTITUTE(REGEXEXTRACT(G19, ""\$(\d{1,3}(?:,\d{3})*)""), "","", ""."")
"),"1.516.200")</f>
        <v>1.516.200</v>
      </c>
      <c r="I19" s="19" t="str">
        <f ca="1">IFERROR(__xludf.DUMMYFUNCTION("SUBSTITUTE(REGEXEXTRACT(G19, ""-\s*\$(\d{1,3}(?:,\d{3})*)""), "","", ""."")
"),"2.542.250")</f>
        <v>2.542.250</v>
      </c>
      <c r="J19" s="19" t="str">
        <f ca="1">IFERROR(__xludf.DUMMYFUNCTION("IMPORTXML(AI19, ""//li[strong[text()='Initial Investment:']]"")"),"Initial Investment:")</f>
        <v>Initial Investment:</v>
      </c>
      <c r="K19" s="24" t="str">
        <f ca="1">IFERROR(__xludf.DUMMYFUNCTION("""COMPUTED_VALUE""")," $45,000")</f>
        <v xml:space="preserve"> $45,000</v>
      </c>
      <c r="L19" s="20" t="str">
        <f ca="1">IFERROR(__xludf.DUMMYFUNCTION("IMPORTXML(AI19, ""//li[strong[text()='Category:']]"")"),"Loading...")</f>
        <v>Loading...</v>
      </c>
      <c r="M19" s="24"/>
      <c r="N19" s="19" t="str">
        <f ca="1">IFERROR(__xludf.DUMMYFUNCTION("IMPORTXML(AI19, ""//li[strong[text()='Global Sales:']]"")"),"Global Sales:")</f>
        <v>Global Sales:</v>
      </c>
      <c r="O19" s="24" t="str">
        <f ca="1">IFERROR(__xludf.DUMMYFUNCTION("""COMPUTED_VALUE""")," $6,365,124,000")</f>
        <v xml:space="preserve"> $6,365,124,000</v>
      </c>
      <c r="P19" s="19" t="str">
        <f t="shared" ca="1" si="0"/>
        <v xml:space="preserve"> 6.365.124.000</v>
      </c>
      <c r="Q19" s="19" t="str">
        <f ca="1">IFERROR(__xludf.DUMMYFUNCTION("IMPORTXML(AI19, ""//li[strong[text()='US Units:']]"")"),"Loading...")</f>
        <v>Loading...</v>
      </c>
      <c r="R19" s="24"/>
      <c r="S19" s="19" t="str">
        <f ca="1">IFERROR(__xludf.DUMMYFUNCTION("IMPORTXML(AI19, ""//li[strong[text()='International Units:']]"")"),"Loading...")</f>
        <v>Loading...</v>
      </c>
      <c r="T19" s="44"/>
      <c r="U19" s="19" t="str">
        <f ca="1">IFERROR(__xludf.DUMMYFUNCTION("IMPORTXML(AI19, ""//li[strong[text()='Percent Franchised:']]"")"),"Loading...")</f>
        <v>Loading...</v>
      </c>
      <c r="V19" s="24"/>
      <c r="W19" s="19" t="str">
        <f ca="1">IFERROR(__xludf.DUMMYFUNCTION("IMPORTXML(AI19, ""//li[strong[text()='% International Units:']]"")"),"Loading...")</f>
        <v>Loading...</v>
      </c>
      <c r="X19" s="24"/>
      <c r="Y19" s="19" t="str">
        <f ca="1">IFERROR(__xludf.DUMMYFUNCTION("IMPORTXML(AI19, ""//li[strong[text()='US Franchised Units:']]"")"),"Loading...")</f>
        <v>Loading...</v>
      </c>
      <c r="Z19" s="24"/>
      <c r="AA19" s="14" t="str">
        <f t="shared" si="1"/>
        <v/>
      </c>
      <c r="AB19" s="19" t="str">
        <f ca="1">IFERROR(__xludf.DUMMYFUNCTION("IMPORTXML(AI19, ""//li[strong[text()='International Franchised Units:']]"")"),"Loading...")</f>
        <v>Loading...</v>
      </c>
      <c r="AC19" s="24"/>
      <c r="AD19" s="14" t="str">
        <f t="shared" si="2"/>
        <v/>
      </c>
      <c r="AE19" s="25" t="str">
        <f ca="1">IFERROR(__xludf.DUMMYFUNCTION("IMPORTXML(AI19, ""//li[strong[text()='Sales Growth %:']]"")"),"Loading...")</f>
        <v>Loading...</v>
      </c>
      <c r="AF19" s="24"/>
      <c r="AG19" s="25" t="str">
        <f ca="1">IFERROR(__xludf.DUMMYFUNCTION("IMPORTXML(AI19, ""//li[strong[text()='Unit Growth %:']]"")"),"Loading...")</f>
        <v>Loading...</v>
      </c>
      <c r="AH19" s="25"/>
      <c r="AI19" s="26" t="s">
        <v>35</v>
      </c>
      <c r="AJ19" s="27"/>
      <c r="AK19" s="27"/>
      <c r="AL19" s="27"/>
      <c r="AM19" s="27"/>
      <c r="AN19" s="27"/>
      <c r="AO19" s="27"/>
      <c r="AP19" s="27"/>
      <c r="AQ19" s="27"/>
    </row>
    <row r="20" spans="1:43" ht="14.25" customHeight="1">
      <c r="A20" s="42">
        <v>24.018999999999998</v>
      </c>
      <c r="B20" s="14">
        <v>2024</v>
      </c>
      <c r="C20" s="36">
        <v>19</v>
      </c>
      <c r="D20" s="16" t="str">
        <f ca="1">IFERROR(__xludf.DUMMYFUNCTION("IMPORTXML(AI20, ""//h1[@itemprop='headline']/span"")"),"19. Panera Bread")</f>
        <v>19. Panera Bread</v>
      </c>
      <c r="E20" s="17" t="str">
        <f ca="1">IFERROR(__xludf.DUMMYFUNCTION("REGEXEXTRACT(D20, ""\.\s*(.+)"")"),"Panera Bread")</f>
        <v>Panera Bread</v>
      </c>
      <c r="F20" s="18" t="str">
        <f ca="1">IFERROR(__xludf.DUMMYFUNCTION("IMPORTXML(AI20, ""//li[strong[text()='Investment Range:']]"")"),"Investment Range:")</f>
        <v>Investment Range:</v>
      </c>
      <c r="G20" s="43" t="str">
        <f ca="1">IFERROR(__xludf.DUMMYFUNCTION("""COMPUTED_VALUE""")," $633,000 - $4,906,000")</f>
        <v xml:space="preserve"> $633,000 - $4,906,000</v>
      </c>
      <c r="H20" s="18" t="str">
        <f ca="1">IFERROR(__xludf.DUMMYFUNCTION("SUBSTITUTE(REGEXEXTRACT(G20, ""\$(\d{1,3}(?:,\d{3})*)""), "","", ""."")
"),"633.000")</f>
        <v>633.000</v>
      </c>
      <c r="I20" s="19" t="str">
        <f ca="1">IFERROR(__xludf.DUMMYFUNCTION("SUBSTITUTE(REGEXEXTRACT(G20, ""-\s*\$(\d{1,3}(?:,\d{3})*)""), "","", ""."")
"),"4.906.000")</f>
        <v>4.906.000</v>
      </c>
      <c r="J20" s="19" t="str">
        <f ca="1">IFERROR(__xludf.DUMMYFUNCTION("IMPORTXML(AI20, ""//li[strong[text()='Initial Investment:']]"")"),"Loading...")</f>
        <v>Loading...</v>
      </c>
      <c r="K20" s="24"/>
      <c r="L20" s="20" t="str">
        <f ca="1">IFERROR(__xludf.DUMMYFUNCTION("IMPORTXML(AI20, ""//li[strong[text()='Category:']]"")"),"Loading...")</f>
        <v>Loading...</v>
      </c>
      <c r="M20" s="24"/>
      <c r="N20" s="19" t="str">
        <f ca="1">IFERROR(__xludf.DUMMYFUNCTION("IMPORTXML(AI20, ""//li[strong[text()='Global Sales:']]"")"),"Loading...")</f>
        <v>Loading...</v>
      </c>
      <c r="O20" s="24"/>
      <c r="P20" s="19" t="str">
        <f t="shared" si="0"/>
        <v/>
      </c>
      <c r="Q20" s="19" t="str">
        <f ca="1">IFERROR(__xludf.DUMMYFUNCTION("IMPORTXML(AI20, ""//li[strong[text()='US Units:']]"")"),"Loading...")</f>
        <v>Loading...</v>
      </c>
      <c r="R20" s="24"/>
      <c r="S20" s="19" t="str">
        <f ca="1">IFERROR(__xludf.DUMMYFUNCTION("IMPORTXML(AI20, ""//li[strong[text()='International Units:']]"")"),"Loading...")</f>
        <v>Loading...</v>
      </c>
      <c r="T20" s="44"/>
      <c r="U20" s="19" t="str">
        <f ca="1">IFERROR(__xludf.DUMMYFUNCTION("IMPORTXML(AI20, ""//li[strong[text()='Percent Franchised:']]"")"),"Loading...")</f>
        <v>Loading...</v>
      </c>
      <c r="V20" s="24"/>
      <c r="W20" s="19" t="str">
        <f ca="1">IFERROR(__xludf.DUMMYFUNCTION("IMPORTXML(AI20, ""//li[strong[text()='% International Units:']]"")"),"Loading...")</f>
        <v>Loading...</v>
      </c>
      <c r="X20" s="24"/>
      <c r="Y20" s="19" t="str">
        <f ca="1">IFERROR(__xludf.DUMMYFUNCTION("IMPORTXML(AI20, ""//li[strong[text()='US Franchised Units:']]"")"),"Loading...")</f>
        <v>Loading...</v>
      </c>
      <c r="Z20" s="24"/>
      <c r="AA20" s="14" t="str">
        <f t="shared" si="1"/>
        <v/>
      </c>
      <c r="AB20" s="19" t="str">
        <f ca="1">IFERROR(__xludf.DUMMYFUNCTION("IMPORTXML(AI20, ""//li[strong[text()='International Franchised Units:']]"")"),"Loading...")</f>
        <v>Loading...</v>
      </c>
      <c r="AC20" s="24"/>
      <c r="AD20" s="14" t="str">
        <f t="shared" si="2"/>
        <v/>
      </c>
      <c r="AE20" s="25" t="str">
        <f ca="1">IFERROR(__xludf.DUMMYFUNCTION("IMPORTXML(AI20, ""//li[strong[text()='Sales Growth %:']]"")"),"Loading...")</f>
        <v>Loading...</v>
      </c>
      <c r="AF20" s="24"/>
      <c r="AG20" s="25" t="str">
        <f ca="1">IFERROR(__xludf.DUMMYFUNCTION("IMPORTXML(AI20, ""//li[strong[text()='Unit Growth %:']]"")"),"Loading...")</f>
        <v>Loading...</v>
      </c>
      <c r="AH20" s="25"/>
      <c r="AI20" s="26" t="s">
        <v>36</v>
      </c>
      <c r="AJ20" s="27"/>
      <c r="AK20" s="27"/>
      <c r="AL20" s="27"/>
      <c r="AM20" s="27"/>
      <c r="AN20" s="27"/>
      <c r="AO20" s="27"/>
      <c r="AP20" s="27"/>
      <c r="AQ20" s="27"/>
    </row>
    <row r="21" spans="1:43" ht="14.25" customHeight="1">
      <c r="A21" s="42">
        <v>24.02</v>
      </c>
      <c r="B21" s="14">
        <v>2024</v>
      </c>
      <c r="C21" s="15">
        <v>20</v>
      </c>
      <c r="D21" s="16" t="str">
        <f ca="1">IFERROR(__xludf.DUMMYFUNCTION("IMPORTXML(AI21, ""//h1[@itemprop='headline']/span"")"),"20. Sonic Drive-In")</f>
        <v>20. Sonic Drive-In</v>
      </c>
      <c r="E21" s="17" t="str">
        <f ca="1">IFERROR(__xludf.DUMMYFUNCTION("REGEXEXTRACT(D21, ""\.\s*(.+)"")"),"Sonic Drive-In")</f>
        <v>Sonic Drive-In</v>
      </c>
      <c r="F21" s="18" t="str">
        <f ca="1">IFERROR(__xludf.DUMMYFUNCTION("IMPORTXML(AI21, ""//li[strong[text()='Investment Range:']]"")"),"Investment Range:")</f>
        <v>Investment Range:</v>
      </c>
      <c r="G21" s="43" t="str">
        <f ca="1">IFERROR(__xludf.DUMMYFUNCTION("""COMPUTED_VALUE""")," $1,714,200 - $3,370,900")</f>
        <v xml:space="preserve"> $1,714,200 - $3,370,900</v>
      </c>
      <c r="H21" s="18" t="str">
        <f ca="1">IFERROR(__xludf.DUMMYFUNCTION("SUBSTITUTE(REGEXEXTRACT(G21, ""\$(\d{1,3}(?:,\d{3})*)""), "","", ""."")
"),"1.714.200")</f>
        <v>1.714.200</v>
      </c>
      <c r="I21" s="19" t="str">
        <f ca="1">IFERROR(__xludf.DUMMYFUNCTION("SUBSTITUTE(REGEXEXTRACT(G21, ""-\s*\$(\d{1,3}(?:,\d{3})*)""), "","", ""."")
"),"3.370.900")</f>
        <v>3.370.900</v>
      </c>
      <c r="J21" s="19" t="str">
        <f ca="1">IFERROR(__xludf.DUMMYFUNCTION("IMPORTXML(AI21, ""//li[strong[text()='Initial Investment:']]"")"),"Loading...")</f>
        <v>Loading...</v>
      </c>
      <c r="K21" s="24"/>
      <c r="L21" s="20" t="str">
        <f ca="1">IFERROR(__xludf.DUMMYFUNCTION("IMPORTXML(AI21, ""//li[strong[text()='Category:']]"")"),"Loading...")</f>
        <v>Loading...</v>
      </c>
      <c r="M21" s="24"/>
      <c r="N21" s="19" t="str">
        <f ca="1">IFERROR(__xludf.DUMMYFUNCTION("IMPORTXML(AI21, ""//li[strong[text()='Global Sales:']]"")"),"Loading...")</f>
        <v>Loading...</v>
      </c>
      <c r="O21" s="24"/>
      <c r="P21" s="19" t="str">
        <f t="shared" si="0"/>
        <v/>
      </c>
      <c r="Q21" s="19" t="str">
        <f ca="1">IFERROR(__xludf.DUMMYFUNCTION("IMPORTXML(AI21, ""//li[strong[text()='US Units:']]"")"),"Loading...")</f>
        <v>Loading...</v>
      </c>
      <c r="R21" s="24"/>
      <c r="S21" s="19" t="str">
        <f ca="1">IFERROR(__xludf.DUMMYFUNCTION("IMPORTXML(AI21, ""//li[strong[text()='International Units:']]"")"),"Loading...")</f>
        <v>Loading...</v>
      </c>
      <c r="T21" s="44"/>
      <c r="U21" s="19" t="str">
        <f ca="1">IFERROR(__xludf.DUMMYFUNCTION("IMPORTXML(AI21, ""//li[strong[text()='Percent Franchised:']]"")"),"Loading...")</f>
        <v>Loading...</v>
      </c>
      <c r="V21" s="24"/>
      <c r="W21" s="19" t="str">
        <f ca="1">IFERROR(__xludf.DUMMYFUNCTION("IMPORTXML(AI21, ""//li[strong[text()='% International Units:']]"")"),"Loading...")</f>
        <v>Loading...</v>
      </c>
      <c r="X21" s="24"/>
      <c r="Y21" s="19" t="str">
        <f ca="1">IFERROR(__xludf.DUMMYFUNCTION("IMPORTXML(AI21, ""//li[strong[text()='US Franchised Units:']]"")"),"Loading...")</f>
        <v>Loading...</v>
      </c>
      <c r="Z21" s="24"/>
      <c r="AA21" s="14" t="str">
        <f t="shared" si="1"/>
        <v/>
      </c>
      <c r="AB21" s="19" t="str">
        <f ca="1">IFERROR(__xludf.DUMMYFUNCTION("IMPORTXML(AI21, ""//li[strong[text()='International Franchised Units:']]"")"),"Loading...")</f>
        <v>Loading...</v>
      </c>
      <c r="AC21" s="24"/>
      <c r="AD21" s="14" t="str">
        <f t="shared" si="2"/>
        <v/>
      </c>
      <c r="AE21" s="25" t="str">
        <f ca="1">IFERROR(__xludf.DUMMYFUNCTION("IMPORTXML(AI21, ""//li[strong[text()='Sales Growth %:']]"")"),"Loading...")</f>
        <v>Loading...</v>
      </c>
      <c r="AF21" s="24"/>
      <c r="AG21" s="25" t="str">
        <f ca="1">IFERROR(__xludf.DUMMYFUNCTION("IMPORTXML(AI21, ""//li[strong[text()='Unit Growth %:']]"")"),"Loading...")</f>
        <v>Loading...</v>
      </c>
      <c r="AH21" s="25"/>
      <c r="AI21" s="26" t="s">
        <v>37</v>
      </c>
      <c r="AJ21" s="27"/>
      <c r="AK21" s="27"/>
      <c r="AL21" s="27"/>
      <c r="AM21" s="27"/>
      <c r="AN21" s="27"/>
      <c r="AO21" s="27"/>
      <c r="AP21" s="27"/>
      <c r="AQ21" s="27"/>
    </row>
    <row r="22" spans="1:43" ht="14.25" customHeight="1">
      <c r="A22" s="42">
        <v>24.021000000000001</v>
      </c>
      <c r="B22" s="14">
        <v>2024</v>
      </c>
      <c r="C22" s="32">
        <v>21</v>
      </c>
      <c r="D22" s="16" t="str">
        <f ca="1">IFERROR(__xludf.DUMMYFUNCTION("IMPORTXML(AI22, ""//h1[@itemprop='headline']/span"")"),"21. Papa Johns")</f>
        <v>21. Papa Johns</v>
      </c>
      <c r="E22" s="17" t="str">
        <f ca="1">IFERROR(__xludf.DUMMYFUNCTION("REGEXEXTRACT(D22, ""\.\s*(.+)"")"),"Papa Johns")</f>
        <v>Papa Johns</v>
      </c>
      <c r="F22" s="18" t="str">
        <f ca="1">IFERROR(__xludf.DUMMYFUNCTION("IMPORTXML(AI22, ""//li[strong[text()='Investment Range:']]"")"),"Investment Range:")</f>
        <v>Investment Range:</v>
      </c>
      <c r="G22" s="43" t="str">
        <f ca="1">IFERROR(__xludf.DUMMYFUNCTION("""COMPUTED_VALUE""")," $272,915 - $989,415")</f>
        <v xml:space="preserve"> $272,915 - $989,415</v>
      </c>
      <c r="H22" s="18" t="str">
        <f ca="1">IFERROR(__xludf.DUMMYFUNCTION("SUBSTITUTE(REGEXEXTRACT(G22, ""\$(\d{1,3}(?:,\d{3})*)""), "","", ""."")
"),"272.915")</f>
        <v>272.915</v>
      </c>
      <c r="I22" s="19" t="str">
        <f ca="1">IFERROR(__xludf.DUMMYFUNCTION("SUBSTITUTE(REGEXEXTRACT(G22, ""-\s*\$(\d{1,3}(?:,\d{3})*)""), "","", ""."")
"),"989.415")</f>
        <v>989.415</v>
      </c>
      <c r="J22" s="19" t="str">
        <f ca="1">IFERROR(__xludf.DUMMYFUNCTION("IMPORTXML(AI22, ""//li[strong[text()='Initial Investment:']]"")"),"Loading...")</f>
        <v>Loading...</v>
      </c>
      <c r="K22" s="24"/>
      <c r="L22" s="20" t="str">
        <f ca="1">IFERROR(__xludf.DUMMYFUNCTION("IMPORTXML(AI22, ""//li[strong[text()='Category:']]"")"),"Loading...")</f>
        <v>Loading...</v>
      </c>
      <c r="M22" s="24"/>
      <c r="N22" s="19" t="str">
        <f ca="1">IFERROR(__xludf.DUMMYFUNCTION("IMPORTXML(AI22, ""//li[strong[text()='Global Sales:']]"")"),"Loading...")</f>
        <v>Loading...</v>
      </c>
      <c r="O22" s="24"/>
      <c r="P22" s="19" t="str">
        <f t="shared" si="0"/>
        <v/>
      </c>
      <c r="Q22" s="19" t="str">
        <f ca="1">IFERROR(__xludf.DUMMYFUNCTION("IMPORTXML(AI22, ""//li[strong[text()='US Units:']]"")"),"Loading...")</f>
        <v>Loading...</v>
      </c>
      <c r="R22" s="24"/>
      <c r="S22" s="19" t="str">
        <f ca="1">IFERROR(__xludf.DUMMYFUNCTION("IMPORTXML(AI22, ""//li[strong[text()='International Units:']]"")"),"Loading...")</f>
        <v>Loading...</v>
      </c>
      <c r="T22" s="44"/>
      <c r="U22" s="19" t="str">
        <f ca="1">IFERROR(__xludf.DUMMYFUNCTION("IMPORTXML(AI22, ""//li[strong[text()='Percent Franchised:']]"")"),"Loading...")</f>
        <v>Loading...</v>
      </c>
      <c r="V22" s="24"/>
      <c r="W22" s="19" t="str">
        <f ca="1">IFERROR(__xludf.DUMMYFUNCTION("IMPORTXML(AI22, ""//li[strong[text()='% International Units:']]"")"),"Loading...")</f>
        <v>Loading...</v>
      </c>
      <c r="X22" s="24"/>
      <c r="Y22" s="19" t="str">
        <f ca="1">IFERROR(__xludf.DUMMYFUNCTION("IMPORTXML(AI22, ""//li[strong[text()='US Franchised Units:']]"")"),"Loading...")</f>
        <v>Loading...</v>
      </c>
      <c r="Z22" s="24"/>
      <c r="AA22" s="14" t="str">
        <f t="shared" si="1"/>
        <v/>
      </c>
      <c r="AB22" s="19" t="str">
        <f ca="1">IFERROR(__xludf.DUMMYFUNCTION("IMPORTXML(AI22, ""//li[strong[text()='International Franchised Units:']]"")"),"Loading...")</f>
        <v>Loading...</v>
      </c>
      <c r="AC22" s="24"/>
      <c r="AD22" s="14" t="str">
        <f t="shared" si="2"/>
        <v/>
      </c>
      <c r="AE22" s="25" t="str">
        <f ca="1">IFERROR(__xludf.DUMMYFUNCTION("IMPORTXML(AI22, ""//li[strong[text()='Sales Growth %:']]"")"),"Loading...")</f>
        <v>Loading...</v>
      </c>
      <c r="AF22" s="24"/>
      <c r="AG22" s="25" t="str">
        <f ca="1">IFERROR(__xludf.DUMMYFUNCTION("IMPORTXML(AI22, ""//li[strong[text()='Unit Growth %:']]"")"),"Loading...")</f>
        <v>Loading...</v>
      </c>
      <c r="AH22" s="25"/>
      <c r="AI22" s="26" t="s">
        <v>38</v>
      </c>
      <c r="AJ22" s="27"/>
      <c r="AK22" s="27"/>
      <c r="AL22" s="27"/>
      <c r="AM22" s="27"/>
      <c r="AN22" s="27"/>
      <c r="AO22" s="27"/>
      <c r="AP22" s="27"/>
      <c r="AQ22" s="27"/>
    </row>
    <row r="23" spans="1:43" ht="14.25" customHeight="1">
      <c r="A23" s="42">
        <v>24.021999999999998</v>
      </c>
      <c r="B23" s="14">
        <v>2024</v>
      </c>
      <c r="C23" s="36">
        <v>22</v>
      </c>
      <c r="D23" s="16" t="str">
        <f ca="1">IFERROR(__xludf.DUMMYFUNCTION("IMPORTXML(AI23, ""//h1[@itemprop='headline']/span"")"),"22. Arby’s")</f>
        <v>22. Arby’s</v>
      </c>
      <c r="E23" s="17" t="str">
        <f ca="1">IFERROR(__xludf.DUMMYFUNCTION("REGEXEXTRACT(D23, ""\.\s*(.+)"")"),"Arby’s")</f>
        <v>Arby’s</v>
      </c>
      <c r="F23" s="18" t="str">
        <f ca="1">IFERROR(__xludf.DUMMYFUNCTION("IMPORTXML(AI23, ""//li[strong[text()='Investment Range:']]"")"),"Investment Range:")</f>
        <v>Investment Range:</v>
      </c>
      <c r="G23" s="43" t="str">
        <f ca="1">IFERROR(__xludf.DUMMYFUNCTION("""COMPUTED_VALUE""")," $861,950 - $2,451,000")</f>
        <v xml:space="preserve"> $861,950 - $2,451,000</v>
      </c>
      <c r="H23" s="18" t="str">
        <f ca="1">IFERROR(__xludf.DUMMYFUNCTION("SUBSTITUTE(REGEXEXTRACT(G23, ""\$(\d{1,3}(?:,\d{3})*)""), "","", ""."")
"),"861.950")</f>
        <v>861.950</v>
      </c>
      <c r="I23" s="19" t="str">
        <f ca="1">IFERROR(__xludf.DUMMYFUNCTION("SUBSTITUTE(REGEXEXTRACT(G23, ""-\s*\$(\d{1,3}(?:,\d{3})*)""), "","", ""."")
"),"2.451.000")</f>
        <v>2.451.000</v>
      </c>
      <c r="J23" s="19" t="str">
        <f ca="1">IFERROR(__xludf.DUMMYFUNCTION("IMPORTXML(AI23, ""//li[strong[text()='Initial Investment:']]"")"),"Initial Investment:")</f>
        <v>Initial Investment:</v>
      </c>
      <c r="K23" s="24" t="str">
        <f ca="1">IFERROR(__xludf.DUMMYFUNCTION("""COMPUTED_VALUE""")," $12,500 - $56,300")</f>
        <v xml:space="preserve"> $12,500 - $56,300</v>
      </c>
      <c r="L23" s="20" t="str">
        <f ca="1">IFERROR(__xludf.DUMMYFUNCTION("IMPORTXML(AI23, ""//li[strong[text()='Category:']]"")"),"Loading...")</f>
        <v>Loading...</v>
      </c>
      <c r="M23" s="24"/>
      <c r="N23" s="19" t="str">
        <f ca="1">IFERROR(__xludf.DUMMYFUNCTION("IMPORTXML(AI23, ""//li[strong[text()='Global Sales:']]"")"),"Loading...")</f>
        <v>Loading...</v>
      </c>
      <c r="O23" s="24"/>
      <c r="P23" s="19" t="str">
        <f t="shared" si="0"/>
        <v/>
      </c>
      <c r="Q23" s="19" t="str">
        <f ca="1">IFERROR(__xludf.DUMMYFUNCTION("IMPORTXML(AI23, ""//li[strong[text()='US Units:']]"")"),"Loading...")</f>
        <v>Loading...</v>
      </c>
      <c r="R23" s="24"/>
      <c r="S23" s="19" t="str">
        <f ca="1">IFERROR(__xludf.DUMMYFUNCTION("IMPORTXML(AI23, ""//li[strong[text()='International Units:']]"")"),"Loading...")</f>
        <v>Loading...</v>
      </c>
      <c r="T23" s="44"/>
      <c r="U23" s="19" t="str">
        <f ca="1">IFERROR(__xludf.DUMMYFUNCTION("IMPORTXML(AI23, ""//li[strong[text()='Percent Franchised:']]"")"),"Loading...")</f>
        <v>Loading...</v>
      </c>
      <c r="V23" s="24"/>
      <c r="W23" s="19" t="str">
        <f ca="1">IFERROR(__xludf.DUMMYFUNCTION("IMPORTXML(AI23, ""//li[strong[text()='% International Units:']]"")"),"Loading...")</f>
        <v>Loading...</v>
      </c>
      <c r="X23" s="24"/>
      <c r="Y23" s="19" t="str">
        <f ca="1">IFERROR(__xludf.DUMMYFUNCTION("IMPORTXML(AI23, ""//li[strong[text()='US Franchised Units:']]"")"),"Loading...")</f>
        <v>Loading...</v>
      </c>
      <c r="Z23" s="24"/>
      <c r="AA23" s="14" t="str">
        <f t="shared" si="1"/>
        <v/>
      </c>
      <c r="AB23" s="19" t="str">
        <f ca="1">IFERROR(__xludf.DUMMYFUNCTION("IMPORTXML(AI23, ""//li[strong[text()='International Franchised Units:']]"")"),"Loading...")</f>
        <v>Loading...</v>
      </c>
      <c r="AC23" s="24"/>
      <c r="AD23" s="14" t="str">
        <f t="shared" si="2"/>
        <v/>
      </c>
      <c r="AE23" s="25" t="str">
        <f ca="1">IFERROR(__xludf.DUMMYFUNCTION("IMPORTXML(AI23, ""//li[strong[text()='Sales Growth %:']]"")"),"Loading...")</f>
        <v>Loading...</v>
      </c>
      <c r="AF23" s="24"/>
      <c r="AG23" s="25" t="str">
        <f ca="1">IFERROR(__xludf.DUMMYFUNCTION("IMPORTXML(AI23, ""//li[strong[text()='Unit Growth %:']]"")"),"Unit Growth %:")</f>
        <v>Unit Growth %:</v>
      </c>
      <c r="AH23" s="25" t="str">
        <f ca="1">IFERROR(__xludf.DUMMYFUNCTION("""COMPUTED_VALUE""")," 0.7%")</f>
        <v xml:space="preserve"> 0.7%</v>
      </c>
      <c r="AI23" s="26" t="s">
        <v>39</v>
      </c>
      <c r="AJ23" s="27"/>
      <c r="AK23" s="27"/>
      <c r="AL23" s="27"/>
      <c r="AM23" s="27"/>
      <c r="AN23" s="27"/>
      <c r="AO23" s="27"/>
      <c r="AP23" s="27"/>
      <c r="AQ23" s="27"/>
    </row>
    <row r="24" spans="1:43" ht="14.25" customHeight="1">
      <c r="A24" s="42">
        <v>24.023</v>
      </c>
      <c r="B24" s="14">
        <v>2024</v>
      </c>
      <c r="C24" s="36">
        <v>23</v>
      </c>
      <c r="D24" s="16" t="str">
        <f ca="1">IFERROR(__xludf.DUMMYFUNCTION("IMPORTXML(AI24, ""//h1[@itemprop='headline']/span"")"),"23. Applebee’s")</f>
        <v>23. Applebee’s</v>
      </c>
      <c r="E24" s="17" t="str">
        <f ca="1">IFERROR(__xludf.DUMMYFUNCTION("REGEXEXTRACT(D24, ""\.\s*(.+)"")"),"Applebee’s")</f>
        <v>Applebee’s</v>
      </c>
      <c r="F24" s="18" t="str">
        <f ca="1">IFERROR(__xludf.DUMMYFUNCTION("IMPORTXML(AI24, ""//li[strong[text()='Investment Range:']]"")"),"Investment Range:")</f>
        <v>Investment Range:</v>
      </c>
      <c r="G24" s="43" t="str">
        <f ca="1">IFERROR(__xludf.DUMMYFUNCTION("""COMPUTED_VALUE""")," $2,428,029 - $7,084,006")</f>
        <v xml:space="preserve"> $2,428,029 - $7,084,006</v>
      </c>
      <c r="H24" s="18" t="str">
        <f ca="1">IFERROR(__xludf.DUMMYFUNCTION("SUBSTITUTE(REGEXEXTRACT(G24, ""\$(\d{1,3}(?:,\d{3})*)""), "","", ""."")
"),"2.428.029")</f>
        <v>2.428.029</v>
      </c>
      <c r="I24" s="19" t="str">
        <f ca="1">IFERROR(__xludf.DUMMYFUNCTION("SUBSTITUTE(REGEXEXTRACT(G24, ""-\s*\$(\d{1,3}(?:,\d{3})*)""), "","", ""."")
"),"7.084.006")</f>
        <v>7.084.006</v>
      </c>
      <c r="J24" s="19" t="str">
        <f ca="1">IFERROR(__xludf.DUMMYFUNCTION("IMPORTXML(AI24, ""//li[strong[text()='Initial Investment:']]"")"),"Loading...")</f>
        <v>Loading...</v>
      </c>
      <c r="K24" s="24"/>
      <c r="L24" s="20" t="str">
        <f ca="1">IFERROR(__xludf.DUMMYFUNCTION("IMPORTXML(AI24, ""//li[strong[text()='Category:']]"")"),"Loading...")</f>
        <v>Loading...</v>
      </c>
      <c r="M24" s="24"/>
      <c r="N24" s="19" t="str">
        <f ca="1">IFERROR(__xludf.DUMMYFUNCTION("IMPORTXML(AI24, ""//li[strong[text()='Global Sales:']]"")"),"Loading...")</f>
        <v>Loading...</v>
      </c>
      <c r="O24" s="24"/>
      <c r="P24" s="19" t="str">
        <f t="shared" si="0"/>
        <v/>
      </c>
      <c r="Q24" s="19" t="str">
        <f ca="1">IFERROR(__xludf.DUMMYFUNCTION("IMPORTXML(AI24, ""//li[strong[text()='US Units:']]"")"),"Loading...")</f>
        <v>Loading...</v>
      </c>
      <c r="R24" s="24"/>
      <c r="S24" s="19" t="str">
        <f ca="1">IFERROR(__xludf.DUMMYFUNCTION("IMPORTXML(AI24, ""//li[strong[text()='International Units:']]"")"),"Loading...")</f>
        <v>Loading...</v>
      </c>
      <c r="T24" s="44"/>
      <c r="U24" s="19" t="str">
        <f ca="1">IFERROR(__xludf.DUMMYFUNCTION("IMPORTXML(AI24, ""//li[strong[text()='Percent Franchised:']]"")"),"Loading...")</f>
        <v>Loading...</v>
      </c>
      <c r="V24" s="24"/>
      <c r="W24" s="19" t="str">
        <f ca="1">IFERROR(__xludf.DUMMYFUNCTION("IMPORTXML(AI24, ""//li[strong[text()='% International Units:']]"")"),"Loading...")</f>
        <v>Loading...</v>
      </c>
      <c r="X24" s="24"/>
      <c r="Y24" s="19" t="str">
        <f ca="1">IFERROR(__xludf.DUMMYFUNCTION("IMPORTXML(AI24, ""//li[strong[text()='US Franchised Units:']]"")"),"Loading...")</f>
        <v>Loading...</v>
      </c>
      <c r="Z24" s="24"/>
      <c r="AA24" s="14" t="str">
        <f t="shared" si="1"/>
        <v/>
      </c>
      <c r="AB24" s="19" t="str">
        <f ca="1">IFERROR(__xludf.DUMMYFUNCTION("IMPORTXML(AI24, ""//li[strong[text()='International Franchised Units:']]"")"),"Loading...")</f>
        <v>Loading...</v>
      </c>
      <c r="AC24" s="24"/>
      <c r="AD24" s="14" t="str">
        <f t="shared" si="2"/>
        <v/>
      </c>
      <c r="AE24" s="25" t="str">
        <f ca="1">IFERROR(__xludf.DUMMYFUNCTION("IMPORTXML(AI24, ""//li[strong[text()='Sales Growth %:']]"")"),"Loading...")</f>
        <v>Loading...</v>
      </c>
      <c r="AF24" s="24"/>
      <c r="AG24" s="25" t="str">
        <f ca="1">IFERROR(__xludf.DUMMYFUNCTION("IMPORTXML(AI24, ""//li[strong[text()='Unit Growth %:']]"")"),"Loading...")</f>
        <v>Loading...</v>
      </c>
      <c r="AH24" s="25"/>
      <c r="AI24" s="26" t="s">
        <v>40</v>
      </c>
      <c r="AJ24" s="27"/>
      <c r="AK24" s="27"/>
      <c r="AL24" s="27"/>
      <c r="AM24" s="27"/>
      <c r="AN24" s="27"/>
      <c r="AO24" s="27"/>
      <c r="AP24" s="27"/>
      <c r="AQ24" s="27"/>
    </row>
    <row r="25" spans="1:43" ht="14.25" customHeight="1">
      <c r="A25" s="42">
        <v>24.024000000000001</v>
      </c>
      <c r="B25" s="14">
        <v>2024</v>
      </c>
      <c r="C25" s="15">
        <v>24</v>
      </c>
      <c r="D25" s="16" t="str">
        <f ca="1">IFERROR(__xludf.DUMMYFUNCTION("IMPORTXML(AI25, ""//h1[@itemprop='headline']/span"")"),"24. SERVPRO")</f>
        <v>24. SERVPRO</v>
      </c>
      <c r="E25" s="17" t="str">
        <f ca="1">IFERROR(__xludf.DUMMYFUNCTION("REGEXEXTRACT(D25, ""\.\s*(.+)"")"),"SERVPRO")</f>
        <v>SERVPRO</v>
      </c>
      <c r="F25" s="18" t="str">
        <f ca="1">IFERROR(__xludf.DUMMYFUNCTION("IMPORTXML(AI25, ""//li[strong[text()='Investment Range:']]"")"),"Investment Range:")</f>
        <v>Investment Range:</v>
      </c>
      <c r="G25" s="43" t="str">
        <f ca="1">IFERROR(__xludf.DUMMYFUNCTION("""COMPUTED_VALUE""")," $241,270 - $301,775")</f>
        <v xml:space="preserve"> $241,270 - $301,775</v>
      </c>
      <c r="H25" s="18" t="str">
        <f ca="1">IFERROR(__xludf.DUMMYFUNCTION("SUBSTITUTE(REGEXEXTRACT(G25, ""\$(\d{1,3}(?:,\d{3})*)""), "","", ""."")
"),"241.270")</f>
        <v>241.270</v>
      </c>
      <c r="I25" s="19" t="str">
        <f ca="1">IFERROR(__xludf.DUMMYFUNCTION("SUBSTITUTE(REGEXEXTRACT(G25, ""-\s*\$(\d{1,3}(?:,\d{3})*)""), "","", ""."")
"),"301.775")</f>
        <v>301.775</v>
      </c>
      <c r="J25" s="19" t="str">
        <f ca="1">IFERROR(__xludf.DUMMYFUNCTION("IMPORTXML(AI25, ""//li[strong[text()='Initial Investment:']]"")"),"Initial Investment:")</f>
        <v>Initial Investment:</v>
      </c>
      <c r="K25" s="24" t="str">
        <f ca="1">IFERROR(__xludf.DUMMYFUNCTION("""COMPUTED_VALUE""")," $90,000")</f>
        <v xml:space="preserve"> $90,000</v>
      </c>
      <c r="L25" s="20" t="str">
        <f ca="1">IFERROR(__xludf.DUMMYFUNCTION("IMPORTXML(AI25, ""//li[strong[text()='Category:']]"")"),"Category:")</f>
        <v>Category:</v>
      </c>
      <c r="M25" s="24" t="str">
        <f ca="1">IFERROR(__xludf.DUMMYFUNCTION("""COMPUTED_VALUE""")," Cleaning Services")</f>
        <v xml:space="preserve"> Cleaning Services</v>
      </c>
      <c r="N25" s="19" t="str">
        <f ca="1">IFERROR(__xludf.DUMMYFUNCTION("IMPORTXML(AI25, ""//li[strong[text()='Global Sales:']]"")"),"Loading...")</f>
        <v>Loading...</v>
      </c>
      <c r="O25" s="24"/>
      <c r="P25" s="19" t="str">
        <f t="shared" si="0"/>
        <v/>
      </c>
      <c r="Q25" s="19" t="str">
        <f ca="1">IFERROR(__xludf.DUMMYFUNCTION("IMPORTXML(AI25, ""//li[strong[text()='US Units:']]"")"),"Loading...")</f>
        <v>Loading...</v>
      </c>
      <c r="R25" s="24"/>
      <c r="S25" s="19" t="str">
        <f ca="1">IFERROR(__xludf.DUMMYFUNCTION("IMPORTXML(AI25, ""//li[strong[text()='International Units:']]"")"),"Loading...")</f>
        <v>Loading...</v>
      </c>
      <c r="T25" s="44"/>
      <c r="U25" s="19" t="str">
        <f ca="1">IFERROR(__xludf.DUMMYFUNCTION("IMPORTXML(AI25, ""//li[strong[text()='Percent Franchised:']]"")"),"Loading...")</f>
        <v>Loading...</v>
      </c>
      <c r="V25" s="24"/>
      <c r="W25" s="19" t="str">
        <f ca="1">IFERROR(__xludf.DUMMYFUNCTION("IMPORTXML(AI25, ""//li[strong[text()='% International Units:']]"")"),"Loading...")</f>
        <v>Loading...</v>
      </c>
      <c r="X25" s="24"/>
      <c r="Y25" s="19" t="str">
        <f ca="1">IFERROR(__xludf.DUMMYFUNCTION("IMPORTXML(AI25, ""//li[strong[text()='US Franchised Units:']]"")"),"Loading...")</f>
        <v>Loading...</v>
      </c>
      <c r="Z25" s="24"/>
      <c r="AA25" s="14" t="str">
        <f t="shared" si="1"/>
        <v/>
      </c>
      <c r="AB25" s="19" t="str">
        <f ca="1">IFERROR(__xludf.DUMMYFUNCTION("IMPORTXML(AI25, ""//li[strong[text()='International Franchised Units:']]"")"),"Loading...")</f>
        <v>Loading...</v>
      </c>
      <c r="AC25" s="24"/>
      <c r="AD25" s="14" t="str">
        <f t="shared" si="2"/>
        <v/>
      </c>
      <c r="AE25" s="25" t="str">
        <f ca="1">IFERROR(__xludf.DUMMYFUNCTION("IMPORTXML(AI25, ""//li[strong[text()='Sales Growth %:']]"")"),"Sales Growth %:")</f>
        <v>Sales Growth %:</v>
      </c>
      <c r="AF25" s="24" t="str">
        <f ca="1">IFERROR(__xludf.DUMMYFUNCTION("""COMPUTED_VALUE""")," 24.9%")</f>
        <v xml:space="preserve"> 24.9%</v>
      </c>
      <c r="AG25" s="25" t="str">
        <f ca="1">IFERROR(__xludf.DUMMYFUNCTION("IMPORTXML(AI25, ""//li[strong[text()='Unit Growth %:']]"")"),"Loading...")</f>
        <v>Loading...</v>
      </c>
      <c r="AH25" s="25"/>
      <c r="AI25" s="26" t="s">
        <v>41</v>
      </c>
      <c r="AJ25" s="27"/>
      <c r="AK25" s="27"/>
      <c r="AL25" s="27"/>
      <c r="AM25" s="27"/>
      <c r="AN25" s="27"/>
      <c r="AO25" s="27"/>
      <c r="AP25" s="27"/>
      <c r="AQ25" s="27"/>
    </row>
    <row r="26" spans="1:43" ht="14.25" customHeight="1">
      <c r="A26" s="42">
        <v>24.024999999999999</v>
      </c>
      <c r="B26" s="14">
        <v>2024</v>
      </c>
      <c r="C26" s="32">
        <v>25</v>
      </c>
      <c r="D26" s="16" t="str">
        <f ca="1">IFERROR(__xludf.DUMMYFUNCTION("IMPORTXML(AI26, ""//h1[@itemprop='headline']/span"")"),"25. Planet Fitness")</f>
        <v>25. Planet Fitness</v>
      </c>
      <c r="E26" s="17" t="str">
        <f ca="1">IFERROR(__xludf.DUMMYFUNCTION("REGEXEXTRACT(D26, ""\.\s*(.+)"")"),"Planet Fitness")</f>
        <v>Planet Fitness</v>
      </c>
      <c r="F26" s="18" t="str">
        <f ca="1">IFERROR(__xludf.DUMMYFUNCTION("IMPORTXML(AI26, ""//li[strong[text()='Investment Range:']]"")"),"Investment Range:")</f>
        <v>Investment Range:</v>
      </c>
      <c r="G26" s="43" t="str">
        <f ca="1">IFERROR(__xludf.DUMMYFUNCTION("""COMPUTED_VALUE""")," $1,504,600 - $3,691,500")</f>
        <v xml:space="preserve"> $1,504,600 - $3,691,500</v>
      </c>
      <c r="H26" s="18" t="str">
        <f ca="1">IFERROR(__xludf.DUMMYFUNCTION("SUBSTITUTE(REGEXEXTRACT(G26, ""\$(\d{1,3}(?:,\d{3})*)""), "","", ""."")
"),"1.504.600")</f>
        <v>1.504.600</v>
      </c>
      <c r="I26" s="19" t="str">
        <f ca="1">IFERROR(__xludf.DUMMYFUNCTION("SUBSTITUTE(REGEXEXTRACT(G26, ""-\s*\$(\d{1,3}(?:,\d{3})*)""), "","", ""."")
"),"3.691.500")</f>
        <v>3.691.500</v>
      </c>
      <c r="J26" s="19" t="str">
        <f ca="1">IFERROR(__xludf.DUMMYFUNCTION("IMPORTXML(AI26, ""//li[strong[text()='Initial Investment:']]"")"),"Loading...")</f>
        <v>Loading...</v>
      </c>
      <c r="K26" s="24"/>
      <c r="L26" s="20" t="str">
        <f ca="1">IFERROR(__xludf.DUMMYFUNCTION("IMPORTXML(AI26, ""//li[strong[text()='Category:']]"")"),"Loading...")</f>
        <v>Loading...</v>
      </c>
      <c r="M26" s="24"/>
      <c r="N26" s="19" t="str">
        <f ca="1">IFERROR(__xludf.DUMMYFUNCTION("IMPORTXML(AI26, ""//li[strong[text()='Global Sales:']]"")"),"Loading...")</f>
        <v>Loading...</v>
      </c>
      <c r="O26" s="24"/>
      <c r="P26" s="19" t="str">
        <f t="shared" si="0"/>
        <v/>
      </c>
      <c r="Q26" s="19" t="str">
        <f ca="1">IFERROR(__xludf.DUMMYFUNCTION("IMPORTXML(AI26, ""//li[strong[text()='US Units:']]"")"),"Loading...")</f>
        <v>Loading...</v>
      </c>
      <c r="R26" s="24"/>
      <c r="S26" s="19" t="str">
        <f ca="1">IFERROR(__xludf.DUMMYFUNCTION("IMPORTXML(AI26, ""//li[strong[text()='International Units:']]"")"),"Loading...")</f>
        <v>Loading...</v>
      </c>
      <c r="T26" s="44"/>
      <c r="U26" s="19" t="str">
        <f ca="1">IFERROR(__xludf.DUMMYFUNCTION("IMPORTXML(AI26, ""//li[strong[text()='Percent Franchised:']]"")"),"Loading...")</f>
        <v>Loading...</v>
      </c>
      <c r="V26" s="24"/>
      <c r="W26" s="19" t="str">
        <f ca="1">IFERROR(__xludf.DUMMYFUNCTION("IMPORTXML(AI26, ""//li[strong[text()='% International Units:']]"")"),"Loading...")</f>
        <v>Loading...</v>
      </c>
      <c r="X26" s="24"/>
      <c r="Y26" s="19" t="str">
        <f ca="1">IFERROR(__xludf.DUMMYFUNCTION("IMPORTXML(AI26, ""//li[strong[text()='US Franchised Units:']]"")"),"Loading...")</f>
        <v>Loading...</v>
      </c>
      <c r="Z26" s="24"/>
      <c r="AA26" s="14" t="str">
        <f t="shared" si="1"/>
        <v/>
      </c>
      <c r="AB26" s="19" t="str">
        <f ca="1">IFERROR(__xludf.DUMMYFUNCTION("IMPORTXML(AI26, ""//li[strong[text()='International Franchised Units:']]"")"),"Loading...")</f>
        <v>Loading...</v>
      </c>
      <c r="AC26" s="24"/>
      <c r="AD26" s="14" t="str">
        <f t="shared" si="2"/>
        <v/>
      </c>
      <c r="AE26" s="25" t="str">
        <f ca="1">IFERROR(__xludf.DUMMYFUNCTION("IMPORTXML(AI26, ""//li[strong[text()='Sales Growth %:']]"")"),"Loading...")</f>
        <v>Loading...</v>
      </c>
      <c r="AF26" s="24"/>
      <c r="AG26" s="25" t="str">
        <f ca="1">IFERROR(__xludf.DUMMYFUNCTION("IMPORTXML(AI26, ""//li[strong[text()='Unit Growth %:']]"")"),"Loading...")</f>
        <v>Loading...</v>
      </c>
      <c r="AH26" s="25"/>
      <c r="AI26" s="26" t="s">
        <v>42</v>
      </c>
      <c r="AJ26" s="27"/>
      <c r="AK26" s="27"/>
      <c r="AL26" s="27"/>
      <c r="AM26" s="27"/>
      <c r="AN26" s="27"/>
      <c r="AO26" s="27"/>
      <c r="AP26" s="27"/>
      <c r="AQ26" s="27"/>
    </row>
    <row r="27" spans="1:43" ht="14.25" customHeight="1">
      <c r="A27" s="42">
        <v>24.026</v>
      </c>
      <c r="B27" s="14">
        <v>2024</v>
      </c>
      <c r="C27" s="36">
        <v>26</v>
      </c>
      <c r="D27" s="16" t="str">
        <f ca="1">IFERROR(__xludf.DUMMYFUNCTION("IMPORTXML(AI27, ""//h1[@itemprop='headline']/span"")"),"26. Chili's")</f>
        <v>26. Chili's</v>
      </c>
      <c r="E27" s="17" t="str">
        <f ca="1">IFERROR(__xludf.DUMMYFUNCTION("REGEXEXTRACT(D27, ""\.\s*(.+)"")"),"Chili's")</f>
        <v>Chili's</v>
      </c>
      <c r="F27" s="18" t="str">
        <f ca="1">IFERROR(__xludf.DUMMYFUNCTION("IMPORTXML(AI27, ""//li[strong[text()='Investment Range:']]"")"),"Investment Range:")</f>
        <v>Investment Range:</v>
      </c>
      <c r="G27" s="43" t="str">
        <f ca="1">IFERROR(__xludf.DUMMYFUNCTION("""COMPUTED_VALUE""")," $4,229,695 - $6,503,695")</f>
        <v xml:space="preserve"> $4,229,695 - $6,503,695</v>
      </c>
      <c r="H27" s="18" t="str">
        <f ca="1">IFERROR(__xludf.DUMMYFUNCTION("SUBSTITUTE(REGEXEXTRACT(G27, ""\$(\d{1,3}(?:,\d{3})*)""), "","", ""."")
"),"4.229.695")</f>
        <v>4.229.695</v>
      </c>
      <c r="I27" s="19" t="str">
        <f ca="1">IFERROR(__xludf.DUMMYFUNCTION("SUBSTITUTE(REGEXEXTRACT(G27, ""-\s*\$(\d{1,3}(?:,\d{3})*)""), "","", ""."")
"),"6.503.695")</f>
        <v>6.503.695</v>
      </c>
      <c r="J27" s="19" t="str">
        <f ca="1">IFERROR(__xludf.DUMMYFUNCTION("IMPORTXML(AI27, ""//li[strong[text()='Initial Investment:']]"")"),"Loading...")</f>
        <v>Loading...</v>
      </c>
      <c r="K27" s="24"/>
      <c r="L27" s="20" t="str">
        <f ca="1">IFERROR(__xludf.DUMMYFUNCTION("IMPORTXML(AI27, ""//li[strong[text()='Category:']]"")"),"Loading...")</f>
        <v>Loading...</v>
      </c>
      <c r="M27" s="24"/>
      <c r="N27" s="19" t="str">
        <f ca="1">IFERROR(__xludf.DUMMYFUNCTION("IMPORTXML(AI27, ""//li[strong[text()='Global Sales:']]"")"),"Loading...")</f>
        <v>Loading...</v>
      </c>
      <c r="O27" s="24"/>
      <c r="P27" s="19" t="str">
        <f t="shared" si="0"/>
        <v/>
      </c>
      <c r="Q27" s="19" t="str">
        <f ca="1">IFERROR(__xludf.DUMMYFUNCTION("IMPORTXML(AI27, ""//li[strong[text()='US Units:']]"")"),"Loading...")</f>
        <v>Loading...</v>
      </c>
      <c r="R27" s="24"/>
      <c r="S27" s="19" t="str">
        <f ca="1">IFERROR(__xludf.DUMMYFUNCTION("IMPORTXML(AI27, ""//li[strong[text()='International Units:']]"")"),"Loading...")</f>
        <v>Loading...</v>
      </c>
      <c r="T27" s="44"/>
      <c r="U27" s="19" t="str">
        <f ca="1">IFERROR(__xludf.DUMMYFUNCTION("IMPORTXML(AI27, ""//li[strong[text()='Percent Franchised:']]"")"),"Loading...")</f>
        <v>Loading...</v>
      </c>
      <c r="V27" s="24"/>
      <c r="W27" s="19" t="str">
        <f ca="1">IFERROR(__xludf.DUMMYFUNCTION("IMPORTXML(AI27, ""//li[strong[text()='% International Units:']]"")"),"Loading...")</f>
        <v>Loading...</v>
      </c>
      <c r="X27" s="24"/>
      <c r="Y27" s="19" t="str">
        <f ca="1">IFERROR(__xludf.DUMMYFUNCTION("IMPORTXML(AI27, ""//li[strong[text()='US Franchised Units:']]"")"),"Loading...")</f>
        <v>Loading...</v>
      </c>
      <c r="Z27" s="24"/>
      <c r="AA27" s="14" t="str">
        <f t="shared" si="1"/>
        <v/>
      </c>
      <c r="AB27" s="19" t="str">
        <f ca="1">IFERROR(__xludf.DUMMYFUNCTION("IMPORTXML(AI27, ""//li[strong[text()='International Franchised Units:']]"")"),"Loading...")</f>
        <v>Loading...</v>
      </c>
      <c r="AC27" s="24"/>
      <c r="AD27" s="14" t="str">
        <f t="shared" si="2"/>
        <v/>
      </c>
      <c r="AE27" s="25" t="str">
        <f ca="1">IFERROR(__xludf.DUMMYFUNCTION("IMPORTXML(AI27, ""//li[strong[text()='Sales Growth %:']]"")"),"Loading...")</f>
        <v>Loading...</v>
      </c>
      <c r="AF27" s="24"/>
      <c r="AG27" s="25" t="str">
        <f ca="1">IFERROR(__xludf.DUMMYFUNCTION("IMPORTXML(AI27, ""//li[strong[text()='Unit Growth %:']]"")"),"Loading...")</f>
        <v>Loading...</v>
      </c>
      <c r="AH27" s="25"/>
      <c r="AI27" s="48" t="s">
        <v>43</v>
      </c>
      <c r="AJ27" s="27"/>
      <c r="AK27" s="27"/>
      <c r="AL27" s="27"/>
      <c r="AM27" s="27"/>
      <c r="AN27" s="27"/>
      <c r="AO27" s="27"/>
      <c r="AP27" s="27"/>
      <c r="AQ27" s="27"/>
    </row>
    <row r="28" spans="1:43" ht="14.25" customHeight="1">
      <c r="A28" s="42">
        <v>24.027000000000001</v>
      </c>
      <c r="B28" s="14">
        <v>2024</v>
      </c>
      <c r="C28" s="36">
        <v>27</v>
      </c>
      <c r="D28" s="16" t="str">
        <f ca="1">IFERROR(__xludf.DUMMYFUNCTION("IMPORTXML(AI28, ""//h1[@itemprop='headline']/span"")"),"27. Jack In The Box")</f>
        <v>27. Jack In The Box</v>
      </c>
      <c r="E28" s="17" t="str">
        <f ca="1">IFERROR(__xludf.DUMMYFUNCTION("REGEXEXTRACT(D28, ""\.\s*(.+)"")"),"Jack In The Box")</f>
        <v>Jack In The Box</v>
      </c>
      <c r="F28" s="18" t="str">
        <f ca="1">IFERROR(__xludf.DUMMYFUNCTION("IMPORTXML(AI28, ""//li[strong[text()='Investment Range:']]"")"),"Investment Range:")</f>
        <v>Investment Range:</v>
      </c>
      <c r="G28" s="43" t="str">
        <f ca="1">IFERROR(__xludf.DUMMYFUNCTION("""COMPUTED_VALUE""")," $1,810,600 - $4,207,500")</f>
        <v xml:space="preserve"> $1,810,600 - $4,207,500</v>
      </c>
      <c r="H28" s="18" t="str">
        <f ca="1">IFERROR(__xludf.DUMMYFUNCTION("SUBSTITUTE(REGEXEXTRACT(G28, ""\$(\d{1,3}(?:,\d{3})*)""), "","", ""."")
"),"1.810.600")</f>
        <v>1.810.600</v>
      </c>
      <c r="I28" s="19" t="str">
        <f ca="1">IFERROR(__xludf.DUMMYFUNCTION("SUBSTITUTE(REGEXEXTRACT(G28, ""-\s*\$(\d{1,3}(?:,\d{3})*)""), "","", ""."")
"),"4.207.500")</f>
        <v>4.207.500</v>
      </c>
      <c r="J28" s="19" t="str">
        <f ca="1">IFERROR(__xludf.DUMMYFUNCTION("IMPORTXML(AI28, ""//li[strong[text()='Initial Investment:']]"")"),"Loading...")</f>
        <v>Loading...</v>
      </c>
      <c r="K28" s="24"/>
      <c r="L28" s="20" t="str">
        <f ca="1">IFERROR(__xludf.DUMMYFUNCTION("IMPORTXML(AI28, ""//li[strong[text()='Category:']]"")"),"Loading...")</f>
        <v>Loading...</v>
      </c>
      <c r="M28" s="24"/>
      <c r="N28" s="19" t="str">
        <f ca="1">IFERROR(__xludf.DUMMYFUNCTION("IMPORTXML(AI28, ""//li[strong[text()='Global Sales:']]"")"),"Loading...")</f>
        <v>Loading...</v>
      </c>
      <c r="O28" s="24"/>
      <c r="P28" s="19" t="str">
        <f t="shared" si="0"/>
        <v/>
      </c>
      <c r="Q28" s="19" t="str">
        <f ca="1">IFERROR(__xludf.DUMMYFUNCTION("IMPORTXML(AI28, ""//li[strong[text()='US Units:']]"")"),"Loading...")</f>
        <v>Loading...</v>
      </c>
      <c r="R28" s="24"/>
      <c r="S28" s="19" t="str">
        <f ca="1">IFERROR(__xludf.DUMMYFUNCTION("IMPORTXML(AI28, ""//li[strong[text()='International Units:']]"")"),"Loading...")</f>
        <v>Loading...</v>
      </c>
      <c r="T28" s="44"/>
      <c r="U28" s="19" t="str">
        <f ca="1">IFERROR(__xludf.DUMMYFUNCTION("IMPORTXML(AI28, ""//li[strong[text()='Percent Franchised:']]"")"),"Loading...")</f>
        <v>Loading...</v>
      </c>
      <c r="V28" s="24"/>
      <c r="W28" s="19" t="str">
        <f ca="1">IFERROR(__xludf.DUMMYFUNCTION("IMPORTXML(AI28, ""//li[strong[text()='% International Units:']]"")"),"Loading...")</f>
        <v>Loading...</v>
      </c>
      <c r="X28" s="24"/>
      <c r="Y28" s="19" t="str">
        <f ca="1">IFERROR(__xludf.DUMMYFUNCTION("IMPORTXML(AI28, ""//li[strong[text()='US Franchised Units:']]"")"),"Loading...")</f>
        <v>Loading...</v>
      </c>
      <c r="Z28" s="24"/>
      <c r="AA28" s="14" t="str">
        <f t="shared" si="1"/>
        <v/>
      </c>
      <c r="AB28" s="19" t="str">
        <f ca="1">IFERROR(__xludf.DUMMYFUNCTION("IMPORTXML(AI28, ""//li[strong[text()='International Franchised Units:']]"")"),"Loading...")</f>
        <v>Loading...</v>
      </c>
      <c r="AC28" s="24"/>
      <c r="AD28" s="14" t="str">
        <f t="shared" si="2"/>
        <v/>
      </c>
      <c r="AE28" s="25" t="str">
        <f ca="1">IFERROR(__xludf.DUMMYFUNCTION("IMPORTXML(AI28, ""//li[strong[text()='Sales Growth %:']]"")"),"Loading...")</f>
        <v>Loading...</v>
      </c>
      <c r="AF28" s="24"/>
      <c r="AG28" s="25" t="str">
        <f ca="1">IFERROR(__xludf.DUMMYFUNCTION("IMPORTXML(AI28, ""//li[strong[text()='Unit Growth %:']]"")"),"Loading...")</f>
        <v>Loading...</v>
      </c>
      <c r="AH28" s="25"/>
      <c r="AI28" s="48" t="s">
        <v>44</v>
      </c>
      <c r="AJ28" s="27"/>
      <c r="AK28" s="27"/>
      <c r="AL28" s="27"/>
      <c r="AM28" s="27"/>
      <c r="AN28" s="27"/>
      <c r="AO28" s="27"/>
      <c r="AP28" s="27"/>
      <c r="AQ28" s="27"/>
    </row>
    <row r="29" spans="1:43" ht="14.25" customHeight="1">
      <c r="A29" s="42">
        <v>24.027999999999999</v>
      </c>
      <c r="B29" s="14">
        <v>2024</v>
      </c>
      <c r="C29" s="15">
        <v>28</v>
      </c>
      <c r="D29" s="16" t="str">
        <f ca="1">IFERROR(__xludf.DUMMYFUNCTION("IMPORTXML(AI29, ""//h1[@itemprop='headline']/span"")"),"28. Express Employment Professionals")</f>
        <v>28. Express Employment Professionals</v>
      </c>
      <c r="E29" s="17" t="str">
        <f ca="1">IFERROR(__xludf.DUMMYFUNCTION("REGEXEXTRACT(D29, ""\.\s*(.+)"")"),"Express Employment Professionals")</f>
        <v>Express Employment Professionals</v>
      </c>
      <c r="F29" s="18" t="str">
        <f ca="1">IFERROR(__xludf.DUMMYFUNCTION("IMPORTXML(AI29, ""//li[strong[text()='Investment Range:']]"")"),"Investment Range:")</f>
        <v>Investment Range:</v>
      </c>
      <c r="G29" s="43" t="str">
        <f ca="1">IFERROR(__xludf.DUMMYFUNCTION("""COMPUTED_VALUE""")," $132,000 - $213,000")</f>
        <v xml:space="preserve"> $132,000 - $213,000</v>
      </c>
      <c r="H29" s="18" t="str">
        <f ca="1">IFERROR(__xludf.DUMMYFUNCTION("SUBSTITUTE(REGEXEXTRACT(G29, ""\$(\d{1,3}(?:,\d{3})*)""), "","", ""."")
"),"132.000")</f>
        <v>132.000</v>
      </c>
      <c r="I29" s="19" t="str">
        <f ca="1">IFERROR(__xludf.DUMMYFUNCTION("SUBSTITUTE(REGEXEXTRACT(G29, ""-\s*\$(\d{1,3}(?:,\d{3})*)""), "","", ""."")
"),"213.000")</f>
        <v>213.000</v>
      </c>
      <c r="J29" s="19" t="str">
        <f ca="1">IFERROR(__xludf.DUMMYFUNCTION("IMPORTXML(AI29, ""//li[strong[text()='Initial Investment:']]"")"),"Loading...")</f>
        <v>Loading...</v>
      </c>
      <c r="K29" s="24"/>
      <c r="L29" s="20" t="str">
        <f ca="1">IFERROR(__xludf.DUMMYFUNCTION("IMPORTXML(AI29, ""//li[strong[text()='Category:']]"")"),"Loading...")</f>
        <v>Loading...</v>
      </c>
      <c r="M29" s="24"/>
      <c r="N29" s="19" t="str">
        <f ca="1">IFERROR(__xludf.DUMMYFUNCTION("IMPORTXML(AI29, ""//li[strong[text()='Global Sales:']]"")"),"Loading...")</f>
        <v>Loading...</v>
      </c>
      <c r="O29" s="24"/>
      <c r="P29" s="19" t="str">
        <f t="shared" si="0"/>
        <v/>
      </c>
      <c r="Q29" s="19" t="str">
        <f ca="1">IFERROR(__xludf.DUMMYFUNCTION("IMPORTXML(AI29, ""//li[strong[text()='US Units:']]"")"),"Loading...")</f>
        <v>Loading...</v>
      </c>
      <c r="R29" s="24"/>
      <c r="S29" s="19" t="str">
        <f ca="1">IFERROR(__xludf.DUMMYFUNCTION("IMPORTXML(AI29, ""//li[strong[text()='International Units:']]"")"),"Loading...")</f>
        <v>Loading...</v>
      </c>
      <c r="T29" s="44"/>
      <c r="U29" s="19" t="str">
        <f ca="1">IFERROR(__xludf.DUMMYFUNCTION("IMPORTXML(AI29, ""//li[strong[text()='Percent Franchised:']]"")"),"Loading...")</f>
        <v>Loading...</v>
      </c>
      <c r="V29" s="24"/>
      <c r="W29" s="19" t="str">
        <f ca="1">IFERROR(__xludf.DUMMYFUNCTION("IMPORTXML(AI29, ""//li[strong[text()='% International Units:']]"")"),"Loading...")</f>
        <v>Loading...</v>
      </c>
      <c r="X29" s="24"/>
      <c r="Y29" s="19" t="str">
        <f ca="1">IFERROR(__xludf.DUMMYFUNCTION("IMPORTXML(AI29, ""//li[strong[text()='US Franchised Units:']]"")"),"Loading...")</f>
        <v>Loading...</v>
      </c>
      <c r="Z29" s="24"/>
      <c r="AA29" s="14" t="str">
        <f t="shared" si="1"/>
        <v/>
      </c>
      <c r="AB29" s="19" t="str">
        <f ca="1">IFERROR(__xludf.DUMMYFUNCTION("IMPORTXML(AI29, ""//li[strong[text()='International Franchised Units:']]"")"),"Loading...")</f>
        <v>Loading...</v>
      </c>
      <c r="AC29" s="24"/>
      <c r="AD29" s="14" t="str">
        <f t="shared" si="2"/>
        <v/>
      </c>
      <c r="AE29" s="25" t="str">
        <f ca="1">IFERROR(__xludf.DUMMYFUNCTION("IMPORTXML(AI29, ""//li[strong[text()='Sales Growth %:']]"")"),"Loading...")</f>
        <v>Loading...</v>
      </c>
      <c r="AF29" s="24"/>
      <c r="AG29" s="25" t="str">
        <f ca="1">IFERROR(__xludf.DUMMYFUNCTION("IMPORTXML(AI29, ""//li[strong[text()='Unit Growth %:']]"")"),"Loading...")</f>
        <v>Loading...</v>
      </c>
      <c r="AH29" s="25"/>
      <c r="AI29" s="48" t="s">
        <v>45</v>
      </c>
      <c r="AJ29" s="27"/>
      <c r="AK29" s="27"/>
      <c r="AL29" s="27"/>
      <c r="AM29" s="27"/>
      <c r="AN29" s="27"/>
      <c r="AO29" s="27"/>
      <c r="AP29" s="27"/>
      <c r="AQ29" s="27"/>
    </row>
    <row r="30" spans="1:43" ht="14.25" customHeight="1">
      <c r="A30" s="42">
        <v>24.029</v>
      </c>
      <c r="B30" s="14">
        <v>2024</v>
      </c>
      <c r="C30" s="32">
        <v>29</v>
      </c>
      <c r="D30" s="16" t="str">
        <f ca="1">IFERROR(__xludf.DUMMYFUNCTION("IMPORTXML(AI30, ""//h1[@itemprop='headline']/span"")"),"29. Buffalo Wild Wings")</f>
        <v>29. Buffalo Wild Wings</v>
      </c>
      <c r="E30" s="17" t="str">
        <f ca="1">IFERROR(__xludf.DUMMYFUNCTION("REGEXEXTRACT(D30, ""\.\s*(.+)"")"),"Buffalo Wild Wings")</f>
        <v>Buffalo Wild Wings</v>
      </c>
      <c r="F30" s="18" t="str">
        <f ca="1">IFERROR(__xludf.DUMMYFUNCTION("IMPORTXML(AI30, ""//li[strong[text()='Investment Range:']]"")"),"Investment Range:")</f>
        <v>Investment Range:</v>
      </c>
      <c r="G30" s="43" t="str">
        <f ca="1">IFERROR(__xludf.DUMMYFUNCTION("""COMPUTED_VALUE""")," $2,443,345 - $4,830,320")</f>
        <v xml:space="preserve"> $2,443,345 - $4,830,320</v>
      </c>
      <c r="H30" s="18" t="str">
        <f ca="1">IFERROR(__xludf.DUMMYFUNCTION("SUBSTITUTE(REGEXEXTRACT(G30, ""\$(\d{1,3}(?:,\d{3})*)""), "","", ""."")
"),"2.443.345")</f>
        <v>2.443.345</v>
      </c>
      <c r="I30" s="19" t="str">
        <f ca="1">IFERROR(__xludf.DUMMYFUNCTION("SUBSTITUTE(REGEXEXTRACT(G30, ""-\s*\$(\d{1,3}(?:,\d{3})*)""), "","", ""."")
"),"4.830.320")</f>
        <v>4.830.320</v>
      </c>
      <c r="J30" s="19" t="str">
        <f ca="1">IFERROR(__xludf.DUMMYFUNCTION("IMPORTXML(AI30, ""//li[strong[text()='Initial Investment:']]"")"),"Loading...")</f>
        <v>Loading...</v>
      </c>
      <c r="K30" s="24"/>
      <c r="L30" s="20" t="str">
        <f ca="1">IFERROR(__xludf.DUMMYFUNCTION("IMPORTXML(AI30, ""//li[strong[text()='Category:']]"")"),"Loading...")</f>
        <v>Loading...</v>
      </c>
      <c r="M30" s="24"/>
      <c r="N30" s="19" t="str">
        <f ca="1">IFERROR(__xludf.DUMMYFUNCTION("IMPORTXML(AI30, ""//li[strong[text()='Global Sales:']]"")"),"Loading...")</f>
        <v>Loading...</v>
      </c>
      <c r="O30" s="24"/>
      <c r="P30" s="19" t="str">
        <f t="shared" si="0"/>
        <v/>
      </c>
      <c r="Q30" s="19" t="str">
        <f ca="1">IFERROR(__xludf.DUMMYFUNCTION("IMPORTXML(AI30, ""//li[strong[text()='US Units:']]"")"),"Loading...")</f>
        <v>Loading...</v>
      </c>
      <c r="R30" s="24"/>
      <c r="S30" s="19" t="str">
        <f ca="1">IFERROR(__xludf.DUMMYFUNCTION("IMPORTXML(AI30, ""//li[strong[text()='International Units:']]"")"),"Loading...")</f>
        <v>Loading...</v>
      </c>
      <c r="T30" s="44"/>
      <c r="U30" s="19" t="str">
        <f ca="1">IFERROR(__xludf.DUMMYFUNCTION("IMPORTXML(AI30, ""//li[strong[text()='Percent Franchised:']]"")"),"Loading...")</f>
        <v>Loading...</v>
      </c>
      <c r="V30" s="24"/>
      <c r="W30" s="19" t="str">
        <f ca="1">IFERROR(__xludf.DUMMYFUNCTION("IMPORTXML(AI30, ""//li[strong[text()='% International Units:']]"")"),"Loading...")</f>
        <v>Loading...</v>
      </c>
      <c r="X30" s="24"/>
      <c r="Y30" s="19" t="str">
        <f ca="1">IFERROR(__xludf.DUMMYFUNCTION("IMPORTXML(AI30, ""//li[strong[text()='US Franchised Units:']]"")"),"Loading...")</f>
        <v>Loading...</v>
      </c>
      <c r="Z30" s="24"/>
      <c r="AA30" s="14" t="str">
        <f t="shared" si="1"/>
        <v/>
      </c>
      <c r="AB30" s="19" t="str">
        <f ca="1">IFERROR(__xludf.DUMMYFUNCTION("IMPORTXML(AI30, ""//li[strong[text()='International Franchised Units:']]"")"),"Loading...")</f>
        <v>Loading...</v>
      </c>
      <c r="AC30" s="24"/>
      <c r="AD30" s="14" t="str">
        <f t="shared" si="2"/>
        <v/>
      </c>
      <c r="AE30" s="25" t="str">
        <f ca="1">IFERROR(__xludf.DUMMYFUNCTION("IMPORTXML(AI30, ""//li[strong[text()='Sales Growth %:']]"")"),"Loading...")</f>
        <v>Loading...</v>
      </c>
      <c r="AF30" s="24"/>
      <c r="AG30" s="25" t="str">
        <f ca="1">IFERROR(__xludf.DUMMYFUNCTION("IMPORTXML(AI30, ""//li[strong[text()='Unit Growth %:']]"")"),"Loading...")</f>
        <v>Loading...</v>
      </c>
      <c r="AH30" s="25"/>
      <c r="AI30" s="48" t="s">
        <v>46</v>
      </c>
      <c r="AJ30" s="27"/>
      <c r="AK30" s="27"/>
      <c r="AL30" s="27"/>
      <c r="AM30" s="27"/>
      <c r="AN30" s="27"/>
      <c r="AO30" s="27"/>
      <c r="AP30" s="27"/>
      <c r="AQ30" s="27"/>
    </row>
    <row r="31" spans="1:43" ht="14.25" customHeight="1">
      <c r="A31" s="42">
        <v>24.03</v>
      </c>
      <c r="B31" s="14">
        <v>2024</v>
      </c>
      <c r="C31" s="36">
        <v>30</v>
      </c>
      <c r="D31" s="16" t="str">
        <f ca="1">IFERROR(__xludf.DUMMYFUNCTION("IMPORTXML(AI31, ""//h1[@itemprop='headline']/span"")"),"30. The UPS Store")</f>
        <v>30. The UPS Store</v>
      </c>
      <c r="E31" s="17" t="str">
        <f ca="1">IFERROR(__xludf.DUMMYFUNCTION("REGEXEXTRACT(D31, ""\.\s*(.+)"")"),"The UPS Store")</f>
        <v>The UPS Store</v>
      </c>
      <c r="F31" s="18" t="str">
        <f ca="1">IFERROR(__xludf.DUMMYFUNCTION("IMPORTXML(AI31, ""//li[strong[text()='Investment Range:']]"")"),"Investment Range:")</f>
        <v>Investment Range:</v>
      </c>
      <c r="G31" s="43" t="str">
        <f ca="1">IFERROR(__xludf.DUMMYFUNCTION("""COMPUTED_VALUE""")," $209,195 - $495,945")</f>
        <v xml:space="preserve"> $209,195 - $495,945</v>
      </c>
      <c r="H31" s="18" t="str">
        <f ca="1">IFERROR(__xludf.DUMMYFUNCTION("SUBSTITUTE(REGEXEXTRACT(G31, ""\$(\d{1,3}(?:,\d{3})*)""), "","", ""."")
"),"209.195")</f>
        <v>209.195</v>
      </c>
      <c r="I31" s="19" t="str">
        <f ca="1">IFERROR(__xludf.DUMMYFUNCTION("SUBSTITUTE(REGEXEXTRACT(G31, ""-\s*\$(\d{1,3}(?:,\d{3})*)""), "","", ""."")
"),"495.945")</f>
        <v>495.945</v>
      </c>
      <c r="J31" s="19" t="str">
        <f ca="1">IFERROR(__xludf.DUMMYFUNCTION("IMPORTXML(AI31, ""//li[strong[text()='Initial Investment:']]"")"),"Loading...")</f>
        <v>Loading...</v>
      </c>
      <c r="K31" s="24"/>
      <c r="L31" s="20" t="str">
        <f ca="1">IFERROR(__xludf.DUMMYFUNCTION("IMPORTXML(AI31, ""//li[strong[text()='Category:']]"")"),"Loading...")</f>
        <v>Loading...</v>
      </c>
      <c r="M31" s="24"/>
      <c r="N31" s="19" t="str">
        <f ca="1">IFERROR(__xludf.DUMMYFUNCTION("IMPORTXML(AI31, ""//li[strong[text()='Global Sales:']]"")"),"Loading...")</f>
        <v>Loading...</v>
      </c>
      <c r="O31" s="24"/>
      <c r="P31" s="19" t="str">
        <f t="shared" si="0"/>
        <v/>
      </c>
      <c r="Q31" s="19" t="str">
        <f ca="1">IFERROR(__xludf.DUMMYFUNCTION("IMPORTXML(AI31, ""//li[strong[text()='US Units:']]"")"),"Loading...")</f>
        <v>Loading...</v>
      </c>
      <c r="R31" s="24"/>
      <c r="S31" s="19" t="str">
        <f ca="1">IFERROR(__xludf.DUMMYFUNCTION("IMPORTXML(AI31, ""//li[strong[text()='International Units:']]"")"),"Loading...")</f>
        <v>Loading...</v>
      </c>
      <c r="T31" s="44"/>
      <c r="U31" s="19" t="str">
        <f ca="1">IFERROR(__xludf.DUMMYFUNCTION("IMPORTXML(AI31, ""//li[strong[text()='Percent Franchised:']]"")"),"Loading...")</f>
        <v>Loading...</v>
      </c>
      <c r="V31" s="24"/>
      <c r="W31" s="19" t="str">
        <f ca="1">IFERROR(__xludf.DUMMYFUNCTION("IMPORTXML(AI31, ""//li[strong[text()='% International Units:']]"")"),"Loading...")</f>
        <v>Loading...</v>
      </c>
      <c r="X31" s="24"/>
      <c r="Y31" s="19" t="str">
        <f ca="1">IFERROR(__xludf.DUMMYFUNCTION("IMPORTXML(AI31, ""//li[strong[text()='US Franchised Units:']]"")"),"Loading...")</f>
        <v>Loading...</v>
      </c>
      <c r="Z31" s="24"/>
      <c r="AA31" s="14" t="str">
        <f t="shared" si="1"/>
        <v/>
      </c>
      <c r="AB31" s="19" t="str">
        <f ca="1">IFERROR(__xludf.DUMMYFUNCTION("IMPORTXML(AI31, ""//li[strong[text()='International Franchised Units:']]"")"),"Loading...")</f>
        <v>Loading...</v>
      </c>
      <c r="AC31" s="24"/>
      <c r="AD31" s="14" t="str">
        <f t="shared" si="2"/>
        <v/>
      </c>
      <c r="AE31" s="25" t="str">
        <f ca="1">IFERROR(__xludf.DUMMYFUNCTION("IMPORTXML(AI31, ""//li[strong[text()='Sales Growth %:']]"")"),"Loading...")</f>
        <v>Loading...</v>
      </c>
      <c r="AF31" s="24"/>
      <c r="AG31" s="25" t="str">
        <f ca="1">IFERROR(__xludf.DUMMYFUNCTION("IMPORTXML(AI31, ""//li[strong[text()='Unit Growth %:']]"")"),"Loading...")</f>
        <v>Loading...</v>
      </c>
      <c r="AH31" s="25"/>
      <c r="AI31" s="48" t="s">
        <v>47</v>
      </c>
      <c r="AJ31" s="27"/>
      <c r="AK31" s="27"/>
      <c r="AL31" s="27"/>
      <c r="AM31" s="27"/>
      <c r="AN31" s="27"/>
      <c r="AO31" s="27"/>
      <c r="AP31" s="27"/>
      <c r="AQ31" s="27"/>
    </row>
    <row r="32" spans="1:43" ht="14.25" customHeight="1">
      <c r="A32" s="42">
        <v>24.030999999999999</v>
      </c>
      <c r="B32" s="14">
        <v>2024</v>
      </c>
      <c r="C32" s="36">
        <v>31</v>
      </c>
      <c r="D32" s="16" t="str">
        <f ca="1">IFERROR(__xludf.DUMMYFUNCTION("IMPORTXML(AI32, ""//h1[@itemprop='headline']/span"")"),"31. Whataburger")</f>
        <v>31. Whataburger</v>
      </c>
      <c r="E32" s="17" t="str">
        <f ca="1">IFERROR(__xludf.DUMMYFUNCTION("REGEXEXTRACT(D32, ""\.\s*(.+)"")"),"Whataburger")</f>
        <v>Whataburger</v>
      </c>
      <c r="F32" s="18" t="str">
        <f ca="1">IFERROR(__xludf.DUMMYFUNCTION("IMPORTXML(AI32, ""//li[strong[text()='Investment Range:']]"")"),"Investment Range:")</f>
        <v>Investment Range:</v>
      </c>
      <c r="G32" s="43" t="str">
        <f ca="1">IFERROR(__xludf.DUMMYFUNCTION("""COMPUTED_VALUE""")," $1,200,000")</f>
        <v xml:space="preserve"> $1,200,000</v>
      </c>
      <c r="H32" s="18" t="str">
        <f ca="1">IFERROR(__xludf.DUMMYFUNCTION("SUBSTITUTE(REGEXEXTRACT(G32, ""\$(\d{1,3}(?:,\d{3})*)""), "","", ""."")
"),"1.200.000")</f>
        <v>1.200.000</v>
      </c>
      <c r="I32" s="19" t="str">
        <f ca="1">IFERROR(__xludf.DUMMYFUNCTION("SUBSTITUTE(REGEXEXTRACT(G32, ""-\s*\$(\d{1,3}(?:,\d{3})*)""), "","", ""."")
"),"#N/A")</f>
        <v>#N/A</v>
      </c>
      <c r="J32" s="19" t="str">
        <f ca="1">IFERROR(__xludf.DUMMYFUNCTION("IMPORTXML(AI32, ""//li[strong[text()='Initial Investment:']]"")"),"Loading...")</f>
        <v>Loading...</v>
      </c>
      <c r="K32" s="24"/>
      <c r="L32" s="20" t="str">
        <f ca="1">IFERROR(__xludf.DUMMYFUNCTION("IMPORTXML(AI32, ""//li[strong[text()='Category:']]"")"),"Loading...")</f>
        <v>Loading...</v>
      </c>
      <c r="M32" s="24"/>
      <c r="N32" s="19" t="str">
        <f ca="1">IFERROR(__xludf.DUMMYFUNCTION("IMPORTXML(AI32, ""//li[strong[text()='Global Sales:']]"")"),"Loading...")</f>
        <v>Loading...</v>
      </c>
      <c r="O32" s="24"/>
      <c r="P32" s="19" t="str">
        <f t="shared" si="0"/>
        <v/>
      </c>
      <c r="Q32" s="19" t="str">
        <f ca="1">IFERROR(__xludf.DUMMYFUNCTION("IMPORTXML(AI32, ""//li[strong[text()='US Units:']]"")"),"Loading...")</f>
        <v>Loading...</v>
      </c>
      <c r="R32" s="24"/>
      <c r="S32" s="19" t="str">
        <f ca="1">IFERROR(__xludf.DUMMYFUNCTION("IMPORTXML(AI32, ""//li[strong[text()='International Units:']]"")"),"Loading...")</f>
        <v>Loading...</v>
      </c>
      <c r="T32" s="44"/>
      <c r="U32" s="19" t="str">
        <f ca="1">IFERROR(__xludf.DUMMYFUNCTION("IMPORTXML(AI32, ""//li[strong[text()='Percent Franchised:']]"")"),"Loading...")</f>
        <v>Loading...</v>
      </c>
      <c r="V32" s="24"/>
      <c r="W32" s="19" t="str">
        <f ca="1">IFERROR(__xludf.DUMMYFUNCTION("IMPORTXML(AI32, ""//li[strong[text()='% International Units:']]"")"),"Loading...")</f>
        <v>Loading...</v>
      </c>
      <c r="X32" s="24"/>
      <c r="Y32" s="19" t="str">
        <f ca="1">IFERROR(__xludf.DUMMYFUNCTION("IMPORTXML(AI32, ""//li[strong[text()='US Franchised Units:']]"")"),"Loading...")</f>
        <v>Loading...</v>
      </c>
      <c r="Z32" s="24"/>
      <c r="AA32" s="14" t="str">
        <f t="shared" si="1"/>
        <v/>
      </c>
      <c r="AB32" s="19" t="str">
        <f ca="1">IFERROR(__xludf.DUMMYFUNCTION("IMPORTXML(AI32, ""//li[strong[text()='International Franchised Units:']]"")"),"Loading...")</f>
        <v>Loading...</v>
      </c>
      <c r="AC32" s="24"/>
      <c r="AD32" s="14" t="str">
        <f t="shared" si="2"/>
        <v/>
      </c>
      <c r="AE32" s="25" t="str">
        <f ca="1">IFERROR(__xludf.DUMMYFUNCTION("IMPORTXML(AI32, ""//li[strong[text()='Sales Growth %:']]"")"),"Loading...")</f>
        <v>Loading...</v>
      </c>
      <c r="AF32" s="24"/>
      <c r="AG32" s="25" t="str">
        <f ca="1">IFERROR(__xludf.DUMMYFUNCTION("IMPORTXML(AI32, ""//li[strong[text()='Unit Growth %:']]"")"),"Loading...")</f>
        <v>Loading...</v>
      </c>
      <c r="AH32" s="25"/>
      <c r="AI32" s="48" t="s">
        <v>48</v>
      </c>
      <c r="AJ32" s="27"/>
      <c r="AK32" s="27"/>
      <c r="AL32" s="27"/>
      <c r="AM32" s="27"/>
      <c r="AN32" s="27"/>
      <c r="AO32" s="27"/>
      <c r="AP32" s="27"/>
      <c r="AQ32" s="27"/>
    </row>
    <row r="33" spans="1:43" ht="14.25" customHeight="1">
      <c r="A33" s="42">
        <v>24.032</v>
      </c>
      <c r="B33" s="14">
        <v>2024</v>
      </c>
      <c r="C33" s="15">
        <v>32</v>
      </c>
      <c r="D33" s="16" t="str">
        <f ca="1">IFERROR(__xludf.DUMMYFUNCTION("IMPORTXML(AI33, ""//h1[@itemprop='headline']/span"")"),"32. IHOP")</f>
        <v>32. IHOP</v>
      </c>
      <c r="E33" s="17" t="str">
        <f ca="1">IFERROR(__xludf.DUMMYFUNCTION("REGEXEXTRACT(D33, ""\.\s*(.+)"")"),"IHOP")</f>
        <v>IHOP</v>
      </c>
      <c r="F33" s="18" t="str">
        <f ca="1">IFERROR(__xludf.DUMMYFUNCTION("IMPORTXML(AI33, ""//li[strong[text()='Investment Range:']]"")"),"#REF!")</f>
        <v>#REF!</v>
      </c>
      <c r="G33" s="43"/>
      <c r="H33" s="18" t="str">
        <f ca="1">IFERROR(__xludf.DUMMYFUNCTION("SUBSTITUTE(REGEXEXTRACT(G33, ""\$(\d{1,3}(?:,\d{3})*)""), "","", ""."")
"),"#N/A")</f>
        <v>#N/A</v>
      </c>
      <c r="I33" s="19" t="str">
        <f ca="1">IFERROR(__xludf.DUMMYFUNCTION("SUBSTITUTE(REGEXEXTRACT(G33, ""-\s*\$(\d{1,3}(?:,\d{3})*)""), "","", ""."")
"),"#N/A")</f>
        <v>#N/A</v>
      </c>
      <c r="J33" s="19" t="str">
        <f ca="1">IFERROR(__xludf.DUMMYFUNCTION("IMPORTXML(AI33, ""//li[strong[text()='Initial Investment:']]"")"),"Loading...")</f>
        <v>Loading...</v>
      </c>
      <c r="K33" s="24"/>
      <c r="L33" s="20" t="str">
        <f ca="1">IFERROR(__xludf.DUMMYFUNCTION("IMPORTXML(AI33, ""//li[strong[text()='Category:']]"")"),"Loading...")</f>
        <v>Loading...</v>
      </c>
      <c r="M33" s="24"/>
      <c r="N33" s="19" t="str">
        <f ca="1">IFERROR(__xludf.DUMMYFUNCTION("IMPORTXML(AI33, ""//li[strong[text()='Global Sales:']]"")"),"Loading...")</f>
        <v>Loading...</v>
      </c>
      <c r="O33" s="24"/>
      <c r="P33" s="19" t="str">
        <f t="shared" si="0"/>
        <v/>
      </c>
      <c r="Q33" s="19" t="str">
        <f ca="1">IFERROR(__xludf.DUMMYFUNCTION("IMPORTXML(AI33, ""//li[strong[text()='US Units:']]"")"),"Loading...")</f>
        <v>Loading...</v>
      </c>
      <c r="R33" s="24"/>
      <c r="S33" s="19" t="str">
        <f ca="1">IFERROR(__xludf.DUMMYFUNCTION("IMPORTXML(AI33, ""//li[strong[text()='International Units:']]"")"),"Loading...")</f>
        <v>Loading...</v>
      </c>
      <c r="T33" s="44"/>
      <c r="U33" s="19" t="str">
        <f ca="1">IFERROR(__xludf.DUMMYFUNCTION("IMPORTXML(AI33, ""//li[strong[text()='Percent Franchised:']]"")"),"Loading...")</f>
        <v>Loading...</v>
      </c>
      <c r="V33" s="24"/>
      <c r="W33" s="19" t="str">
        <f ca="1">IFERROR(__xludf.DUMMYFUNCTION("IMPORTXML(AI33, ""//li[strong[text()='% International Units:']]"")"),"Loading...")</f>
        <v>Loading...</v>
      </c>
      <c r="X33" s="24"/>
      <c r="Y33" s="19" t="str">
        <f ca="1">IFERROR(__xludf.DUMMYFUNCTION("IMPORTXML(AI33, ""//li[strong[text()='US Franchised Units:']]"")"),"Loading...")</f>
        <v>Loading...</v>
      </c>
      <c r="Z33" s="24"/>
      <c r="AA33" s="14" t="str">
        <f t="shared" si="1"/>
        <v/>
      </c>
      <c r="AB33" s="19" t="str">
        <f ca="1">IFERROR(__xludf.DUMMYFUNCTION("IMPORTXML(AI33, ""//li[strong[text()='International Franchised Units:']]"")"),"Loading...")</f>
        <v>Loading...</v>
      </c>
      <c r="AC33" s="24"/>
      <c r="AD33" s="14" t="str">
        <f t="shared" si="2"/>
        <v/>
      </c>
      <c r="AE33" s="25" t="str">
        <f ca="1">IFERROR(__xludf.DUMMYFUNCTION("IMPORTXML(AI33, ""//li[strong[text()='Sales Growth %:']]"")"),"Sales Growth %:")</f>
        <v>Sales Growth %:</v>
      </c>
      <c r="AF33" s="24" t="str">
        <f ca="1">IFERROR(__xludf.DUMMYFUNCTION("""COMPUTED_VALUE""")," 6.0%")</f>
        <v xml:space="preserve"> 6.0%</v>
      </c>
      <c r="AG33" s="25" t="str">
        <f ca="1">IFERROR(__xludf.DUMMYFUNCTION("IMPORTXML(AI33, ""//li[strong[text()='Unit Growth %:']]"")"),"Loading...")</f>
        <v>Loading...</v>
      </c>
      <c r="AH33" s="25"/>
      <c r="AI33" s="48" t="s">
        <v>49</v>
      </c>
      <c r="AJ33" s="27"/>
      <c r="AK33" s="27"/>
      <c r="AL33" s="27"/>
      <c r="AM33" s="27"/>
      <c r="AN33" s="27"/>
      <c r="AO33" s="27"/>
      <c r="AP33" s="27"/>
      <c r="AQ33" s="27"/>
    </row>
    <row r="34" spans="1:43" ht="14.25" customHeight="1">
      <c r="A34" s="42">
        <v>24.033000000000001</v>
      </c>
      <c r="B34" s="14">
        <v>2024</v>
      </c>
      <c r="C34" s="32">
        <v>33</v>
      </c>
      <c r="D34" s="16" t="str">
        <f ca="1">IFERROR(__xludf.DUMMYFUNCTION("IMPORTXML(AI34, ""//h1[@itemprop='headline']/span"")"),"33. Wingstop")</f>
        <v>33. Wingstop</v>
      </c>
      <c r="E34" s="17" t="str">
        <f ca="1">IFERROR(__xludf.DUMMYFUNCTION("REGEXEXTRACT(D34, ""\.\s*(.+)"")"),"Wingstop")</f>
        <v>Wingstop</v>
      </c>
      <c r="F34" s="18" t="str">
        <f ca="1">IFERROR(__xludf.DUMMYFUNCTION("IMPORTXML(AI34, ""//li[strong[text()='Investment Range:']]"")"),"Investment Range:")</f>
        <v>Investment Range:</v>
      </c>
      <c r="G34" s="43" t="str">
        <f ca="1">IFERROR(__xludf.DUMMYFUNCTION("""COMPUTED_VALUE""")," $259,400 - $912,100")</f>
        <v xml:space="preserve"> $259,400 - $912,100</v>
      </c>
      <c r="H34" s="18" t="str">
        <f ca="1">IFERROR(__xludf.DUMMYFUNCTION("SUBSTITUTE(REGEXEXTRACT(G34, ""\$(\d{1,3}(?:,\d{3})*)""), "","", ""."")
"),"259.400")</f>
        <v>259.400</v>
      </c>
      <c r="I34" s="19" t="str">
        <f ca="1">IFERROR(__xludf.DUMMYFUNCTION("SUBSTITUTE(REGEXEXTRACT(G34, ""-\s*\$(\d{1,3}(?:,\d{3})*)""), "","", ""."")
"),"912.100")</f>
        <v>912.100</v>
      </c>
      <c r="J34" s="19" t="str">
        <f ca="1">IFERROR(__xludf.DUMMYFUNCTION("IMPORTXML(AI34, ""//li[strong[text()='Initial Investment:']]"")"),"Loading...")</f>
        <v>Loading...</v>
      </c>
      <c r="K34" s="24"/>
      <c r="L34" s="20" t="str">
        <f ca="1">IFERROR(__xludf.DUMMYFUNCTION("IMPORTXML(AI34, ""//li[strong[text()='Category:']]"")"),"Loading...")</f>
        <v>Loading...</v>
      </c>
      <c r="M34" s="24"/>
      <c r="N34" s="19" t="str">
        <f ca="1">IFERROR(__xludf.DUMMYFUNCTION("IMPORTXML(AI34, ""//li[strong[text()='Global Sales:']]"")"),"Loading...")</f>
        <v>Loading...</v>
      </c>
      <c r="O34" s="24"/>
      <c r="P34" s="19" t="str">
        <f t="shared" si="0"/>
        <v/>
      </c>
      <c r="Q34" s="19" t="str">
        <f ca="1">IFERROR(__xludf.DUMMYFUNCTION("IMPORTXML(AI34, ""//li[strong[text()='US Units:']]"")"),"Loading...")</f>
        <v>Loading...</v>
      </c>
      <c r="R34" s="24"/>
      <c r="S34" s="19" t="str">
        <f ca="1">IFERROR(__xludf.DUMMYFUNCTION("IMPORTXML(AI34, ""//li[strong[text()='International Units:']]"")"),"Loading...")</f>
        <v>Loading...</v>
      </c>
      <c r="T34" s="44"/>
      <c r="U34" s="19" t="str">
        <f ca="1">IFERROR(__xludf.DUMMYFUNCTION("IMPORTXML(AI34, ""//li[strong[text()='Percent Franchised:']]"")"),"Loading...")</f>
        <v>Loading...</v>
      </c>
      <c r="V34" s="24"/>
      <c r="W34" s="19" t="str">
        <f ca="1">IFERROR(__xludf.DUMMYFUNCTION("IMPORTXML(AI34, ""//li[strong[text()='% International Units:']]"")"),"Loading...")</f>
        <v>Loading...</v>
      </c>
      <c r="X34" s="24"/>
      <c r="Y34" s="19" t="str">
        <f ca="1">IFERROR(__xludf.DUMMYFUNCTION("IMPORTXML(AI34, ""//li[strong[text()='US Franchised Units:']]"")"),"Loading...")</f>
        <v>Loading...</v>
      </c>
      <c r="Z34" s="24"/>
      <c r="AA34" s="14" t="str">
        <f t="shared" si="1"/>
        <v/>
      </c>
      <c r="AB34" s="19" t="str">
        <f ca="1">IFERROR(__xludf.DUMMYFUNCTION("IMPORTXML(AI34, ""//li[strong[text()='International Franchised Units:']]"")"),"Loading...")</f>
        <v>Loading...</v>
      </c>
      <c r="AC34" s="24"/>
      <c r="AD34" s="14" t="str">
        <f t="shared" si="2"/>
        <v/>
      </c>
      <c r="AE34" s="25" t="str">
        <f ca="1">IFERROR(__xludf.DUMMYFUNCTION("IMPORTXML(AI34, ""//li[strong[text()='Sales Growth %:']]"")"),"Loading...")</f>
        <v>Loading...</v>
      </c>
      <c r="AF34" s="24"/>
      <c r="AG34" s="25" t="str">
        <f ca="1">IFERROR(__xludf.DUMMYFUNCTION("IMPORTXML(AI34, ""//li[strong[text()='Unit Growth %:']]"")"),"Loading...")</f>
        <v>Loading...</v>
      </c>
      <c r="AH34" s="25"/>
      <c r="AI34" s="48" t="s">
        <v>50</v>
      </c>
      <c r="AJ34" s="27"/>
      <c r="AK34" s="27"/>
      <c r="AL34" s="27"/>
      <c r="AM34" s="27"/>
      <c r="AN34" s="27"/>
      <c r="AO34" s="27"/>
      <c r="AP34" s="27"/>
      <c r="AQ34" s="27"/>
    </row>
    <row r="35" spans="1:43" ht="14.25" customHeight="1">
      <c r="A35" s="42">
        <v>24.033999999999999</v>
      </c>
      <c r="B35" s="14">
        <v>2024</v>
      </c>
      <c r="C35" s="36">
        <v>34</v>
      </c>
      <c r="D35" s="16" t="str">
        <f ca="1">IFERROR(__xludf.DUMMYFUNCTION("IMPORTXML(AI35, ""//h1[@itemprop='headline']/span"")"),"34. Jersey Mike’s Subs")</f>
        <v>34. Jersey Mike’s Subs</v>
      </c>
      <c r="E35" s="17" t="str">
        <f ca="1">IFERROR(__xludf.DUMMYFUNCTION("REGEXEXTRACT(D35, ""\.\s*(.+)"")"),"Jersey Mike’s Subs")</f>
        <v>Jersey Mike’s Subs</v>
      </c>
      <c r="F35" s="18" t="str">
        <f ca="1">IFERROR(__xludf.DUMMYFUNCTION("IMPORTXML(AI35, ""//li[strong[text()='Investment Range:']]"")"),"Investment Range:")</f>
        <v>Investment Range:</v>
      </c>
      <c r="G35" s="43" t="str">
        <f ca="1">IFERROR(__xludf.DUMMYFUNCTION("""COMPUTED_VALUE""")," $203,583 - $1,317,005")</f>
        <v xml:space="preserve"> $203,583 - $1,317,005</v>
      </c>
      <c r="H35" s="18" t="str">
        <f ca="1">IFERROR(__xludf.DUMMYFUNCTION("SUBSTITUTE(REGEXEXTRACT(G35, ""\$(\d{1,3}(?:,\d{3})*)""), "","", ""."")
"),"203.583")</f>
        <v>203.583</v>
      </c>
      <c r="I35" s="19" t="str">
        <f ca="1">IFERROR(__xludf.DUMMYFUNCTION("SUBSTITUTE(REGEXEXTRACT(G35, ""-\s*\$(\d{1,3}(?:,\d{3})*)""), "","", ""."")
"),"1.317.005")</f>
        <v>1.317.005</v>
      </c>
      <c r="J35" s="19" t="str">
        <f ca="1">IFERROR(__xludf.DUMMYFUNCTION("IMPORTXML(AI35, ""//li[strong[text()='Initial Investment:']]"")"),"Loading...")</f>
        <v>Loading...</v>
      </c>
      <c r="K35" s="24"/>
      <c r="L35" s="20" t="str">
        <f ca="1">IFERROR(__xludf.DUMMYFUNCTION("IMPORTXML(AI35, ""//li[strong[text()='Category:']]"")"),"Loading...")</f>
        <v>Loading...</v>
      </c>
      <c r="M35" s="24"/>
      <c r="N35" s="19" t="str">
        <f ca="1">IFERROR(__xludf.DUMMYFUNCTION("IMPORTXML(AI35, ""//li[strong[text()='Global Sales:']]"")"),"Loading...")</f>
        <v>Loading...</v>
      </c>
      <c r="O35" s="24"/>
      <c r="P35" s="19" t="str">
        <f t="shared" si="0"/>
        <v/>
      </c>
      <c r="Q35" s="19" t="str">
        <f ca="1">IFERROR(__xludf.DUMMYFUNCTION("IMPORTXML(AI35, ""//li[strong[text()='US Units:']]"")"),"Loading...")</f>
        <v>Loading...</v>
      </c>
      <c r="R35" s="24"/>
      <c r="S35" s="19" t="str">
        <f ca="1">IFERROR(__xludf.DUMMYFUNCTION("IMPORTXML(AI35, ""//li[strong[text()='International Units:']]"")"),"Loading...")</f>
        <v>Loading...</v>
      </c>
      <c r="T35" s="44"/>
      <c r="U35" s="19" t="str">
        <f ca="1">IFERROR(__xludf.DUMMYFUNCTION("IMPORTXML(AI35, ""//li[strong[text()='Percent Franchised:']]"")"),"Loading...")</f>
        <v>Loading...</v>
      </c>
      <c r="V35" s="24"/>
      <c r="W35" s="19" t="str">
        <f ca="1">IFERROR(__xludf.DUMMYFUNCTION("IMPORTXML(AI35, ""//li[strong[text()='% International Units:']]"")"),"Loading...")</f>
        <v>Loading...</v>
      </c>
      <c r="X35" s="24"/>
      <c r="Y35" s="19" t="str">
        <f ca="1">IFERROR(__xludf.DUMMYFUNCTION("IMPORTXML(AI35, ""//li[strong[text()='US Franchised Units:']]"")"),"Loading...")</f>
        <v>Loading...</v>
      </c>
      <c r="Z35" s="24"/>
      <c r="AA35" s="14" t="str">
        <f t="shared" si="1"/>
        <v/>
      </c>
      <c r="AB35" s="19" t="str">
        <f ca="1">IFERROR(__xludf.DUMMYFUNCTION("IMPORTXML(AI35, ""//li[strong[text()='International Franchised Units:']]"")"),"Loading...")</f>
        <v>Loading...</v>
      </c>
      <c r="AC35" s="24"/>
      <c r="AD35" s="14" t="str">
        <f t="shared" si="2"/>
        <v/>
      </c>
      <c r="AE35" s="25" t="str">
        <f ca="1">IFERROR(__xludf.DUMMYFUNCTION("IMPORTXML(AI35, ""//li[strong[text()='Sales Growth %:']]"")"),"Loading...")</f>
        <v>Loading...</v>
      </c>
      <c r="AF35" s="24"/>
      <c r="AG35" s="25" t="str">
        <f ca="1">IFERROR(__xludf.DUMMYFUNCTION("IMPORTXML(AI35, ""//li[strong[text()='Unit Growth %:']]"")"),"Loading...")</f>
        <v>Loading...</v>
      </c>
      <c r="AH35" s="25"/>
      <c r="AI35" s="48" t="s">
        <v>51</v>
      </c>
      <c r="AJ35" s="27"/>
      <c r="AK35" s="27"/>
      <c r="AL35" s="27"/>
      <c r="AM35" s="27"/>
      <c r="AN35" s="27"/>
      <c r="AO35" s="27"/>
      <c r="AP35" s="27"/>
      <c r="AQ35" s="27"/>
    </row>
    <row r="36" spans="1:43" ht="14.25" customHeight="1">
      <c r="A36" s="42">
        <v>24.035</v>
      </c>
      <c r="B36" s="14">
        <v>2024</v>
      </c>
      <c r="C36" s="36">
        <v>35</v>
      </c>
      <c r="D36" s="16" t="str">
        <f ca="1">IFERROR(__xludf.DUMMYFUNCTION("IMPORTXML(AI36, ""//h1[@itemprop='headline']/span"")"),"35. Culver’s Butterburgers &amp; Frozen Custard")</f>
        <v>35. Culver’s Butterburgers &amp; Frozen Custard</v>
      </c>
      <c r="E36" s="17" t="str">
        <f ca="1">IFERROR(__xludf.DUMMYFUNCTION("REGEXEXTRACT(D36, ""\.\s*(.+)"")"),"Culver’s Butterburgers &amp; Frozen Custard")</f>
        <v>Culver’s Butterburgers &amp; Frozen Custard</v>
      </c>
      <c r="F36" s="18" t="str">
        <f ca="1">IFERROR(__xludf.DUMMYFUNCTION("IMPORTXML(AI36, ""//li[strong[text()='Investment Range:']]"")"),"Investment Range:")</f>
        <v>Investment Range:</v>
      </c>
      <c r="G36" s="43" t="str">
        <f ca="1">IFERROR(__xludf.DUMMYFUNCTION("""COMPUTED_VALUE""")," $2,811,500 - $6,867,000")</f>
        <v xml:space="preserve"> $2,811,500 - $6,867,000</v>
      </c>
      <c r="H36" s="18" t="str">
        <f ca="1">IFERROR(__xludf.DUMMYFUNCTION("SUBSTITUTE(REGEXEXTRACT(G36, ""\$(\d{1,3}(?:,\d{3})*)""), "","", ""."")
"),"2.811.500")</f>
        <v>2.811.500</v>
      </c>
      <c r="I36" s="19" t="str">
        <f ca="1">IFERROR(__xludf.DUMMYFUNCTION("SUBSTITUTE(REGEXEXTRACT(G36, ""-\s*\$(\d{1,3}(?:,\d{3})*)""), "","", ""."")
"),"6.867.000")</f>
        <v>6.867.000</v>
      </c>
      <c r="J36" s="19" t="str">
        <f ca="1">IFERROR(__xludf.DUMMYFUNCTION("IMPORTXML(AI36, ""//li[strong[text()='Initial Investment:']]"")"),"Loading...")</f>
        <v>Loading...</v>
      </c>
      <c r="K36" s="24"/>
      <c r="L36" s="20" t="str">
        <f ca="1">IFERROR(__xludf.DUMMYFUNCTION("IMPORTXML(AI36, ""//li[strong[text()='Category:']]"")"),"Loading...")</f>
        <v>Loading...</v>
      </c>
      <c r="M36" s="24"/>
      <c r="N36" s="19" t="str">
        <f ca="1">IFERROR(__xludf.DUMMYFUNCTION("IMPORTXML(AI36, ""//li[strong[text()='Global Sales:']]"")"),"Loading...")</f>
        <v>Loading...</v>
      </c>
      <c r="O36" s="24"/>
      <c r="P36" s="19" t="str">
        <f t="shared" si="0"/>
        <v/>
      </c>
      <c r="Q36" s="19" t="str">
        <f ca="1">IFERROR(__xludf.DUMMYFUNCTION("IMPORTXML(AI36, ""//li[strong[text()='US Units:']]"")"),"Loading...")</f>
        <v>Loading...</v>
      </c>
      <c r="R36" s="24"/>
      <c r="S36" s="19" t="str">
        <f ca="1">IFERROR(__xludf.DUMMYFUNCTION("IMPORTXML(AI36, ""//li[strong[text()='International Units:']]"")"),"Loading...")</f>
        <v>Loading...</v>
      </c>
      <c r="T36" s="44"/>
      <c r="U36" s="19" t="str">
        <f ca="1">IFERROR(__xludf.DUMMYFUNCTION("IMPORTXML(AI36, ""//li[strong[text()='Percent Franchised:']]"")"),"Loading...")</f>
        <v>Loading...</v>
      </c>
      <c r="V36" s="24"/>
      <c r="W36" s="19" t="str">
        <f ca="1">IFERROR(__xludf.DUMMYFUNCTION("IMPORTXML(AI36, ""//li[strong[text()='% International Units:']]"")"),"Loading...")</f>
        <v>Loading...</v>
      </c>
      <c r="X36" s="24"/>
      <c r="Y36" s="19" t="str">
        <f ca="1">IFERROR(__xludf.DUMMYFUNCTION("IMPORTXML(AI36, ""//li[strong[text()='US Franchised Units:']]"")"),"Loading...")</f>
        <v>Loading...</v>
      </c>
      <c r="Z36" s="24"/>
      <c r="AA36" s="14" t="str">
        <f t="shared" si="1"/>
        <v/>
      </c>
      <c r="AB36" s="19" t="str">
        <f ca="1">IFERROR(__xludf.DUMMYFUNCTION("IMPORTXML(AI36, ""//li[strong[text()='International Franchised Units:']]"")"),"Loading...")</f>
        <v>Loading...</v>
      </c>
      <c r="AC36" s="24"/>
      <c r="AD36" s="14" t="str">
        <f t="shared" si="2"/>
        <v/>
      </c>
      <c r="AE36" s="25" t="str">
        <f ca="1">IFERROR(__xludf.DUMMYFUNCTION("IMPORTXML(AI36, ""//li[strong[text()='Sales Growth %:']]"")"),"Loading...")</f>
        <v>Loading...</v>
      </c>
      <c r="AF36" s="24"/>
      <c r="AG36" s="25" t="str">
        <f ca="1">IFERROR(__xludf.DUMMYFUNCTION("IMPORTXML(AI36, ""//li[strong[text()='Unit Growth %:']]"")"),"Loading...")</f>
        <v>Loading...</v>
      </c>
      <c r="AH36" s="25"/>
      <c r="AI36" s="48" t="s">
        <v>52</v>
      </c>
      <c r="AJ36" s="27"/>
      <c r="AK36" s="27"/>
      <c r="AL36" s="27"/>
      <c r="AM36" s="27"/>
      <c r="AN36" s="27"/>
      <c r="AO36" s="27"/>
      <c r="AP36" s="27"/>
      <c r="AQ36" s="27"/>
    </row>
    <row r="37" spans="1:43" ht="14.25" customHeight="1">
      <c r="A37" s="42">
        <v>24.036000000000001</v>
      </c>
      <c r="B37" s="14">
        <v>2024</v>
      </c>
      <c r="C37" s="15">
        <v>36</v>
      </c>
      <c r="D37" s="16" t="str">
        <f ca="1">IFERROR(__xludf.DUMMYFUNCTION("IMPORTXML(AI37, ""//h1[@itemprop='headline']/span"")"),"36. Berkshire Hathaway HomeServices")</f>
        <v>36. Berkshire Hathaway HomeServices</v>
      </c>
      <c r="E37" s="17" t="str">
        <f ca="1">IFERROR(__xludf.DUMMYFUNCTION("REGEXEXTRACT(D37, ""\.\s*(.+)"")"),"Berkshire Hathaway HomeServices")</f>
        <v>Berkshire Hathaway HomeServices</v>
      </c>
      <c r="F37" s="18" t="str">
        <f ca="1">IFERROR(__xludf.DUMMYFUNCTION("IMPORTXML(AI37, ""//li[strong[text()='Investment Range:']]"")"),"Investment Range:")</f>
        <v>Investment Range:</v>
      </c>
      <c r="G37" s="43" t="str">
        <f ca="1">IFERROR(__xludf.DUMMYFUNCTION("""COMPUTED_VALUE""")," $45,300 - $90,375")</f>
        <v xml:space="preserve"> $45,300 - $90,375</v>
      </c>
      <c r="H37" s="18" t="str">
        <f ca="1">IFERROR(__xludf.DUMMYFUNCTION("SUBSTITUTE(REGEXEXTRACT(G37, ""\$(\d{1,3}(?:,\d{3})*)""), "","", ""."")
"),"45.300")</f>
        <v>45.300</v>
      </c>
      <c r="I37" s="19" t="str">
        <f ca="1">IFERROR(__xludf.DUMMYFUNCTION("SUBSTITUTE(REGEXEXTRACT(G37, ""-\s*\$(\d{1,3}(?:,\d{3})*)""), "","", ""."")
"),"90.375")</f>
        <v>90.375</v>
      </c>
      <c r="J37" s="19" t="str">
        <f ca="1">IFERROR(__xludf.DUMMYFUNCTION("IMPORTXML(AI37, ""//li[strong[text()='Initial Investment:']]"")"),"Loading...")</f>
        <v>Loading...</v>
      </c>
      <c r="K37" s="24"/>
      <c r="L37" s="20" t="str">
        <f ca="1">IFERROR(__xludf.DUMMYFUNCTION("IMPORTXML(AI37, ""//li[strong[text()='Category:']]"")"),"Loading...")</f>
        <v>Loading...</v>
      </c>
      <c r="M37" s="24"/>
      <c r="N37" s="19" t="str">
        <f ca="1">IFERROR(__xludf.DUMMYFUNCTION("IMPORTXML(AI37, ""//li[strong[text()='Global Sales:']]"")"),"Loading...")</f>
        <v>Loading...</v>
      </c>
      <c r="O37" s="24"/>
      <c r="P37" s="19" t="str">
        <f t="shared" si="0"/>
        <v/>
      </c>
      <c r="Q37" s="19" t="str">
        <f ca="1">IFERROR(__xludf.DUMMYFUNCTION("IMPORTXML(AI37, ""//li[strong[text()='US Units:']]"")"),"Loading...")</f>
        <v>Loading...</v>
      </c>
      <c r="R37" s="24"/>
      <c r="S37" s="19" t="str">
        <f ca="1">IFERROR(__xludf.DUMMYFUNCTION("IMPORTXML(AI37, ""//li[strong[text()='International Units:']]"")"),"International Units:")</f>
        <v>International Units:</v>
      </c>
      <c r="T37" s="44">
        <f ca="1">IFERROR(__xludf.DUMMYFUNCTION("""COMPUTED_VALUE"""),52)</f>
        <v>52</v>
      </c>
      <c r="U37" s="19" t="str">
        <f ca="1">IFERROR(__xludf.DUMMYFUNCTION("IMPORTXML(AI37, ""//li[strong[text()='Percent Franchised:']]"")"),"Loading...")</f>
        <v>Loading...</v>
      </c>
      <c r="V37" s="24"/>
      <c r="W37" s="19" t="str">
        <f ca="1">IFERROR(__xludf.DUMMYFUNCTION("IMPORTXML(AI37, ""//li[strong[text()='% International Units:']]"")"),"Loading...")</f>
        <v>Loading...</v>
      </c>
      <c r="X37" s="24"/>
      <c r="Y37" s="19" t="str">
        <f ca="1">IFERROR(__xludf.DUMMYFUNCTION("IMPORTXML(AI37, ""//li[strong[text()='US Franchised Units:']]"")"),"Loading...")</f>
        <v>Loading...</v>
      </c>
      <c r="Z37" s="24"/>
      <c r="AA37" s="14" t="str">
        <f t="shared" si="1"/>
        <v/>
      </c>
      <c r="AB37" s="19" t="str">
        <f ca="1">IFERROR(__xludf.DUMMYFUNCTION("IMPORTXML(AI37, ""//li[strong[text()='International Franchised Units:']]"")"),"Loading...")</f>
        <v>Loading...</v>
      </c>
      <c r="AC37" s="24"/>
      <c r="AD37" s="14" t="str">
        <f t="shared" si="2"/>
        <v/>
      </c>
      <c r="AE37" s="25" t="str">
        <f ca="1">IFERROR(__xludf.DUMMYFUNCTION("IMPORTXML(AI37, ""//li[strong[text()='Sales Growth %:']]"")"),"Loading...")</f>
        <v>Loading...</v>
      </c>
      <c r="AF37" s="24"/>
      <c r="AG37" s="25" t="str">
        <f ca="1">IFERROR(__xludf.DUMMYFUNCTION("IMPORTXML(AI37, ""//li[strong[text()='Unit Growth %:']]"")"),"Unit Growth %:")</f>
        <v>Unit Growth %:</v>
      </c>
      <c r="AH37" s="25" t="str">
        <f ca="1">IFERROR(__xludf.DUMMYFUNCTION("""COMPUTED_VALUE""")," 2.1%")</f>
        <v xml:space="preserve"> 2.1%</v>
      </c>
      <c r="AI37" s="48" t="s">
        <v>53</v>
      </c>
      <c r="AJ37" s="27"/>
      <c r="AK37" s="27"/>
      <c r="AL37" s="27"/>
      <c r="AM37" s="27"/>
      <c r="AN37" s="27"/>
      <c r="AO37" s="27"/>
      <c r="AP37" s="27"/>
      <c r="AQ37" s="27"/>
    </row>
    <row r="38" spans="1:43" ht="14.25" customHeight="1">
      <c r="A38" s="42">
        <v>24.036999999999999</v>
      </c>
      <c r="B38" s="14">
        <v>2024</v>
      </c>
      <c r="C38" s="32">
        <v>37</v>
      </c>
      <c r="D38" s="16" t="str">
        <f ca="1">IFERROR(__xludf.DUMMYFUNCTION("IMPORTXML(AI38, ""//h1[@itemprop='headline']/span"")"),"37. Five Guys")</f>
        <v>37. Five Guys</v>
      </c>
      <c r="E38" s="17" t="str">
        <f ca="1">IFERROR(__xludf.DUMMYFUNCTION("REGEXEXTRACT(D38, ""\.\s*(.+)"")"),"Five Guys")</f>
        <v>Five Guys</v>
      </c>
      <c r="F38" s="18" t="str">
        <f ca="1">IFERROR(__xludf.DUMMYFUNCTION("IMPORTXML(AI38, ""//li[strong[text()='Investment Range:']]"")"),"Investment Range:")</f>
        <v>Investment Range:</v>
      </c>
      <c r="G38" s="43" t="str">
        <f ca="1">IFERROR(__xludf.DUMMYFUNCTION("""COMPUTED_VALUE""")," $256,200 - $591,250")</f>
        <v xml:space="preserve"> $256,200 - $591,250</v>
      </c>
      <c r="H38" s="18" t="str">
        <f ca="1">IFERROR(__xludf.DUMMYFUNCTION("SUBSTITUTE(REGEXEXTRACT(G38, ""\$(\d{1,3}(?:,\d{3})*)""), "","", ""."")
"),"256.200")</f>
        <v>256.200</v>
      </c>
      <c r="I38" s="19" t="str">
        <f ca="1">IFERROR(__xludf.DUMMYFUNCTION("SUBSTITUTE(REGEXEXTRACT(G38, ""-\s*\$(\d{1,3}(?:,\d{3})*)""), "","", ""."")
"),"591.250")</f>
        <v>591.250</v>
      </c>
      <c r="J38" s="19" t="str">
        <f ca="1">IFERROR(__xludf.DUMMYFUNCTION("IMPORTXML(AI38, ""//li[strong[text()='Initial Investment:']]"")"),"Loading...")</f>
        <v>Loading...</v>
      </c>
      <c r="K38" s="24"/>
      <c r="L38" s="20" t="str">
        <f ca="1">IFERROR(__xludf.DUMMYFUNCTION("IMPORTXML(AI38, ""//li[strong[text()='Category:']]"")"),"Loading...")</f>
        <v>Loading...</v>
      </c>
      <c r="M38" s="24"/>
      <c r="N38" s="19" t="str">
        <f ca="1">IFERROR(__xludf.DUMMYFUNCTION("IMPORTXML(AI38, ""//li[strong[text()='Global Sales:']]"")"),"Loading...")</f>
        <v>Loading...</v>
      </c>
      <c r="O38" s="24"/>
      <c r="P38" s="19" t="str">
        <f t="shared" si="0"/>
        <v/>
      </c>
      <c r="Q38" s="19" t="str">
        <f ca="1">IFERROR(__xludf.DUMMYFUNCTION("IMPORTXML(AI38, ""//li[strong[text()='US Units:']]"")"),"Loading...")</f>
        <v>Loading...</v>
      </c>
      <c r="R38" s="24"/>
      <c r="S38" s="19" t="str">
        <f ca="1">IFERROR(__xludf.DUMMYFUNCTION("IMPORTXML(AI38, ""//li[strong[text()='International Units:']]"")"),"Loading...")</f>
        <v>Loading...</v>
      </c>
      <c r="T38" s="44"/>
      <c r="U38" s="19" t="str">
        <f ca="1">IFERROR(__xludf.DUMMYFUNCTION("IMPORTXML(AI38, ""//li[strong[text()='Percent Franchised:']]"")"),"Loading...")</f>
        <v>Loading...</v>
      </c>
      <c r="V38" s="24"/>
      <c r="W38" s="19" t="str">
        <f ca="1">IFERROR(__xludf.DUMMYFUNCTION("IMPORTXML(AI38, ""//li[strong[text()='% International Units:']]"")"),"Loading...")</f>
        <v>Loading...</v>
      </c>
      <c r="X38" s="24"/>
      <c r="Y38" s="19" t="str">
        <f ca="1">IFERROR(__xludf.DUMMYFUNCTION("IMPORTXML(AI38, ""//li[strong[text()='US Franchised Units:']]"")"),"Loading...")</f>
        <v>Loading...</v>
      </c>
      <c r="Z38" s="24"/>
      <c r="AA38" s="14" t="str">
        <f t="shared" si="1"/>
        <v/>
      </c>
      <c r="AB38" s="19" t="str">
        <f ca="1">IFERROR(__xludf.DUMMYFUNCTION("IMPORTXML(AI38, ""//li[strong[text()='International Franchised Units:']]"")"),"Loading...")</f>
        <v>Loading...</v>
      </c>
      <c r="AC38" s="24"/>
      <c r="AD38" s="14" t="str">
        <f t="shared" si="2"/>
        <v/>
      </c>
      <c r="AE38" s="25" t="str">
        <f ca="1">IFERROR(__xludf.DUMMYFUNCTION("IMPORTXML(AI38, ""//li[strong[text()='Sales Growth %:']]"")"),"Loading...")</f>
        <v>Loading...</v>
      </c>
      <c r="AF38" s="24"/>
      <c r="AG38" s="25" t="str">
        <f ca="1">IFERROR(__xludf.DUMMYFUNCTION("IMPORTXML(AI38, ""//li[strong[text()='Unit Growth %:']]"")"),"Loading...")</f>
        <v>Loading...</v>
      </c>
      <c r="AH38" s="25"/>
      <c r="AI38" s="48" t="s">
        <v>54</v>
      </c>
      <c r="AJ38" s="27"/>
      <c r="AK38" s="27"/>
      <c r="AL38" s="27"/>
      <c r="AM38" s="27"/>
      <c r="AN38" s="27"/>
      <c r="AO38" s="27"/>
      <c r="AP38" s="27"/>
      <c r="AQ38" s="27"/>
    </row>
    <row r="39" spans="1:43" ht="14.25" customHeight="1">
      <c r="A39" s="42">
        <v>24.038</v>
      </c>
      <c r="B39" s="14">
        <v>2024</v>
      </c>
      <c r="C39" s="36">
        <v>38</v>
      </c>
      <c r="D39" s="16" t="str">
        <f ca="1">IFERROR(__xludf.DUMMYFUNCTION("IMPORTXML(AI39, ""//h1[@itemprop='headline']/span"")"),"38. Denny’s")</f>
        <v>38. Denny’s</v>
      </c>
      <c r="E39" s="17" t="str">
        <f ca="1">IFERROR(__xludf.DUMMYFUNCTION("REGEXEXTRACT(D39, ""\.\s*(.+)"")"),"Denny’s")</f>
        <v>Denny’s</v>
      </c>
      <c r="F39" s="18" t="str">
        <f ca="1">IFERROR(__xludf.DUMMYFUNCTION("IMPORTXML(AI39, ""//li[strong[text()='Investment Range:']]"")"),"Investment Range:")</f>
        <v>Investment Range:</v>
      </c>
      <c r="G39" s="43" t="str">
        <f ca="1">IFERROR(__xludf.DUMMYFUNCTION("""COMPUTED_VALUE""")," $1,515,000 - $2,700,000")</f>
        <v xml:space="preserve"> $1,515,000 - $2,700,000</v>
      </c>
      <c r="H39" s="18" t="str">
        <f ca="1">IFERROR(__xludf.DUMMYFUNCTION("SUBSTITUTE(REGEXEXTRACT(G39, ""\$(\d{1,3}(?:,\d{3})*)""), "","", ""."")
"),"1.515.000")</f>
        <v>1.515.000</v>
      </c>
      <c r="I39" s="19" t="str">
        <f ca="1">IFERROR(__xludf.DUMMYFUNCTION("SUBSTITUTE(REGEXEXTRACT(G39, ""-\s*\$(\d{1,3}(?:,\d{3})*)""), "","", ""."")
"),"2.700.000")</f>
        <v>2.700.000</v>
      </c>
      <c r="J39" s="19" t="str">
        <f ca="1">IFERROR(__xludf.DUMMYFUNCTION("IMPORTXML(AI39, ""//li[strong[text()='Initial Investment:']]"")"),"Loading...")</f>
        <v>Loading...</v>
      </c>
      <c r="K39" s="24"/>
      <c r="L39" s="20" t="str">
        <f ca="1">IFERROR(__xludf.DUMMYFUNCTION("IMPORTXML(AI39, ""//li[strong[text()='Category:']]"")"),"Loading...")</f>
        <v>Loading...</v>
      </c>
      <c r="M39" s="24"/>
      <c r="N39" s="19" t="str">
        <f ca="1">IFERROR(__xludf.DUMMYFUNCTION("IMPORTXML(AI39, ""//li[strong[text()='Global Sales:']]"")"),"Loading...")</f>
        <v>Loading...</v>
      </c>
      <c r="O39" s="24"/>
      <c r="P39" s="19" t="str">
        <f t="shared" si="0"/>
        <v/>
      </c>
      <c r="Q39" s="19" t="str">
        <f ca="1">IFERROR(__xludf.DUMMYFUNCTION("IMPORTXML(AI39, ""//li[strong[text()='US Units:']]"")"),"Loading...")</f>
        <v>Loading...</v>
      </c>
      <c r="R39" s="24"/>
      <c r="S39" s="19" t="str">
        <f ca="1">IFERROR(__xludf.DUMMYFUNCTION("IMPORTXML(AI39, ""//li[strong[text()='International Units:']]"")"),"Loading...")</f>
        <v>Loading...</v>
      </c>
      <c r="T39" s="44"/>
      <c r="U39" s="19" t="str">
        <f ca="1">IFERROR(__xludf.DUMMYFUNCTION("IMPORTXML(AI39, ""//li[strong[text()='Percent Franchised:']]"")"),"Loading...")</f>
        <v>Loading...</v>
      </c>
      <c r="V39" s="24"/>
      <c r="W39" s="19" t="str">
        <f ca="1">IFERROR(__xludf.DUMMYFUNCTION("IMPORTXML(AI39, ""//li[strong[text()='% International Units:']]"")"),"Loading...")</f>
        <v>Loading...</v>
      </c>
      <c r="X39" s="24"/>
      <c r="Y39" s="19" t="str">
        <f ca="1">IFERROR(__xludf.DUMMYFUNCTION("IMPORTXML(AI39, ""//li[strong[text()='US Franchised Units:']]"")"),"US Franchised Units:")</f>
        <v>US Franchised Units:</v>
      </c>
      <c r="Z39" s="24">
        <f ca="1">IFERROR(__xludf.DUMMYFUNCTION("""COMPUTED_VALUE"""),1.342)</f>
        <v>1.3420000000000001</v>
      </c>
      <c r="AA39" s="14" t="str">
        <f t="shared" ca="1" si="1"/>
        <v>1.342</v>
      </c>
      <c r="AB39" s="19" t="str">
        <f ca="1">IFERROR(__xludf.DUMMYFUNCTION("IMPORTXML(AI39, ""//li[strong[text()='International Franchised Units:']]"")"),"Loading...")</f>
        <v>Loading...</v>
      </c>
      <c r="AC39" s="24"/>
      <c r="AD39" s="14" t="str">
        <f t="shared" si="2"/>
        <v/>
      </c>
      <c r="AE39" s="25" t="str">
        <f ca="1">IFERROR(__xludf.DUMMYFUNCTION("IMPORTXML(AI39, ""//li[strong[text()='Sales Growth %:']]"")"),"Loading...")</f>
        <v>Loading...</v>
      </c>
      <c r="AF39" s="24"/>
      <c r="AG39" s="25" t="str">
        <f ca="1">IFERROR(__xludf.DUMMYFUNCTION("IMPORTXML(AI39, ""//li[strong[text()='Unit Growth %:']]"")"),"Loading...")</f>
        <v>Loading...</v>
      </c>
      <c r="AH39" s="25"/>
      <c r="AI39" s="48" t="s">
        <v>55</v>
      </c>
      <c r="AJ39" s="27"/>
      <c r="AK39" s="27"/>
      <c r="AL39" s="27"/>
      <c r="AM39" s="27"/>
      <c r="AN39" s="27"/>
      <c r="AO39" s="27"/>
      <c r="AP39" s="27"/>
      <c r="AQ39" s="27"/>
    </row>
    <row r="40" spans="1:43" ht="14.25" customHeight="1">
      <c r="A40" s="42">
        <v>24.039000000000001</v>
      </c>
      <c r="B40" s="14">
        <v>2024</v>
      </c>
      <c r="C40" s="36">
        <v>39</v>
      </c>
      <c r="D40" s="16" t="str">
        <f ca="1">IFERROR(__xludf.DUMMYFUNCTION("IMPORTXML(AI40, ""//h1[@itemprop='headline']/span"")"),"39. Paris Baguette")</f>
        <v>39. Paris Baguette</v>
      </c>
      <c r="E40" s="17" t="str">
        <f ca="1">IFERROR(__xludf.DUMMYFUNCTION("REGEXEXTRACT(D40, ""\.\s*(.+)"")"),"Paris Baguette")</f>
        <v>Paris Baguette</v>
      </c>
      <c r="F40" s="18" t="str">
        <f ca="1">IFERROR(__xludf.DUMMYFUNCTION("IMPORTXML(AI40, ""//li[strong[text()='Investment Range:']]"")"),"Investment Range:")</f>
        <v>Investment Range:</v>
      </c>
      <c r="G40" s="43" t="str">
        <f ca="1">IFERROR(__xludf.DUMMYFUNCTION("""COMPUTED_VALUE""")," $718,065 - $1,801,600")</f>
        <v xml:space="preserve"> $718,065 - $1,801,600</v>
      </c>
      <c r="H40" s="18" t="str">
        <f ca="1">IFERROR(__xludf.DUMMYFUNCTION("SUBSTITUTE(REGEXEXTRACT(G40, ""\$(\d{1,3}(?:,\d{3})*)""), "","", ""."")
"),"718.065")</f>
        <v>718.065</v>
      </c>
      <c r="I40" s="19" t="str">
        <f ca="1">IFERROR(__xludf.DUMMYFUNCTION("SUBSTITUTE(REGEXEXTRACT(G40, ""-\s*\$(\d{1,3}(?:,\d{3})*)""), "","", ""."")
"),"1.801.600")</f>
        <v>1.801.600</v>
      </c>
      <c r="J40" s="19" t="str">
        <f ca="1">IFERROR(__xludf.DUMMYFUNCTION("IMPORTXML(AI40, ""//li[strong[text()='Initial Investment:']]"")"),"Loading...")</f>
        <v>Loading...</v>
      </c>
      <c r="K40" s="24"/>
      <c r="L40" s="20" t="str">
        <f ca="1">IFERROR(__xludf.DUMMYFUNCTION("IMPORTXML(AI40, ""//li[strong[text()='Category:']]"")"),"Loading...")</f>
        <v>Loading...</v>
      </c>
      <c r="M40" s="24"/>
      <c r="N40" s="19" t="str">
        <f ca="1">IFERROR(__xludf.DUMMYFUNCTION("IMPORTXML(AI40, ""//li[strong[text()='Global Sales:']]"")"),"Loading...")</f>
        <v>Loading...</v>
      </c>
      <c r="O40" s="24"/>
      <c r="P40" s="19" t="str">
        <f t="shared" si="0"/>
        <v/>
      </c>
      <c r="Q40" s="19" t="str">
        <f ca="1">IFERROR(__xludf.DUMMYFUNCTION("IMPORTXML(AI40, ""//li[strong[text()='US Units:']]"")"),"Loading...")</f>
        <v>Loading...</v>
      </c>
      <c r="R40" s="24"/>
      <c r="S40" s="19" t="str">
        <f ca="1">IFERROR(__xludf.DUMMYFUNCTION("IMPORTXML(AI40, ""//li[strong[text()='International Units:']]"")"),"Loading...")</f>
        <v>Loading...</v>
      </c>
      <c r="T40" s="44"/>
      <c r="U40" s="19" t="str">
        <f ca="1">IFERROR(__xludf.DUMMYFUNCTION("IMPORTXML(AI40, ""//li[strong[text()='Percent Franchised:']]"")"),"Loading...")</f>
        <v>Loading...</v>
      </c>
      <c r="V40" s="24"/>
      <c r="W40" s="19" t="str">
        <f ca="1">IFERROR(__xludf.DUMMYFUNCTION("IMPORTXML(AI40, ""//li[strong[text()='% International Units:']]"")"),"Loading...")</f>
        <v>Loading...</v>
      </c>
      <c r="X40" s="24"/>
      <c r="Y40" s="19" t="str">
        <f ca="1">IFERROR(__xludf.DUMMYFUNCTION("IMPORTXML(AI40, ""//li[strong[text()='US Franchised Units:']]"")"),"Loading...")</f>
        <v>Loading...</v>
      </c>
      <c r="Z40" s="24"/>
      <c r="AA40" s="14" t="str">
        <f t="shared" si="1"/>
        <v/>
      </c>
      <c r="AB40" s="19" t="str">
        <f ca="1">IFERROR(__xludf.DUMMYFUNCTION("IMPORTXML(AI40, ""//li[strong[text()='International Franchised Units:']]"")"),"Loading...")</f>
        <v>Loading...</v>
      </c>
      <c r="AC40" s="24"/>
      <c r="AD40" s="14" t="str">
        <f t="shared" si="2"/>
        <v/>
      </c>
      <c r="AE40" s="25" t="str">
        <f ca="1">IFERROR(__xludf.DUMMYFUNCTION("IMPORTXML(AI40, ""//li[strong[text()='Sales Growth %:']]"")"),"Loading...")</f>
        <v>Loading...</v>
      </c>
      <c r="AF40" s="24"/>
      <c r="AG40" s="25" t="str">
        <f ca="1">IFERROR(__xludf.DUMMYFUNCTION("IMPORTXML(AI40, ""//li[strong[text()='Unit Growth %:']]"")"),"Loading...")</f>
        <v>Loading...</v>
      </c>
      <c r="AH40" s="25"/>
      <c r="AI40" s="48" t="s">
        <v>56</v>
      </c>
      <c r="AJ40" s="27"/>
      <c r="AK40" s="27"/>
      <c r="AL40" s="27"/>
      <c r="AM40" s="27"/>
      <c r="AN40" s="27"/>
      <c r="AO40" s="27"/>
      <c r="AP40" s="27"/>
      <c r="AQ40" s="27"/>
    </row>
    <row r="41" spans="1:43" ht="14.25" customHeight="1">
      <c r="A41" s="42">
        <v>24.04</v>
      </c>
      <c r="B41" s="14">
        <v>2024</v>
      </c>
      <c r="C41" s="15">
        <v>40</v>
      </c>
      <c r="D41" s="16" t="str">
        <f ca="1">IFERROR(__xludf.DUMMYFUNCTION("IMPORTXML(AI41, ""//h1[@itemprop='headline']/span"")"),"40. Valvoline Instant Oil Change")</f>
        <v>40. Valvoline Instant Oil Change</v>
      </c>
      <c r="E41" s="17" t="str">
        <f ca="1">IFERROR(__xludf.DUMMYFUNCTION("REGEXEXTRACT(D41, ""\.\s*(.+)"")"),"Valvoline Instant Oil Change")</f>
        <v>Valvoline Instant Oil Change</v>
      </c>
      <c r="F41" s="18" t="str">
        <f ca="1">IFERROR(__xludf.DUMMYFUNCTION("IMPORTXML(AI41, ""//li[strong[text()='Investment Range:']]"")"),"Investment Range:")</f>
        <v>Investment Range:</v>
      </c>
      <c r="G41" s="43" t="str">
        <f ca="1">IFERROR(__xludf.DUMMYFUNCTION("""COMPUTED_VALUE""")," $194,375 - $3,485,550")</f>
        <v xml:space="preserve"> $194,375 - $3,485,550</v>
      </c>
      <c r="H41" s="18" t="str">
        <f ca="1">IFERROR(__xludf.DUMMYFUNCTION("SUBSTITUTE(REGEXEXTRACT(G41, ""\$(\d{1,3}(?:,\d{3})*)""), "","", ""."")
"),"194.375")</f>
        <v>194.375</v>
      </c>
      <c r="I41" s="19" t="str">
        <f ca="1">IFERROR(__xludf.DUMMYFUNCTION("SUBSTITUTE(REGEXEXTRACT(G41, ""-\s*\$(\d{1,3}(?:,\d{3})*)""), "","", ""."")
"),"3.485.550")</f>
        <v>3.485.550</v>
      </c>
      <c r="J41" s="19" t="str">
        <f ca="1">IFERROR(__xludf.DUMMYFUNCTION("IMPORTXML(AI41, ""//li[strong[text()='Initial Investment:']]"")"),"Loading...")</f>
        <v>Loading...</v>
      </c>
      <c r="K41" s="24"/>
      <c r="L41" s="20" t="str">
        <f ca="1">IFERROR(__xludf.DUMMYFUNCTION("IMPORTXML(AI41, ""//li[strong[text()='Category:']]"")"),"Category:")</f>
        <v>Category:</v>
      </c>
      <c r="M41" s="24" t="str">
        <f ca="1">IFERROR(__xludf.DUMMYFUNCTION("""COMPUTED_VALUE""")," Automotive")</f>
        <v xml:space="preserve"> Automotive</v>
      </c>
      <c r="N41" s="19" t="str">
        <f ca="1">IFERROR(__xludf.DUMMYFUNCTION("IMPORTXML(AI41, ""//li[strong[text()='Global Sales:']]"")"),"Loading...")</f>
        <v>Loading...</v>
      </c>
      <c r="O41" s="24"/>
      <c r="P41" s="19" t="str">
        <f t="shared" si="0"/>
        <v/>
      </c>
      <c r="Q41" s="19" t="str">
        <f ca="1">IFERROR(__xludf.DUMMYFUNCTION("IMPORTXML(AI41, ""//li[strong[text()='US Units:']]"")"),"Loading...")</f>
        <v>Loading...</v>
      </c>
      <c r="R41" s="24"/>
      <c r="S41" s="19" t="str">
        <f ca="1">IFERROR(__xludf.DUMMYFUNCTION("IMPORTXML(AI41, ""//li[strong[text()='International Units:']]"")"),"Loading...")</f>
        <v>Loading...</v>
      </c>
      <c r="T41" s="44"/>
      <c r="U41" s="19" t="str">
        <f ca="1">IFERROR(__xludf.DUMMYFUNCTION("IMPORTXML(AI41, ""//li[strong[text()='Percent Franchised:']]"")"),"Loading...")</f>
        <v>Loading...</v>
      </c>
      <c r="V41" s="24"/>
      <c r="W41" s="19" t="str">
        <f ca="1">IFERROR(__xludf.DUMMYFUNCTION("IMPORTXML(AI41, ""//li[strong[text()='% International Units:']]"")"),"Loading...")</f>
        <v>Loading...</v>
      </c>
      <c r="X41" s="24"/>
      <c r="Y41" s="19" t="str">
        <f ca="1">IFERROR(__xludf.DUMMYFUNCTION("IMPORTXML(AI41, ""//li[strong[text()='US Franchised Units:']]"")"),"Loading...")</f>
        <v>Loading...</v>
      </c>
      <c r="Z41" s="24"/>
      <c r="AA41" s="14" t="str">
        <f t="shared" si="1"/>
        <v/>
      </c>
      <c r="AB41" s="19" t="str">
        <f ca="1">IFERROR(__xludf.DUMMYFUNCTION("IMPORTXML(AI41, ""//li[strong[text()='International Franchised Units:']]"")"),"Loading...")</f>
        <v>Loading...</v>
      </c>
      <c r="AC41" s="24"/>
      <c r="AD41" s="14" t="str">
        <f t="shared" si="2"/>
        <v/>
      </c>
      <c r="AE41" s="25" t="str">
        <f ca="1">IFERROR(__xludf.DUMMYFUNCTION("IMPORTXML(AI41, ""//li[strong[text()='Sales Growth %:']]"")"),"Loading...")</f>
        <v>Loading...</v>
      </c>
      <c r="AF41" s="24"/>
      <c r="AG41" s="25" t="str">
        <f ca="1">IFERROR(__xludf.DUMMYFUNCTION("IMPORTXML(AI41, ""//li[strong[text()='Unit Growth %:']]"")"),"Loading...")</f>
        <v>Loading...</v>
      </c>
      <c r="AH41" s="25"/>
      <c r="AI41" s="48" t="s">
        <v>57</v>
      </c>
      <c r="AJ41" s="27"/>
      <c r="AK41" s="27"/>
      <c r="AL41" s="27"/>
      <c r="AM41" s="27"/>
      <c r="AN41" s="27"/>
      <c r="AO41" s="27"/>
      <c r="AP41" s="27"/>
      <c r="AQ41" s="27"/>
    </row>
    <row r="42" spans="1:43" ht="14.25" customHeight="1">
      <c r="A42" s="42">
        <v>24.041</v>
      </c>
      <c r="B42" s="14">
        <v>2024</v>
      </c>
      <c r="C42" s="32">
        <v>41</v>
      </c>
      <c r="D42" s="16" t="str">
        <f ca="1">IFERROR(__xludf.DUMMYFUNCTION("IMPORTXML(AI42, ""//h1[@itemprop='headline']/span"")"),"41. Home Instead Senior Care")</f>
        <v>41. Home Instead Senior Care</v>
      </c>
      <c r="E42" s="17" t="str">
        <f ca="1">IFERROR(__xludf.DUMMYFUNCTION("REGEXEXTRACT(D42, ""\.\s*(.+)"")"),"Home Instead Senior Care")</f>
        <v>Home Instead Senior Care</v>
      </c>
      <c r="F42" s="18" t="str">
        <f ca="1">IFERROR(__xludf.DUMMYFUNCTION("IMPORTXML(AI42, ""//li[strong[text()='Investment Range:']]"")"),"Investment Range:")</f>
        <v>Investment Range:</v>
      </c>
      <c r="G42" s="43" t="str">
        <f ca="1">IFERROR(__xludf.DUMMYFUNCTION("""COMPUTED_VALUE""")," $112,500 - $156,500")</f>
        <v xml:space="preserve"> $112,500 - $156,500</v>
      </c>
      <c r="H42" s="18" t="str">
        <f ca="1">IFERROR(__xludf.DUMMYFUNCTION("SUBSTITUTE(REGEXEXTRACT(G42, ""\$(\d{1,3}(?:,\d{3})*)""), "","", ""."")
"),"112.500")</f>
        <v>112.500</v>
      </c>
      <c r="I42" s="19" t="str">
        <f ca="1">IFERROR(__xludf.DUMMYFUNCTION("SUBSTITUTE(REGEXEXTRACT(G42, ""-\s*\$(\d{1,3}(?:,\d{3})*)""), "","", ""."")
"),"156.500")</f>
        <v>156.500</v>
      </c>
      <c r="J42" s="19" t="str">
        <f ca="1">IFERROR(__xludf.DUMMYFUNCTION("IMPORTXML(AI42, ""//li[strong[text()='Initial Investment:']]"")"),"Loading...")</f>
        <v>Loading...</v>
      </c>
      <c r="K42" s="24"/>
      <c r="L42" s="20" t="str">
        <f ca="1">IFERROR(__xludf.DUMMYFUNCTION("IMPORTXML(AI42, ""//li[strong[text()='Category:']]"")"),"Loading...")</f>
        <v>Loading...</v>
      </c>
      <c r="M42" s="24"/>
      <c r="N42" s="19" t="str">
        <f ca="1">IFERROR(__xludf.DUMMYFUNCTION("IMPORTXML(AI42, ""//li[strong[text()='Global Sales:']]"")"),"Loading...")</f>
        <v>Loading...</v>
      </c>
      <c r="O42" s="24"/>
      <c r="P42" s="19" t="str">
        <f t="shared" si="0"/>
        <v/>
      </c>
      <c r="Q42" s="19" t="str">
        <f ca="1">IFERROR(__xludf.DUMMYFUNCTION("IMPORTXML(AI42, ""//li[strong[text()='US Units:']]"")"),"Loading...")</f>
        <v>Loading...</v>
      </c>
      <c r="R42" s="24"/>
      <c r="S42" s="19" t="str">
        <f ca="1">IFERROR(__xludf.DUMMYFUNCTION("IMPORTXML(AI42, ""//li[strong[text()='International Units:']]"")"),"Loading...")</f>
        <v>Loading...</v>
      </c>
      <c r="T42" s="44"/>
      <c r="U42" s="19" t="str">
        <f ca="1">IFERROR(__xludf.DUMMYFUNCTION("IMPORTXML(AI42, ""//li[strong[text()='Percent Franchised:']]"")"),"Loading...")</f>
        <v>Loading...</v>
      </c>
      <c r="V42" s="24"/>
      <c r="W42" s="19" t="str">
        <f ca="1">IFERROR(__xludf.DUMMYFUNCTION("IMPORTXML(AI42, ""//li[strong[text()='% International Units:']]"")"),"Loading...")</f>
        <v>Loading...</v>
      </c>
      <c r="X42" s="24"/>
      <c r="Y42" s="19" t="str">
        <f ca="1">IFERROR(__xludf.DUMMYFUNCTION("IMPORTXML(AI42, ""//li[strong[text()='US Franchised Units:']]"")"),"Loading...")</f>
        <v>Loading...</v>
      </c>
      <c r="Z42" s="24"/>
      <c r="AA42" s="14" t="str">
        <f t="shared" si="1"/>
        <v/>
      </c>
      <c r="AB42" s="19" t="str">
        <f ca="1">IFERROR(__xludf.DUMMYFUNCTION("IMPORTXML(AI42, ""//li[strong[text()='International Franchised Units:']]"")"),"Loading...")</f>
        <v>Loading...</v>
      </c>
      <c r="AC42" s="24"/>
      <c r="AD42" s="14" t="str">
        <f t="shared" si="2"/>
        <v/>
      </c>
      <c r="AE42" s="25" t="str">
        <f ca="1">IFERROR(__xludf.DUMMYFUNCTION("IMPORTXML(AI42, ""//li[strong[text()='Sales Growth %:']]"")"),"Loading...")</f>
        <v>Loading...</v>
      </c>
      <c r="AF42" s="24"/>
      <c r="AG42" s="25" t="str">
        <f ca="1">IFERROR(__xludf.DUMMYFUNCTION("IMPORTXML(AI42, ""//li[strong[text()='Unit Growth %:']]"")"),"#N/A")</f>
        <v>#N/A</v>
      </c>
      <c r="AH42" s="25"/>
      <c r="AI42" s="48" t="s">
        <v>58</v>
      </c>
      <c r="AJ42" s="27"/>
      <c r="AK42" s="27"/>
      <c r="AL42" s="27"/>
      <c r="AM42" s="27"/>
      <c r="AN42" s="27"/>
      <c r="AO42" s="27"/>
      <c r="AP42" s="27"/>
      <c r="AQ42" s="27"/>
    </row>
    <row r="43" spans="1:43" ht="14.25" customHeight="1">
      <c r="A43" s="42">
        <v>24.042000000000002</v>
      </c>
      <c r="B43" s="14">
        <v>2024</v>
      </c>
      <c r="C43" s="36">
        <v>42</v>
      </c>
      <c r="D43" s="16" t="str">
        <f ca="1">IFERROR(__xludf.DUMMYFUNCTION("IMPORTXML(AI43, ""//h1[@itemprop='headline']/span"")"),"42. Carl’s Jr.")</f>
        <v>42. Carl’s Jr.</v>
      </c>
      <c r="E43" s="17" t="str">
        <f ca="1">IFERROR(__xludf.DUMMYFUNCTION("REGEXEXTRACT(D43, ""\.\s*(.+)"")"),"Carl’s Jr.")</f>
        <v>Carl’s Jr.</v>
      </c>
      <c r="F43" s="18" t="str">
        <f ca="1">IFERROR(__xludf.DUMMYFUNCTION("IMPORTXML(AI43, ""//li[strong[text()='Investment Range:']]"")"),"Investment Range:")</f>
        <v>Investment Range:</v>
      </c>
      <c r="G43" s="43" t="str">
        <f ca="1">IFERROR(__xludf.DUMMYFUNCTION("""COMPUTED_VALUE""")," $1,243,000 - $2,744,500")</f>
        <v xml:space="preserve"> $1,243,000 - $2,744,500</v>
      </c>
      <c r="H43" s="18" t="str">
        <f ca="1">IFERROR(__xludf.DUMMYFUNCTION("SUBSTITUTE(REGEXEXTRACT(G43, ""\$(\d{1,3}(?:,\d{3})*)""), "","", ""."")
"),"1.243.000")</f>
        <v>1.243.000</v>
      </c>
      <c r="I43" s="19" t="str">
        <f ca="1">IFERROR(__xludf.DUMMYFUNCTION("SUBSTITUTE(REGEXEXTRACT(G43, ""-\s*\$(\d{1,3}(?:,\d{3})*)""), "","", ""."")
"),"2.744.500")</f>
        <v>2.744.500</v>
      </c>
      <c r="J43" s="19" t="str">
        <f ca="1">IFERROR(__xludf.DUMMYFUNCTION("IMPORTXML(AI43, ""//li[strong[text()='Initial Investment:']]"")"),"Loading...")</f>
        <v>Loading...</v>
      </c>
      <c r="K43" s="24"/>
      <c r="L43" s="20" t="str">
        <f ca="1">IFERROR(__xludf.DUMMYFUNCTION("IMPORTXML(AI43, ""//li[strong[text()='Category:']]"")"),"Loading...")</f>
        <v>Loading...</v>
      </c>
      <c r="M43" s="24"/>
      <c r="N43" s="19" t="str">
        <f ca="1">IFERROR(__xludf.DUMMYFUNCTION("IMPORTXML(AI43, ""//li[strong[text()='Global Sales:']]"")"),"Global Sales:")</f>
        <v>Global Sales:</v>
      </c>
      <c r="O43" s="24" t="str">
        <f ca="1">IFERROR(__xludf.DUMMYFUNCTION("""COMPUTED_VALUE""")," $2,591,262,301")</f>
        <v xml:space="preserve"> $2,591,262,301</v>
      </c>
      <c r="P43" s="19" t="str">
        <f t="shared" ca="1" si="0"/>
        <v xml:space="preserve"> 2.591.262.301</v>
      </c>
      <c r="Q43" s="19" t="str">
        <f ca="1">IFERROR(__xludf.DUMMYFUNCTION("IMPORTXML(AI43, ""//li[strong[text()='US Units:']]"")"),"Loading...")</f>
        <v>Loading...</v>
      </c>
      <c r="R43" s="24"/>
      <c r="S43" s="19" t="str">
        <f ca="1">IFERROR(__xludf.DUMMYFUNCTION("IMPORTXML(AI43, ""//li[strong[text()='International Units:']]"")"),"Loading...")</f>
        <v>Loading...</v>
      </c>
      <c r="T43" s="44"/>
      <c r="U43" s="19" t="str">
        <f ca="1">IFERROR(__xludf.DUMMYFUNCTION("IMPORTXML(AI43, ""//li[strong[text()='Percent Franchised:']]"")"),"Loading...")</f>
        <v>Loading...</v>
      </c>
      <c r="V43" s="24"/>
      <c r="W43" s="19" t="str">
        <f ca="1">IFERROR(__xludf.DUMMYFUNCTION("IMPORTXML(AI43, ""//li[strong[text()='% International Units:']]"")"),"Loading...")</f>
        <v>Loading...</v>
      </c>
      <c r="X43" s="24"/>
      <c r="Y43" s="19" t="str">
        <f ca="1">IFERROR(__xludf.DUMMYFUNCTION("IMPORTXML(AI43, ""//li[strong[text()='US Franchised Units:']]"")"),"Loading...")</f>
        <v>Loading...</v>
      </c>
      <c r="Z43" s="24"/>
      <c r="AA43" s="14" t="str">
        <f t="shared" si="1"/>
        <v/>
      </c>
      <c r="AB43" s="19" t="str">
        <f ca="1">IFERROR(__xludf.DUMMYFUNCTION("IMPORTXML(AI43, ""//li[strong[text()='International Franchised Units:']]"")"),"Loading...")</f>
        <v>Loading...</v>
      </c>
      <c r="AC43" s="24"/>
      <c r="AD43" s="14" t="str">
        <f t="shared" si="2"/>
        <v/>
      </c>
      <c r="AE43" s="25" t="str">
        <f ca="1">IFERROR(__xludf.DUMMYFUNCTION("IMPORTXML(AI43, ""//li[strong[text()='Sales Growth %:']]"")"),"Loading...")</f>
        <v>Loading...</v>
      </c>
      <c r="AF43" s="24"/>
      <c r="AG43" s="25" t="str">
        <f ca="1">IFERROR(__xludf.DUMMYFUNCTION("IMPORTXML(AI43, ""//li[strong[text()='Unit Growth %:']]"")"),"Loading...")</f>
        <v>Loading...</v>
      </c>
      <c r="AH43" s="25"/>
      <c r="AI43" s="48" t="s">
        <v>59</v>
      </c>
      <c r="AJ43" s="27"/>
      <c r="AK43" s="27"/>
      <c r="AL43" s="27"/>
      <c r="AM43" s="27"/>
      <c r="AN43" s="27"/>
      <c r="AO43" s="27"/>
      <c r="AP43" s="27"/>
      <c r="AQ43" s="27"/>
    </row>
    <row r="44" spans="1:43" ht="14.25" customHeight="1">
      <c r="A44" s="42">
        <v>24.042999999999999</v>
      </c>
      <c r="B44" s="14">
        <v>2024</v>
      </c>
      <c r="C44" s="36">
        <v>43</v>
      </c>
      <c r="D44" s="16" t="str">
        <f ca="1">IFERROR(__xludf.DUMMYFUNCTION("IMPORTXML(AI44, ""//h1[@itemprop='headline']/span"")"),"43. Jimmy John’s")</f>
        <v>43. Jimmy John’s</v>
      </c>
      <c r="E44" s="17" t="str">
        <f ca="1">IFERROR(__xludf.DUMMYFUNCTION("REGEXEXTRACT(D44, ""\.\s*(.+)"")"),"Jimmy John’s")</f>
        <v>Jimmy John’s</v>
      </c>
      <c r="F44" s="18" t="str">
        <f ca="1">IFERROR(__xludf.DUMMYFUNCTION("IMPORTXML(AI44, ""//li[strong[text()='Investment Range:']]"")"),"Investment Range:")</f>
        <v>Investment Range:</v>
      </c>
      <c r="G44" s="43" t="str">
        <f ca="1">IFERROR(__xludf.DUMMYFUNCTION("""COMPUTED_VALUE""")," $361,200 - $674,200")</f>
        <v xml:space="preserve"> $361,200 - $674,200</v>
      </c>
      <c r="H44" s="18" t="str">
        <f ca="1">IFERROR(__xludf.DUMMYFUNCTION("SUBSTITUTE(REGEXEXTRACT(G44, ""\$(\d{1,3}(?:,\d{3})*)""), "","", ""."")
"),"361.200")</f>
        <v>361.200</v>
      </c>
      <c r="I44" s="19" t="str">
        <f ca="1">IFERROR(__xludf.DUMMYFUNCTION("SUBSTITUTE(REGEXEXTRACT(G44, ""-\s*\$(\d{1,3}(?:,\d{3})*)""), "","", ""."")
"),"674.200")</f>
        <v>674.200</v>
      </c>
      <c r="J44" s="19" t="str">
        <f ca="1">IFERROR(__xludf.DUMMYFUNCTION("IMPORTXML(AI44, ""//li[strong[text()='Initial Investment:']]"")"),"Loading...")</f>
        <v>Loading...</v>
      </c>
      <c r="K44" s="24"/>
      <c r="L44" s="20" t="str">
        <f ca="1">IFERROR(__xludf.DUMMYFUNCTION("IMPORTXML(AI44, ""//li[strong[text()='Category:']]"")"),"Loading...")</f>
        <v>Loading...</v>
      </c>
      <c r="M44" s="24"/>
      <c r="N44" s="19" t="str">
        <f ca="1">IFERROR(__xludf.DUMMYFUNCTION("IMPORTXML(AI44, ""//li[strong[text()='Global Sales:']]"")"),"Loading...")</f>
        <v>Loading...</v>
      </c>
      <c r="O44" s="24"/>
      <c r="P44" s="19" t="str">
        <f t="shared" si="0"/>
        <v/>
      </c>
      <c r="Q44" s="19" t="str">
        <f ca="1">IFERROR(__xludf.DUMMYFUNCTION("IMPORTXML(AI44, ""//li[strong[text()='US Units:']]"")"),"Loading...")</f>
        <v>Loading...</v>
      </c>
      <c r="R44" s="24"/>
      <c r="S44" s="19" t="str">
        <f ca="1">IFERROR(__xludf.DUMMYFUNCTION("IMPORTXML(AI44, ""//li[strong[text()='International Units:']]"")"),"Loading...")</f>
        <v>Loading...</v>
      </c>
      <c r="T44" s="44"/>
      <c r="U44" s="19" t="str">
        <f ca="1">IFERROR(__xludf.DUMMYFUNCTION("IMPORTXML(AI44, ""//li[strong[text()='Percent Franchised:']]"")"),"Percent Franchised:")</f>
        <v>Percent Franchised:</v>
      </c>
      <c r="V44" s="45">
        <f ca="1">IFERROR(__xludf.DUMMYFUNCTION("""COMPUTED_VALUE"""),0.98)</f>
        <v>0.98</v>
      </c>
      <c r="W44" s="19" t="str">
        <f ca="1">IFERROR(__xludf.DUMMYFUNCTION("IMPORTXML(AI44, ""//li[strong[text()='% International Units:']]"")"),"Loading...")</f>
        <v>Loading...</v>
      </c>
      <c r="X44" s="24"/>
      <c r="Y44" s="19" t="str">
        <f ca="1">IFERROR(__xludf.DUMMYFUNCTION("IMPORTXML(AI44, ""//li[strong[text()='US Franchised Units:']]"")"),"Loading...")</f>
        <v>Loading...</v>
      </c>
      <c r="Z44" s="24"/>
      <c r="AA44" s="14" t="str">
        <f t="shared" si="1"/>
        <v/>
      </c>
      <c r="AB44" s="19" t="str">
        <f ca="1">IFERROR(__xludf.DUMMYFUNCTION("IMPORTXML(AI44, ""//li[strong[text()='International Franchised Units:']]"")"),"Loading...")</f>
        <v>Loading...</v>
      </c>
      <c r="AC44" s="24"/>
      <c r="AD44" s="14" t="str">
        <f t="shared" si="2"/>
        <v/>
      </c>
      <c r="AE44" s="25" t="str">
        <f ca="1">IFERROR(__xludf.DUMMYFUNCTION("IMPORTXML(AI44, ""//li[strong[text()='Sales Growth %:']]"")"),"Sales Growth %:")</f>
        <v>Sales Growth %:</v>
      </c>
      <c r="AF44" s="24" t="str">
        <f ca="1">IFERROR(__xludf.DUMMYFUNCTION("""COMPUTED_VALUE""")," 6.3%")</f>
        <v xml:space="preserve"> 6.3%</v>
      </c>
      <c r="AG44" s="25" t="str">
        <f ca="1">IFERROR(__xludf.DUMMYFUNCTION("IMPORTXML(AI44, ""//li[strong[text()='Unit Growth %:']]"")"),"Loading...")</f>
        <v>Loading...</v>
      </c>
      <c r="AH44" s="25"/>
      <c r="AI44" s="48" t="s">
        <v>60</v>
      </c>
      <c r="AJ44" s="27"/>
      <c r="AK44" s="27"/>
      <c r="AL44" s="27"/>
      <c r="AM44" s="27"/>
      <c r="AN44" s="27"/>
      <c r="AO44" s="27"/>
      <c r="AP44" s="27"/>
      <c r="AQ44" s="27"/>
    </row>
    <row r="45" spans="1:43" ht="14.25" customHeight="1">
      <c r="A45" s="42">
        <v>24.044</v>
      </c>
      <c r="B45" s="14">
        <v>2024</v>
      </c>
      <c r="C45" s="15">
        <v>44</v>
      </c>
      <c r="D45" s="16" t="str">
        <f ca="1">IFERROR(__xludf.DUMMYFUNCTION("IMPORTXML(AI45, ""//h1[@itemprop='headline']/span"")"),"44. Zaxby’s")</f>
        <v>44. Zaxby’s</v>
      </c>
      <c r="E45" s="17" t="str">
        <f ca="1">IFERROR(__xludf.DUMMYFUNCTION("REGEXEXTRACT(D45, ""\.\s*(.+)"")"),"Zaxby’s")</f>
        <v>Zaxby’s</v>
      </c>
      <c r="F45" s="18" t="str">
        <f ca="1">IFERROR(__xludf.DUMMYFUNCTION("IMPORTXML(AI45, ""//li[strong[text()='Investment Range:']]"")"),"#REF!")</f>
        <v>#REF!</v>
      </c>
      <c r="G45" s="43"/>
      <c r="H45" s="18" t="str">
        <f ca="1">IFERROR(__xludf.DUMMYFUNCTION("SUBSTITUTE(REGEXEXTRACT(G45, ""\$(\d{1,3}(?:,\d{3})*)""), "","", ""."")
"),"#N/A")</f>
        <v>#N/A</v>
      </c>
      <c r="I45" s="19" t="str">
        <f ca="1">IFERROR(__xludf.DUMMYFUNCTION("SUBSTITUTE(REGEXEXTRACT(G45, ""-\s*\$(\d{1,3}(?:,\d{3})*)""), "","", ""."")
"),"#N/A")</f>
        <v>#N/A</v>
      </c>
      <c r="J45" s="19" t="str">
        <f ca="1">IFERROR(__xludf.DUMMYFUNCTION("IMPORTXML(AI45, ""//li[strong[text()='Initial Investment:']]"")"),"Loading...")</f>
        <v>Loading...</v>
      </c>
      <c r="K45" s="24"/>
      <c r="L45" s="20" t="str">
        <f ca="1">IFERROR(__xludf.DUMMYFUNCTION("IMPORTXML(AI45, ""//li[strong[text()='Category:']]"")"),"Loading...")</f>
        <v>Loading...</v>
      </c>
      <c r="M45" s="24"/>
      <c r="N45" s="19" t="str">
        <f ca="1">IFERROR(__xludf.DUMMYFUNCTION("IMPORTXML(AI45, ""//li[strong[text()='Global Sales:']]"")"),"Loading...")</f>
        <v>Loading...</v>
      </c>
      <c r="O45" s="24"/>
      <c r="P45" s="19" t="str">
        <f t="shared" si="0"/>
        <v/>
      </c>
      <c r="Q45" s="19" t="str">
        <f ca="1">IFERROR(__xludf.DUMMYFUNCTION("IMPORTXML(AI45, ""//li[strong[text()='US Units:']]"")"),"Loading...")</f>
        <v>Loading...</v>
      </c>
      <c r="R45" s="24"/>
      <c r="S45" s="19" t="str">
        <f ca="1">IFERROR(__xludf.DUMMYFUNCTION("IMPORTXML(AI45, ""//li[strong[text()='International Units:']]"")"),"#N/A")</f>
        <v>#N/A</v>
      </c>
      <c r="T45" s="44"/>
      <c r="U45" s="19" t="str">
        <f ca="1">IFERROR(__xludf.DUMMYFUNCTION("IMPORTXML(AI45, ""//li[strong[text()='Percent Franchised:']]"")"),"Loading...")</f>
        <v>Loading...</v>
      </c>
      <c r="V45" s="24"/>
      <c r="W45" s="19" t="str">
        <f ca="1">IFERROR(__xludf.DUMMYFUNCTION("IMPORTXML(AI45, ""//li[strong[text()='% International Units:']]"")"),"Loading...")</f>
        <v>Loading...</v>
      </c>
      <c r="X45" s="24"/>
      <c r="Y45" s="19" t="str">
        <f ca="1">IFERROR(__xludf.DUMMYFUNCTION("IMPORTXML(AI45, ""//li[strong[text()='US Franchised Units:']]"")"),"Loading...")</f>
        <v>Loading...</v>
      </c>
      <c r="Z45" s="24"/>
      <c r="AA45" s="14" t="str">
        <f t="shared" si="1"/>
        <v/>
      </c>
      <c r="AB45" s="19" t="str">
        <f ca="1">IFERROR(__xludf.DUMMYFUNCTION("IMPORTXML(AI45, ""//li[strong[text()='International Franchised Units:']]"")"),"Loading...")</f>
        <v>Loading...</v>
      </c>
      <c r="AC45" s="24"/>
      <c r="AD45" s="14" t="str">
        <f t="shared" si="2"/>
        <v/>
      </c>
      <c r="AE45" s="25" t="str">
        <f ca="1">IFERROR(__xludf.DUMMYFUNCTION("IMPORTXML(AI45, ""//li[strong[text()='Sales Growth %:']]"")"),"Loading...")</f>
        <v>Loading...</v>
      </c>
      <c r="AF45" s="24"/>
      <c r="AG45" s="25" t="str">
        <f ca="1">IFERROR(__xludf.DUMMYFUNCTION("IMPORTXML(AI45, ""//li[strong[text()='Unit Growth %:']]"")"),"Loading...")</f>
        <v>Loading...</v>
      </c>
      <c r="AH45" s="25"/>
      <c r="AI45" s="48" t="s">
        <v>61</v>
      </c>
      <c r="AJ45" s="27"/>
      <c r="AK45" s="27"/>
      <c r="AL45" s="27"/>
      <c r="AM45" s="27"/>
      <c r="AN45" s="27"/>
      <c r="AO45" s="27"/>
      <c r="AP45" s="27"/>
      <c r="AQ45" s="27"/>
    </row>
    <row r="46" spans="1:43" ht="14.25" customHeight="1">
      <c r="A46" s="42">
        <v>24.045000000000002</v>
      </c>
      <c r="B46" s="14">
        <v>2024</v>
      </c>
      <c r="C46" s="32">
        <v>45</v>
      </c>
      <c r="D46" s="16" t="str">
        <f ca="1">IFERROR(__xludf.DUMMYFUNCTION("IMPORTXML(AI46, ""//h1[@itemprop='headline']/span"")"),"45. Hardee’s")</f>
        <v>45. Hardee’s</v>
      </c>
      <c r="E46" s="17" t="str">
        <f ca="1">IFERROR(__xludf.DUMMYFUNCTION("REGEXEXTRACT(D46, ""\.\s*(.+)"")"),"Hardee’s")</f>
        <v>Hardee’s</v>
      </c>
      <c r="F46" s="18" t="str">
        <f ca="1">IFERROR(__xludf.DUMMYFUNCTION("IMPORTXML(AI46, ""//li[strong[text()='Investment Range:']]"")"),"Investment Range:")</f>
        <v>Investment Range:</v>
      </c>
      <c r="G46" s="43" t="str">
        <f ca="1">IFERROR(__xludf.DUMMYFUNCTION("""COMPUTED_VALUE""")," $1,303,000 - $3,436,000")</f>
        <v xml:space="preserve"> $1,303,000 - $3,436,000</v>
      </c>
      <c r="H46" s="18" t="str">
        <f ca="1">IFERROR(__xludf.DUMMYFUNCTION("SUBSTITUTE(REGEXEXTRACT(G46, ""\$(\d{1,3}(?:,\d{3})*)""), "","", ""."")
"),"1.303.000")</f>
        <v>1.303.000</v>
      </c>
      <c r="I46" s="19" t="str">
        <f ca="1">IFERROR(__xludf.DUMMYFUNCTION("SUBSTITUTE(REGEXEXTRACT(G46, ""-\s*\$(\d{1,3}(?:,\d{3})*)""), "","", ""."")
"),"3.436.000")</f>
        <v>3.436.000</v>
      </c>
      <c r="J46" s="19" t="str">
        <f ca="1">IFERROR(__xludf.DUMMYFUNCTION("IMPORTXML(AI46, ""//li[strong[text()='Initial Investment:']]"")"),"Loading...")</f>
        <v>Loading...</v>
      </c>
      <c r="K46" s="24"/>
      <c r="L46" s="20" t="str">
        <f ca="1">IFERROR(__xludf.DUMMYFUNCTION("IMPORTXML(AI46, ""//li[strong[text()='Category:']]"")"),"Loading...")</f>
        <v>Loading...</v>
      </c>
      <c r="M46" s="24"/>
      <c r="N46" s="19" t="str">
        <f ca="1">IFERROR(__xludf.DUMMYFUNCTION("IMPORTXML(AI46, ""//li[strong[text()='Global Sales:']]"")"),"Loading...")</f>
        <v>Loading...</v>
      </c>
      <c r="O46" s="24"/>
      <c r="P46" s="19" t="str">
        <f t="shared" si="0"/>
        <v/>
      </c>
      <c r="Q46" s="19" t="str">
        <f ca="1">IFERROR(__xludf.DUMMYFUNCTION("IMPORTXML(AI46, ""//li[strong[text()='US Units:']]"")"),"Loading...")</f>
        <v>Loading...</v>
      </c>
      <c r="R46" s="24"/>
      <c r="S46" s="19" t="str">
        <f ca="1">IFERROR(__xludf.DUMMYFUNCTION("IMPORTXML(AI46, ""//li[strong[text()='International Units:']]"")"),"Loading...")</f>
        <v>Loading...</v>
      </c>
      <c r="T46" s="44"/>
      <c r="U46" s="19" t="str">
        <f ca="1">IFERROR(__xludf.DUMMYFUNCTION("IMPORTXML(AI46, ""//li[strong[text()='Percent Franchised:']]"")"),"Loading...")</f>
        <v>Loading...</v>
      </c>
      <c r="V46" s="24"/>
      <c r="W46" s="19" t="str">
        <f ca="1">IFERROR(__xludf.DUMMYFUNCTION("IMPORTXML(AI46, ""//li[strong[text()='% International Units:']]"")"),"Loading...")</f>
        <v>Loading...</v>
      </c>
      <c r="X46" s="24"/>
      <c r="Y46" s="19" t="str">
        <f ca="1">IFERROR(__xludf.DUMMYFUNCTION("IMPORTXML(AI46, ""//li[strong[text()='US Franchised Units:']]"")"),"Loading...")</f>
        <v>Loading...</v>
      </c>
      <c r="Z46" s="24"/>
      <c r="AA46" s="14" t="str">
        <f t="shared" si="1"/>
        <v/>
      </c>
      <c r="AB46" s="19" t="str">
        <f ca="1">IFERROR(__xludf.DUMMYFUNCTION("IMPORTXML(AI46, ""//li[strong[text()='International Franchised Units:']]"")"),"Loading...")</f>
        <v>Loading...</v>
      </c>
      <c r="AC46" s="24"/>
      <c r="AD46" s="14" t="str">
        <f t="shared" si="2"/>
        <v/>
      </c>
      <c r="AE46" s="25" t="str">
        <f ca="1">IFERROR(__xludf.DUMMYFUNCTION("IMPORTXML(AI46, ""//li[strong[text()='Sales Growth %:']]"")"),"Loading...")</f>
        <v>Loading...</v>
      </c>
      <c r="AF46" s="24"/>
      <c r="AG46" s="25" t="str">
        <f ca="1">IFERROR(__xludf.DUMMYFUNCTION("IMPORTXML(AI46, ""//li[strong[text()='Unit Growth %:']]"")"),"Loading...")</f>
        <v>Loading...</v>
      </c>
      <c r="AH46" s="25"/>
      <c r="AI46" s="48" t="s">
        <v>62</v>
      </c>
      <c r="AJ46" s="27"/>
      <c r="AK46" s="27"/>
      <c r="AL46" s="27"/>
      <c r="AM46" s="27"/>
      <c r="AN46" s="27"/>
      <c r="AO46" s="27"/>
      <c r="AP46" s="27"/>
      <c r="AQ46" s="27"/>
    </row>
    <row r="47" spans="1:43" ht="14.25" customHeight="1">
      <c r="A47" s="42">
        <v>24.045999999999999</v>
      </c>
      <c r="B47" s="14">
        <v>2024</v>
      </c>
      <c r="C47" s="36">
        <v>46</v>
      </c>
      <c r="D47" s="16" t="str">
        <f ca="1">IFERROR(__xludf.DUMMYFUNCTION("IMPORTXML(AI47, ""//h1[@itemprop='headline']/span"")"),"46. Jiffy Lube")</f>
        <v>46. Jiffy Lube</v>
      </c>
      <c r="E47" s="17" t="str">
        <f ca="1">IFERROR(__xludf.DUMMYFUNCTION("REGEXEXTRACT(D47, ""\.\s*(.+)"")"),"Jiffy Lube")</f>
        <v>Jiffy Lube</v>
      </c>
      <c r="F47" s="18" t="str">
        <f ca="1">IFERROR(__xludf.DUMMYFUNCTION("IMPORTXML(AI47, ""//li[strong[text()='Investment Range:']]"")"),"#N/A")</f>
        <v>#N/A</v>
      </c>
      <c r="G47" s="43"/>
      <c r="H47" s="18" t="str">
        <f ca="1">IFERROR(__xludf.DUMMYFUNCTION("SUBSTITUTE(REGEXEXTRACT(G47, ""\$(\d{1,3}(?:,\d{3})*)""), "","", ""."")
"),"#N/A")</f>
        <v>#N/A</v>
      </c>
      <c r="I47" s="19" t="str">
        <f ca="1">IFERROR(__xludf.DUMMYFUNCTION("SUBSTITUTE(REGEXEXTRACT(G47, ""-\s*\$(\d{1,3}(?:,\d{3})*)""), "","", ""."")
"),"#N/A")</f>
        <v>#N/A</v>
      </c>
      <c r="J47" s="19" t="str">
        <f ca="1">IFERROR(__xludf.DUMMYFUNCTION("IMPORTXML(AI47, ""//li[strong[text()='Initial Investment:']]"")"),"Loading...")</f>
        <v>Loading...</v>
      </c>
      <c r="K47" s="24"/>
      <c r="L47" s="20" t="str">
        <f ca="1">IFERROR(__xludf.DUMMYFUNCTION("IMPORTXML(AI47, ""//li[strong[text()='Category:']]"")"),"Loading...")</f>
        <v>Loading...</v>
      </c>
      <c r="M47" s="24"/>
      <c r="N47" s="19" t="str">
        <f ca="1">IFERROR(__xludf.DUMMYFUNCTION("IMPORTXML(AI47, ""//li[strong[text()='Global Sales:']]"")"),"Loading...")</f>
        <v>Loading...</v>
      </c>
      <c r="O47" s="24"/>
      <c r="P47" s="19" t="str">
        <f t="shared" si="0"/>
        <v/>
      </c>
      <c r="Q47" s="19" t="str">
        <f ca="1">IFERROR(__xludf.DUMMYFUNCTION("IMPORTXML(AI47, ""//li[strong[text()='US Units:']]"")"),"Loading...")</f>
        <v>Loading...</v>
      </c>
      <c r="R47" s="24"/>
      <c r="S47" s="19" t="str">
        <f ca="1">IFERROR(__xludf.DUMMYFUNCTION("IMPORTXML(AI47, ""//li[strong[text()='International Units:']]"")"),"Loading...")</f>
        <v>Loading...</v>
      </c>
      <c r="T47" s="44"/>
      <c r="U47" s="19" t="str">
        <f ca="1">IFERROR(__xludf.DUMMYFUNCTION("IMPORTXML(AI47, ""//li[strong[text()='Percent Franchised:']]"")"),"Loading...")</f>
        <v>Loading...</v>
      </c>
      <c r="V47" s="24"/>
      <c r="W47" s="19" t="str">
        <f ca="1">IFERROR(__xludf.DUMMYFUNCTION("IMPORTXML(AI47, ""//li[strong[text()='% International Units:']]"")"),"Loading...")</f>
        <v>Loading...</v>
      </c>
      <c r="X47" s="24"/>
      <c r="Y47" s="19" t="str">
        <f ca="1">IFERROR(__xludf.DUMMYFUNCTION("IMPORTXML(AI47, ""//li[strong[text()='US Franchised Units:']]"")"),"Loading...")</f>
        <v>Loading...</v>
      </c>
      <c r="Z47" s="24"/>
      <c r="AA47" s="14" t="str">
        <f t="shared" si="1"/>
        <v/>
      </c>
      <c r="AB47" s="19" t="str">
        <f ca="1">IFERROR(__xludf.DUMMYFUNCTION("IMPORTXML(AI47, ""//li[strong[text()='International Franchised Units:']]"")"),"Loading...")</f>
        <v>Loading...</v>
      </c>
      <c r="AC47" s="24"/>
      <c r="AD47" s="14" t="str">
        <f t="shared" si="2"/>
        <v/>
      </c>
      <c r="AE47" s="25" t="str">
        <f ca="1">IFERROR(__xludf.DUMMYFUNCTION("IMPORTXML(AI47, ""//li[strong[text()='Sales Growth %:']]"")"),"Loading...")</f>
        <v>Loading...</v>
      </c>
      <c r="AF47" s="24"/>
      <c r="AG47" s="25" t="str">
        <f ca="1">IFERROR(__xludf.DUMMYFUNCTION("IMPORTXML(AI47, ""//li[strong[text()='Unit Growth %:']]"")"),"Loading...")</f>
        <v>Loading...</v>
      </c>
      <c r="AH47" s="25"/>
      <c r="AI47" s="48" t="s">
        <v>63</v>
      </c>
      <c r="AJ47" s="27"/>
      <c r="AK47" s="27"/>
      <c r="AL47" s="27"/>
      <c r="AM47" s="27"/>
      <c r="AN47" s="27"/>
      <c r="AO47" s="27"/>
      <c r="AP47" s="27"/>
      <c r="AQ47" s="27"/>
    </row>
    <row r="48" spans="1:43" ht="14.25" customHeight="1">
      <c r="A48" s="42">
        <v>24.047000000000001</v>
      </c>
      <c r="B48" s="14">
        <v>2024</v>
      </c>
      <c r="C48" s="36">
        <v>47</v>
      </c>
      <c r="D48" s="16" t="str">
        <f ca="1">IFERROR(__xludf.DUMMYFUNCTION("IMPORTXML(AI48, ""//h1[@itemprop='headline']/span"")"),"47. Rent-A-Center")</f>
        <v>47. Rent-A-Center</v>
      </c>
      <c r="E48" s="17" t="str">
        <f ca="1">IFERROR(__xludf.DUMMYFUNCTION("REGEXEXTRACT(D48, ""\.\s*(.+)"")"),"Rent-A-Center")</f>
        <v>Rent-A-Center</v>
      </c>
      <c r="F48" s="18" t="str">
        <f ca="1">IFERROR(__xludf.DUMMYFUNCTION("IMPORTXML(AI48, ""//li[strong[text()='Investment Range:']]"")"),"Investment Range:")</f>
        <v>Investment Range:</v>
      </c>
      <c r="G48" s="43" t="str">
        <f ca="1">IFERROR(__xludf.DUMMYFUNCTION("""COMPUTED_VALUE""")," $349,675 - $701,165")</f>
        <v xml:space="preserve"> $349,675 - $701,165</v>
      </c>
      <c r="H48" s="18" t="str">
        <f ca="1">IFERROR(__xludf.DUMMYFUNCTION("SUBSTITUTE(REGEXEXTRACT(G48, ""\$(\d{1,3}(?:,\d{3})*)""), "","", ""."")
"),"349.675")</f>
        <v>349.675</v>
      </c>
      <c r="I48" s="19" t="str">
        <f ca="1">IFERROR(__xludf.DUMMYFUNCTION("SUBSTITUTE(REGEXEXTRACT(G48, ""-\s*\$(\d{1,3}(?:,\d{3})*)""), "","", ""."")
"),"701.165")</f>
        <v>701.165</v>
      </c>
      <c r="J48" s="19" t="str">
        <f ca="1">IFERROR(__xludf.DUMMYFUNCTION("IMPORTXML(AI48, ""//li[strong[text()='Initial Investment:']]"")"),"Loading...")</f>
        <v>Loading...</v>
      </c>
      <c r="K48" s="24"/>
      <c r="L48" s="20" t="str">
        <f ca="1">IFERROR(__xludf.DUMMYFUNCTION("IMPORTXML(AI48, ""//li[strong[text()='Category:']]"")"),"Loading...")</f>
        <v>Loading...</v>
      </c>
      <c r="M48" s="24"/>
      <c r="N48" s="19" t="str">
        <f ca="1">IFERROR(__xludf.DUMMYFUNCTION("IMPORTXML(AI48, ""//li[strong[text()='Global Sales:']]"")"),"Loading...")</f>
        <v>Loading...</v>
      </c>
      <c r="O48" s="24"/>
      <c r="P48" s="19" t="str">
        <f t="shared" si="0"/>
        <v/>
      </c>
      <c r="Q48" s="19" t="str">
        <f ca="1">IFERROR(__xludf.DUMMYFUNCTION("IMPORTXML(AI48, ""//li[strong[text()='US Units:']]"")"),"Loading...")</f>
        <v>Loading...</v>
      </c>
      <c r="R48" s="24"/>
      <c r="S48" s="19" t="str">
        <f ca="1">IFERROR(__xludf.DUMMYFUNCTION("IMPORTXML(AI48, ""//li[strong[text()='International Units:']]"")"),"Loading...")</f>
        <v>Loading...</v>
      </c>
      <c r="T48" s="44"/>
      <c r="U48" s="19" t="str">
        <f ca="1">IFERROR(__xludf.DUMMYFUNCTION("IMPORTXML(AI48, ""//li[strong[text()='Percent Franchised:']]"")"),"Percent Franchised:")</f>
        <v>Percent Franchised:</v>
      </c>
      <c r="V48" s="45">
        <f ca="1">IFERROR(__xludf.DUMMYFUNCTION("""COMPUTED_VALUE"""),0.17)</f>
        <v>0.17</v>
      </c>
      <c r="W48" s="19" t="str">
        <f ca="1">IFERROR(__xludf.DUMMYFUNCTION("IMPORTXML(AI48, ""//li[strong[text()='% International Units:']]"")"),"Loading...")</f>
        <v>Loading...</v>
      </c>
      <c r="X48" s="24"/>
      <c r="Y48" s="19" t="str">
        <f ca="1">IFERROR(__xludf.DUMMYFUNCTION("IMPORTXML(AI48, ""//li[strong[text()='US Franchised Units:']]"")"),"Loading...")</f>
        <v>Loading...</v>
      </c>
      <c r="Z48" s="24"/>
      <c r="AA48" s="14" t="str">
        <f t="shared" si="1"/>
        <v/>
      </c>
      <c r="AB48" s="19" t="str">
        <f ca="1">IFERROR(__xludf.DUMMYFUNCTION("IMPORTXML(AI48, ""//li[strong[text()='International Franchised Units:']]"")"),"Loading...")</f>
        <v>Loading...</v>
      </c>
      <c r="AC48" s="24"/>
      <c r="AD48" s="14" t="str">
        <f t="shared" si="2"/>
        <v/>
      </c>
      <c r="AE48" s="25" t="str">
        <f ca="1">IFERROR(__xludf.DUMMYFUNCTION("IMPORTXML(AI48, ""//li[strong[text()='Sales Growth %:']]"")"),"Loading...")</f>
        <v>Loading...</v>
      </c>
      <c r="AF48" s="24"/>
      <c r="AG48" s="25" t="str">
        <f ca="1">IFERROR(__xludf.DUMMYFUNCTION("IMPORTXML(AI48, ""//li[strong[text()='Unit Growth %:']]"")"),"Loading...")</f>
        <v>Loading...</v>
      </c>
      <c r="AH48" s="25"/>
      <c r="AI48" s="48" t="s">
        <v>64</v>
      </c>
      <c r="AJ48" s="27"/>
      <c r="AK48" s="27"/>
      <c r="AL48" s="27"/>
      <c r="AM48" s="27"/>
      <c r="AN48" s="27"/>
      <c r="AO48" s="27"/>
      <c r="AP48" s="27"/>
      <c r="AQ48" s="27"/>
    </row>
    <row r="49" spans="1:43" ht="14.25" customHeight="1">
      <c r="A49" s="42">
        <v>24.047999999999998</v>
      </c>
      <c r="B49" s="14">
        <v>2024</v>
      </c>
      <c r="C49" s="15">
        <v>48</v>
      </c>
      <c r="D49" s="16" t="str">
        <f ca="1">IFERROR(__xludf.DUMMYFUNCTION("IMPORTXML(AI49, ""//h1[@itemprop='headline']/span"")"),"48. Baskin Robbins")</f>
        <v>48. Baskin Robbins</v>
      </c>
      <c r="E49" s="17" t="str">
        <f ca="1">IFERROR(__xludf.DUMMYFUNCTION("REGEXEXTRACT(D49, ""\.\s*(.+)"")"),"Baskin Robbins")</f>
        <v>Baskin Robbins</v>
      </c>
      <c r="F49" s="18" t="str">
        <f ca="1">IFERROR(__xludf.DUMMYFUNCTION("IMPORTXML(AI49, ""//li[strong[text()='Investment Range:']]"")"),"Investment Range:")</f>
        <v>Investment Range:</v>
      </c>
      <c r="G49" s="43" t="str">
        <f ca="1">IFERROR(__xludf.DUMMYFUNCTION("""COMPUTED_VALUE""")," $307,440 - $657,860")</f>
        <v xml:space="preserve"> $307,440 - $657,860</v>
      </c>
      <c r="H49" s="18" t="str">
        <f ca="1">IFERROR(__xludf.DUMMYFUNCTION("SUBSTITUTE(REGEXEXTRACT(G49, ""\$(\d{1,3}(?:,\d{3})*)""), "","", ""."")
"),"307.440")</f>
        <v>307.440</v>
      </c>
      <c r="I49" s="19" t="str">
        <f ca="1">IFERROR(__xludf.DUMMYFUNCTION("SUBSTITUTE(REGEXEXTRACT(G49, ""-\s*\$(\d{1,3}(?:,\d{3})*)""), "","", ""."")
"),"657.860")</f>
        <v>657.860</v>
      </c>
      <c r="J49" s="19" t="str">
        <f ca="1">IFERROR(__xludf.DUMMYFUNCTION("IMPORTXML(AI49, ""//li[strong[text()='Initial Investment:']]"")"),"Loading...")</f>
        <v>Loading...</v>
      </c>
      <c r="K49" s="24"/>
      <c r="L49" s="20" t="str">
        <f ca="1">IFERROR(__xludf.DUMMYFUNCTION("IMPORTXML(AI49, ""//li[strong[text()='Category:']]"")"),"Loading...")</f>
        <v>Loading...</v>
      </c>
      <c r="M49" s="24"/>
      <c r="N49" s="19" t="str">
        <f ca="1">IFERROR(__xludf.DUMMYFUNCTION("IMPORTXML(AI49, ""//li[strong[text()='Global Sales:']]"")"),"Loading...")</f>
        <v>Loading...</v>
      </c>
      <c r="O49" s="24"/>
      <c r="P49" s="19" t="str">
        <f t="shared" si="0"/>
        <v/>
      </c>
      <c r="Q49" s="19" t="str">
        <f ca="1">IFERROR(__xludf.DUMMYFUNCTION("IMPORTXML(AI49, ""//li[strong[text()='US Units:']]"")"),"Loading...")</f>
        <v>Loading...</v>
      </c>
      <c r="R49" s="24"/>
      <c r="S49" s="19" t="str">
        <f ca="1">IFERROR(__xludf.DUMMYFUNCTION("IMPORTXML(AI49, ""//li[strong[text()='International Units:']]"")"),"Loading...")</f>
        <v>Loading...</v>
      </c>
      <c r="T49" s="44"/>
      <c r="U49" s="19" t="str">
        <f ca="1">IFERROR(__xludf.DUMMYFUNCTION("IMPORTXML(AI49, ""//li[strong[text()='Percent Franchised:']]"")"),"Loading...")</f>
        <v>Loading...</v>
      </c>
      <c r="V49" s="24"/>
      <c r="W49" s="19" t="str">
        <f ca="1">IFERROR(__xludf.DUMMYFUNCTION("IMPORTXML(AI49, ""//li[strong[text()='% International Units:']]"")"),"Loading...")</f>
        <v>Loading...</v>
      </c>
      <c r="X49" s="24"/>
      <c r="Y49" s="19" t="str">
        <f ca="1">IFERROR(__xludf.DUMMYFUNCTION("IMPORTXML(AI49, ""//li[strong[text()='US Franchised Units:']]"")"),"Loading...")</f>
        <v>Loading...</v>
      </c>
      <c r="Z49" s="24"/>
      <c r="AA49" s="14" t="str">
        <f t="shared" si="1"/>
        <v/>
      </c>
      <c r="AB49" s="19" t="str">
        <f ca="1">IFERROR(__xludf.DUMMYFUNCTION("IMPORTXML(AI49, ""//li[strong[text()='International Franchised Units:']]"")"),"Loading...")</f>
        <v>Loading...</v>
      </c>
      <c r="AC49" s="24"/>
      <c r="AD49" s="14" t="str">
        <f t="shared" si="2"/>
        <v/>
      </c>
      <c r="AE49" s="25" t="str">
        <f ca="1">IFERROR(__xludf.DUMMYFUNCTION("IMPORTXML(AI49, ""//li[strong[text()='Sales Growth %:']]"")"),"Loading...")</f>
        <v>Loading...</v>
      </c>
      <c r="AF49" s="24"/>
      <c r="AG49" s="25" t="str">
        <f ca="1">IFERROR(__xludf.DUMMYFUNCTION("IMPORTXML(AI49, ""//li[strong[text()='Unit Growth %:']]"")"),"Loading...")</f>
        <v>Loading...</v>
      </c>
      <c r="AH49" s="25"/>
      <c r="AI49" s="48" t="s">
        <v>65</v>
      </c>
      <c r="AJ49" s="27"/>
      <c r="AK49" s="27"/>
      <c r="AL49" s="27"/>
      <c r="AM49" s="27"/>
      <c r="AN49" s="27"/>
      <c r="AO49" s="27"/>
      <c r="AP49" s="27"/>
      <c r="AQ49" s="27"/>
    </row>
    <row r="50" spans="1:43" ht="14.25" customHeight="1">
      <c r="A50" s="42">
        <v>24.048999999999999</v>
      </c>
      <c r="B50" s="14">
        <v>2024</v>
      </c>
      <c r="C50" s="32">
        <v>49</v>
      </c>
      <c r="D50" s="16" t="str">
        <f ca="1">IFERROR(__xludf.DUMMYFUNCTION("IMPORTXML(AI50, ""//h1[@itemprop='headline']/span"")"),"49. Snap-on Tools")</f>
        <v>49. Snap-on Tools</v>
      </c>
      <c r="E50" s="17" t="str">
        <f ca="1">IFERROR(__xludf.DUMMYFUNCTION("REGEXEXTRACT(D50, ""\.\s*(.+)"")"),"Snap-on Tools")</f>
        <v>Snap-on Tools</v>
      </c>
      <c r="F50" s="18" t="str">
        <f ca="1">IFERROR(__xludf.DUMMYFUNCTION("IMPORTXML(AI50, ""//li[strong[text()='Investment Range:']]"")"),"Investment Range:")</f>
        <v>Investment Range:</v>
      </c>
      <c r="G50" s="43" t="str">
        <f ca="1">IFERROR(__xludf.DUMMYFUNCTION("""COMPUTED_VALUE""")," $217,505 - $481,554")</f>
        <v xml:space="preserve"> $217,505 - $481,554</v>
      </c>
      <c r="H50" s="18" t="str">
        <f ca="1">IFERROR(__xludf.DUMMYFUNCTION("SUBSTITUTE(REGEXEXTRACT(G50, ""\$(\d{1,3}(?:,\d{3})*)""), "","", ""."")
"),"217.505")</f>
        <v>217.505</v>
      </c>
      <c r="I50" s="19" t="str">
        <f ca="1">IFERROR(__xludf.DUMMYFUNCTION("SUBSTITUTE(REGEXEXTRACT(G50, ""-\s*\$(\d{1,3}(?:,\d{3})*)""), "","", ""."")
"),"481.554")</f>
        <v>481.554</v>
      </c>
      <c r="J50" s="19" t="str">
        <f ca="1">IFERROR(__xludf.DUMMYFUNCTION("IMPORTXML(AI50, ""//li[strong[text()='Initial Investment:']]"")"),"Loading...")</f>
        <v>Loading...</v>
      </c>
      <c r="K50" s="24"/>
      <c r="L50" s="20" t="str">
        <f ca="1">IFERROR(__xludf.DUMMYFUNCTION("IMPORTXML(AI50, ""//li[strong[text()='Category:']]"")"),"Loading...")</f>
        <v>Loading...</v>
      </c>
      <c r="M50" s="24"/>
      <c r="N50" s="19" t="str">
        <f ca="1">IFERROR(__xludf.DUMMYFUNCTION("IMPORTXML(AI50, ""//li[strong[text()='Global Sales:']]"")"),"Loading...")</f>
        <v>Loading...</v>
      </c>
      <c r="O50" s="24"/>
      <c r="P50" s="19" t="str">
        <f t="shared" si="0"/>
        <v/>
      </c>
      <c r="Q50" s="19" t="str">
        <f ca="1">IFERROR(__xludf.DUMMYFUNCTION("IMPORTXML(AI50, ""//li[strong[text()='US Units:']]"")"),"Loading...")</f>
        <v>Loading...</v>
      </c>
      <c r="R50" s="24"/>
      <c r="S50" s="19" t="str">
        <f ca="1">IFERROR(__xludf.DUMMYFUNCTION("IMPORTXML(AI50, ""//li[strong[text()='International Units:']]"")"),"Loading...")</f>
        <v>Loading...</v>
      </c>
      <c r="T50" s="44"/>
      <c r="U50" s="19" t="str">
        <f ca="1">IFERROR(__xludf.DUMMYFUNCTION("IMPORTXML(AI50, ""//li[strong[text()='Percent Franchised:']]"")"),"Loading...")</f>
        <v>Loading...</v>
      </c>
      <c r="V50" s="24"/>
      <c r="W50" s="19" t="str">
        <f ca="1">IFERROR(__xludf.DUMMYFUNCTION("IMPORTXML(AI50, ""//li[strong[text()='% International Units:']]"")"),"Loading...")</f>
        <v>Loading...</v>
      </c>
      <c r="X50" s="24"/>
      <c r="Y50" s="19" t="str">
        <f ca="1">IFERROR(__xludf.DUMMYFUNCTION("IMPORTXML(AI50, ""//li[strong[text()='US Franchised Units:']]"")"),"Loading...")</f>
        <v>Loading...</v>
      </c>
      <c r="Z50" s="24"/>
      <c r="AA50" s="14" t="str">
        <f t="shared" si="1"/>
        <v/>
      </c>
      <c r="AB50" s="19" t="str">
        <f ca="1">IFERROR(__xludf.DUMMYFUNCTION("IMPORTXML(AI50, ""//li[strong[text()='International Franchised Units:']]"")"),"Loading...")</f>
        <v>Loading...</v>
      </c>
      <c r="AC50" s="24"/>
      <c r="AD50" s="14" t="str">
        <f t="shared" si="2"/>
        <v/>
      </c>
      <c r="AE50" s="25" t="str">
        <f ca="1">IFERROR(__xludf.DUMMYFUNCTION("IMPORTXML(AI50, ""//li[strong[text()='Sales Growth %:']]"")"),"Loading...")</f>
        <v>Loading...</v>
      </c>
      <c r="AF50" s="24"/>
      <c r="AG50" s="25" t="str">
        <f ca="1">IFERROR(__xludf.DUMMYFUNCTION("IMPORTXML(AI50, ""//li[strong[text()='Unit Growth %:']]"")"),"Loading...")</f>
        <v>Loading...</v>
      </c>
      <c r="AH50" s="25"/>
      <c r="AI50" s="48" t="s">
        <v>66</v>
      </c>
      <c r="AJ50" s="27"/>
      <c r="AK50" s="27"/>
      <c r="AL50" s="27"/>
      <c r="AM50" s="27"/>
      <c r="AN50" s="27"/>
      <c r="AO50" s="27"/>
      <c r="AP50" s="27"/>
      <c r="AQ50" s="27"/>
    </row>
    <row r="51" spans="1:43" ht="14.25" customHeight="1">
      <c r="A51" s="42">
        <v>24.05</v>
      </c>
      <c r="B51" s="14">
        <v>2024</v>
      </c>
      <c r="C51" s="36">
        <v>50</v>
      </c>
      <c r="D51" s="16" t="str">
        <f ca="1">IFERROR(__xludf.DUMMYFUNCTION("IMPORTXML(AI51, ""//h1[@itemprop='headline']/span"")"),"50. Anytime Fitness")</f>
        <v>50. Anytime Fitness</v>
      </c>
      <c r="E51" s="17" t="str">
        <f ca="1">IFERROR(__xludf.DUMMYFUNCTION("REGEXEXTRACT(D51, ""\.\s*(.+)"")"),"Anytime Fitness")</f>
        <v>Anytime Fitness</v>
      </c>
      <c r="F51" s="18" t="str">
        <f ca="1">IFERROR(__xludf.DUMMYFUNCTION("IMPORTXML(AI51, ""//li[strong[text()='Investment Range:']]"")"),"Investment Range:")</f>
        <v>Investment Range:</v>
      </c>
      <c r="G51" s="43" t="str">
        <f ca="1">IFERROR(__xludf.DUMMYFUNCTION("""COMPUTED_VALUE""")," $397,516 - $973,121")</f>
        <v xml:space="preserve"> $397,516 - $973,121</v>
      </c>
      <c r="H51" s="18" t="str">
        <f ca="1">IFERROR(__xludf.DUMMYFUNCTION("SUBSTITUTE(REGEXEXTRACT(G51, ""\$(\d{1,3}(?:,\d{3})*)""), "","", ""."")
"),"397.516")</f>
        <v>397.516</v>
      </c>
      <c r="I51" s="19" t="str">
        <f ca="1">IFERROR(__xludf.DUMMYFUNCTION("SUBSTITUTE(REGEXEXTRACT(G51, ""-\s*\$(\d{1,3}(?:,\d{3})*)""), "","", ""."")
"),"973.121")</f>
        <v>973.121</v>
      </c>
      <c r="J51" s="19" t="str">
        <f ca="1">IFERROR(__xludf.DUMMYFUNCTION("IMPORTXML(AI51, ""//li[strong[text()='Initial Investment:']]"")"),"Loading...")</f>
        <v>Loading...</v>
      </c>
      <c r="K51" s="24"/>
      <c r="L51" s="20" t="str">
        <f ca="1">IFERROR(__xludf.DUMMYFUNCTION("IMPORTXML(AI51, ""//li[strong[text()='Category:']]"")"),"Category:")</f>
        <v>Category:</v>
      </c>
      <c r="M51" s="24" t="str">
        <f ca="1">IFERROR(__xludf.DUMMYFUNCTION("""COMPUTED_VALUE""")," Personal Services")</f>
        <v xml:space="preserve"> Personal Services</v>
      </c>
      <c r="N51" s="19" t="str">
        <f ca="1">IFERROR(__xludf.DUMMYFUNCTION("IMPORTXML(AI51, ""//li[strong[text()='Global Sales:']]"")"),"Loading...")</f>
        <v>Loading...</v>
      </c>
      <c r="O51" s="24"/>
      <c r="P51" s="19" t="str">
        <f t="shared" si="0"/>
        <v/>
      </c>
      <c r="Q51" s="19" t="str">
        <f ca="1">IFERROR(__xludf.DUMMYFUNCTION("IMPORTXML(AI51, ""//li[strong[text()='US Units:']]"")"),"Loading...")</f>
        <v>Loading...</v>
      </c>
      <c r="R51" s="24"/>
      <c r="S51" s="19" t="str">
        <f ca="1">IFERROR(__xludf.DUMMYFUNCTION("IMPORTXML(AI51, ""//li[strong[text()='International Units:']]"")"),"Loading...")</f>
        <v>Loading...</v>
      </c>
      <c r="T51" s="44"/>
      <c r="U51" s="19" t="str">
        <f ca="1">IFERROR(__xludf.DUMMYFUNCTION("IMPORTXML(AI51, ""//li[strong[text()='Percent Franchised:']]"")"),"Loading...")</f>
        <v>Loading...</v>
      </c>
      <c r="V51" s="24"/>
      <c r="W51" s="19" t="str">
        <f ca="1">IFERROR(__xludf.DUMMYFUNCTION("IMPORTXML(AI51, ""//li[strong[text()='% International Units:']]"")"),"Loading...")</f>
        <v>Loading...</v>
      </c>
      <c r="X51" s="24"/>
      <c r="Y51" s="19" t="str">
        <f ca="1">IFERROR(__xludf.DUMMYFUNCTION("IMPORTXML(AI51, ""//li[strong[text()='US Franchised Units:']]"")"),"Loading...")</f>
        <v>Loading...</v>
      </c>
      <c r="Z51" s="24"/>
      <c r="AA51" s="14" t="str">
        <f t="shared" si="1"/>
        <v/>
      </c>
      <c r="AB51" s="19" t="str">
        <f ca="1">IFERROR(__xludf.DUMMYFUNCTION("IMPORTXML(AI51, ""//li[strong[text()='International Franchised Units:']]"")"),"Loading...")</f>
        <v>Loading...</v>
      </c>
      <c r="AC51" s="24"/>
      <c r="AD51" s="14" t="str">
        <f t="shared" si="2"/>
        <v/>
      </c>
      <c r="AE51" s="25" t="str">
        <f ca="1">IFERROR(__xludf.DUMMYFUNCTION("IMPORTXML(AI51, ""//li[strong[text()='Sales Growth %:']]"")"),"Loading...")</f>
        <v>Loading...</v>
      </c>
      <c r="AF51" s="24"/>
      <c r="AG51" s="25" t="str">
        <f ca="1">IFERROR(__xludf.DUMMYFUNCTION("IMPORTXML(AI51, ""//li[strong[text()='Unit Growth %:']]"")"),"Loading...")</f>
        <v>Loading...</v>
      </c>
      <c r="AH51" s="25"/>
      <c r="AI51" s="48" t="s">
        <v>67</v>
      </c>
      <c r="AJ51" s="27"/>
      <c r="AK51" s="27"/>
      <c r="AL51" s="27"/>
      <c r="AM51" s="27"/>
      <c r="AN51" s="27"/>
      <c r="AO51" s="27"/>
      <c r="AP51" s="27"/>
      <c r="AQ51" s="27"/>
    </row>
    <row r="52" spans="1:43" ht="14.25" customHeight="1">
      <c r="A52" s="42">
        <v>24.050999999999998</v>
      </c>
      <c r="B52" s="14">
        <v>2024</v>
      </c>
      <c r="C52" s="36">
        <v>51</v>
      </c>
      <c r="D52" s="16" t="str">
        <f ca="1">IFERROR(__xludf.DUMMYFUNCTION("IMPORTXML(AI52, ""//h1[@itemprop='headline']/span"")"),"51. Midas")</f>
        <v>51. Midas</v>
      </c>
      <c r="E52" s="17" t="str">
        <f ca="1">IFERROR(__xludf.DUMMYFUNCTION("REGEXEXTRACT(D52, ""\.\s*(.+)"")"),"Midas")</f>
        <v>Midas</v>
      </c>
      <c r="F52" s="18" t="str">
        <f ca="1">IFERROR(__xludf.DUMMYFUNCTION("IMPORTXML(AI52, ""//li[strong[text()='Investment Range:']]"")"),"Investment Range:")</f>
        <v>Investment Range:</v>
      </c>
      <c r="G52" s="43" t="str">
        <f ca="1">IFERROR(__xludf.DUMMYFUNCTION("""COMPUTED_VALUE""")," $209,150 - $884,890")</f>
        <v xml:space="preserve"> $209,150 - $884,890</v>
      </c>
      <c r="H52" s="18" t="str">
        <f ca="1">IFERROR(__xludf.DUMMYFUNCTION("SUBSTITUTE(REGEXEXTRACT(G52, ""\$(\d{1,3}(?:,\d{3})*)""), "","", ""."")
"),"209.150")</f>
        <v>209.150</v>
      </c>
      <c r="I52" s="19" t="str">
        <f ca="1">IFERROR(__xludf.DUMMYFUNCTION("SUBSTITUTE(REGEXEXTRACT(G52, ""-\s*\$(\d{1,3}(?:,\d{3})*)""), "","", ""."")
"),"884.890")</f>
        <v>884.890</v>
      </c>
      <c r="J52" s="19" t="str">
        <f ca="1">IFERROR(__xludf.DUMMYFUNCTION("IMPORTXML(AI52, ""//li[strong[text()='Initial Investment:']]"")"),"Loading...")</f>
        <v>Loading...</v>
      </c>
      <c r="K52" s="24"/>
      <c r="L52" s="20" t="str">
        <f ca="1">IFERROR(__xludf.DUMMYFUNCTION("IMPORTXML(AI52, ""//li[strong[text()='Category:']]"")"),"Loading...")</f>
        <v>Loading...</v>
      </c>
      <c r="M52" s="24"/>
      <c r="N52" s="19" t="str">
        <f ca="1">IFERROR(__xludf.DUMMYFUNCTION("IMPORTXML(AI52, ""//li[strong[text()='Global Sales:']]"")"),"Loading...")</f>
        <v>Loading...</v>
      </c>
      <c r="O52" s="24"/>
      <c r="P52" s="19" t="str">
        <f t="shared" si="0"/>
        <v/>
      </c>
      <c r="Q52" s="19" t="str">
        <f ca="1">IFERROR(__xludf.DUMMYFUNCTION("IMPORTXML(AI52, ""//li[strong[text()='US Units:']]"")"),"Loading...")</f>
        <v>Loading...</v>
      </c>
      <c r="R52" s="24"/>
      <c r="S52" s="19" t="str">
        <f ca="1">IFERROR(__xludf.DUMMYFUNCTION("IMPORTXML(AI52, ""//li[strong[text()='International Units:']]"")"),"Loading...")</f>
        <v>Loading...</v>
      </c>
      <c r="T52" s="44"/>
      <c r="U52" s="19" t="str">
        <f ca="1">IFERROR(__xludf.DUMMYFUNCTION("IMPORTXML(AI52, ""//li[strong[text()='Percent Franchised:']]"")"),"Loading...")</f>
        <v>Loading...</v>
      </c>
      <c r="V52" s="24"/>
      <c r="W52" s="19" t="str">
        <f ca="1">IFERROR(__xludf.DUMMYFUNCTION("IMPORTXML(AI52, ""//li[strong[text()='% International Units:']]"")"),"Loading...")</f>
        <v>Loading...</v>
      </c>
      <c r="X52" s="24"/>
      <c r="Y52" s="19" t="str">
        <f ca="1">IFERROR(__xludf.DUMMYFUNCTION("IMPORTXML(AI52, ""//li[strong[text()='US Franchised Units:']]"")"),"Loading...")</f>
        <v>Loading...</v>
      </c>
      <c r="Z52" s="24"/>
      <c r="AA52" s="14" t="str">
        <f t="shared" si="1"/>
        <v/>
      </c>
      <c r="AB52" s="19" t="str">
        <f ca="1">IFERROR(__xludf.DUMMYFUNCTION("IMPORTXML(AI52, ""//li[strong[text()='International Franchised Units:']]"")"),"Loading...")</f>
        <v>Loading...</v>
      </c>
      <c r="AC52" s="24"/>
      <c r="AD52" s="14" t="str">
        <f t="shared" si="2"/>
        <v/>
      </c>
      <c r="AE52" s="25" t="str">
        <f ca="1">IFERROR(__xludf.DUMMYFUNCTION("IMPORTXML(AI52, ""//li[strong[text()='Sales Growth %:']]"")"),"Loading...")</f>
        <v>Loading...</v>
      </c>
      <c r="AF52" s="24"/>
      <c r="AG52" s="25" t="str">
        <f ca="1">IFERROR(__xludf.DUMMYFUNCTION("IMPORTXML(AI52, ""//li[strong[text()='Unit Growth %:']]"")"),"Loading...")</f>
        <v>Loading...</v>
      </c>
      <c r="AH52" s="25"/>
      <c r="AI52" s="48" t="s">
        <v>68</v>
      </c>
      <c r="AJ52" s="27"/>
      <c r="AK52" s="27"/>
      <c r="AL52" s="27"/>
      <c r="AM52" s="27"/>
      <c r="AN52" s="27"/>
      <c r="AO52" s="27"/>
      <c r="AP52" s="27"/>
      <c r="AQ52" s="27"/>
    </row>
    <row r="53" spans="1:43" ht="14.25" customHeight="1">
      <c r="A53" s="42">
        <v>24.052</v>
      </c>
      <c r="B53" s="14">
        <v>2024</v>
      </c>
      <c r="C53" s="15">
        <v>52</v>
      </c>
      <c r="D53" s="16" t="str">
        <f ca="1">IFERROR(__xludf.DUMMYFUNCTION("IMPORTXML(AI53, ""//h1[@itemprop='headline']/span"")"),"52. Pet Supplies Plus")</f>
        <v>52. Pet Supplies Plus</v>
      </c>
      <c r="E53" s="17" t="str">
        <f ca="1">IFERROR(__xludf.DUMMYFUNCTION("REGEXEXTRACT(D53, ""\.\s*(.+)"")"),"Pet Supplies Plus")</f>
        <v>Pet Supplies Plus</v>
      </c>
      <c r="F53" s="18" t="str">
        <f ca="1">IFERROR(__xludf.DUMMYFUNCTION("IMPORTXML(AI53, ""//li[strong[text()='Investment Range:']]"")"),"Investment Range:")</f>
        <v>Investment Range:</v>
      </c>
      <c r="G53" s="43" t="str">
        <f ca="1">IFERROR(__xludf.DUMMYFUNCTION("""COMPUTED_VALUE""")," $498,320 - $1,978,605")</f>
        <v xml:space="preserve"> $498,320 - $1,978,605</v>
      </c>
      <c r="H53" s="18" t="str">
        <f ca="1">IFERROR(__xludf.DUMMYFUNCTION("SUBSTITUTE(REGEXEXTRACT(G53, ""\$(\d{1,3}(?:,\d{3})*)""), "","", ""."")
"),"498.320")</f>
        <v>498.320</v>
      </c>
      <c r="I53" s="19" t="str">
        <f ca="1">IFERROR(__xludf.DUMMYFUNCTION("SUBSTITUTE(REGEXEXTRACT(G53, ""-\s*\$(\d{1,3}(?:,\d{3})*)""), "","", ""."")
"),"1.978.605")</f>
        <v>1.978.605</v>
      </c>
      <c r="J53" s="19" t="str">
        <f ca="1">IFERROR(__xludf.DUMMYFUNCTION("IMPORTXML(AI53, ""//li[strong[text()='Initial Investment:']]"")"),"Loading...")</f>
        <v>Loading...</v>
      </c>
      <c r="K53" s="24"/>
      <c r="L53" s="20" t="str">
        <f ca="1">IFERROR(__xludf.DUMMYFUNCTION("IMPORTXML(AI53, ""//li[strong[text()='Category:']]"")"),"Loading...")</f>
        <v>Loading...</v>
      </c>
      <c r="M53" s="24"/>
      <c r="N53" s="19" t="str">
        <f ca="1">IFERROR(__xludf.DUMMYFUNCTION("IMPORTXML(AI53, ""//li[strong[text()='Global Sales:']]"")"),"Loading...")</f>
        <v>Loading...</v>
      </c>
      <c r="O53" s="24"/>
      <c r="P53" s="19" t="str">
        <f t="shared" si="0"/>
        <v/>
      </c>
      <c r="Q53" s="19" t="str">
        <f ca="1">IFERROR(__xludf.DUMMYFUNCTION("IMPORTXML(AI53, ""//li[strong[text()='US Units:']]"")"),"Loading...")</f>
        <v>Loading...</v>
      </c>
      <c r="R53" s="24"/>
      <c r="S53" s="19" t="str">
        <f ca="1">IFERROR(__xludf.DUMMYFUNCTION("IMPORTXML(AI53, ""//li[strong[text()='International Units:']]"")"),"Loading...")</f>
        <v>Loading...</v>
      </c>
      <c r="T53" s="44"/>
      <c r="U53" s="19" t="str">
        <f ca="1">IFERROR(__xludf.DUMMYFUNCTION("IMPORTXML(AI53, ""//li[strong[text()='Percent Franchised:']]"")"),"Loading...")</f>
        <v>Loading...</v>
      </c>
      <c r="V53" s="24"/>
      <c r="W53" s="19" t="str">
        <f ca="1">IFERROR(__xludf.DUMMYFUNCTION("IMPORTXML(AI53, ""//li[strong[text()='% International Units:']]"")"),"Loading...")</f>
        <v>Loading...</v>
      </c>
      <c r="X53" s="24"/>
      <c r="Y53" s="19" t="str">
        <f ca="1">IFERROR(__xludf.DUMMYFUNCTION("IMPORTXML(AI53, ""//li[strong[text()='US Franchised Units:']]"")"),"Loading...")</f>
        <v>Loading...</v>
      </c>
      <c r="Z53" s="24"/>
      <c r="AA53" s="14" t="str">
        <f t="shared" si="1"/>
        <v/>
      </c>
      <c r="AB53" s="19" t="str">
        <f ca="1">IFERROR(__xludf.DUMMYFUNCTION("IMPORTXML(AI53, ""//li[strong[text()='International Franchised Units:']]"")"),"Loading...")</f>
        <v>Loading...</v>
      </c>
      <c r="AC53" s="24"/>
      <c r="AD53" s="14" t="str">
        <f t="shared" si="2"/>
        <v/>
      </c>
      <c r="AE53" s="25" t="str">
        <f ca="1">IFERROR(__xludf.DUMMYFUNCTION("IMPORTXML(AI53, ""//li[strong[text()='Sales Growth %:']]"")"),"Loading...")</f>
        <v>Loading...</v>
      </c>
      <c r="AF53" s="24"/>
      <c r="AG53" s="25" t="str">
        <f ca="1">IFERROR(__xludf.DUMMYFUNCTION("IMPORTXML(AI53, ""//li[strong[text()='Unit Growth %:']]"")"),"Loading...")</f>
        <v>Loading...</v>
      </c>
      <c r="AH53" s="25"/>
      <c r="AI53" s="48" t="s">
        <v>69</v>
      </c>
      <c r="AJ53" s="27"/>
      <c r="AK53" s="27"/>
      <c r="AL53" s="27"/>
      <c r="AM53" s="27"/>
      <c r="AN53" s="27"/>
      <c r="AO53" s="27"/>
      <c r="AP53" s="27"/>
      <c r="AQ53" s="27"/>
    </row>
    <row r="54" spans="1:43" ht="14.25" customHeight="1">
      <c r="A54" s="42">
        <v>24.053000000000001</v>
      </c>
      <c r="B54" s="14">
        <v>2024</v>
      </c>
      <c r="C54" s="32">
        <v>53</v>
      </c>
      <c r="D54" s="16" t="str">
        <f ca="1">IFERROR(__xludf.DUMMYFUNCTION("IMPORTXML(AI54, ""//h1[@itemprop='headline']/span"")"),"53. Bojangles’ Famous Chicken 'n Biscuits")</f>
        <v>53. Bojangles’ Famous Chicken 'n Biscuits</v>
      </c>
      <c r="E54" s="17" t="str">
        <f ca="1">IFERROR(__xludf.DUMMYFUNCTION("REGEXEXTRACT(D54, ""\.\s*(.+)"")"),"Bojangles’ Famous Chicken 'n Biscuits")</f>
        <v>Bojangles’ Famous Chicken 'n Biscuits</v>
      </c>
      <c r="F54" s="18" t="str">
        <f ca="1">IFERROR(__xludf.DUMMYFUNCTION("IMPORTXML(AI54, ""//li[strong[text()='Investment Range:']]"")"),"#REF!")</f>
        <v>#REF!</v>
      </c>
      <c r="G54" s="43"/>
      <c r="H54" s="18" t="str">
        <f ca="1">IFERROR(__xludf.DUMMYFUNCTION("SUBSTITUTE(REGEXEXTRACT(G54, ""\$(\d{1,3}(?:,\d{3})*)""), "","", ""."")
"),"#N/A")</f>
        <v>#N/A</v>
      </c>
      <c r="I54" s="19" t="str">
        <f ca="1">IFERROR(__xludf.DUMMYFUNCTION("SUBSTITUTE(REGEXEXTRACT(G54, ""-\s*\$(\d{1,3}(?:,\d{3})*)""), "","", ""."")
"),"#N/A")</f>
        <v>#N/A</v>
      </c>
      <c r="J54" s="19" t="str">
        <f ca="1">IFERROR(__xludf.DUMMYFUNCTION("IMPORTXML(AI54, ""//li[strong[text()='Initial Investment:']]"")"),"Loading...")</f>
        <v>Loading...</v>
      </c>
      <c r="K54" s="24"/>
      <c r="L54" s="20" t="str">
        <f ca="1">IFERROR(__xludf.DUMMYFUNCTION("IMPORTXML(AI54, ""//li[strong[text()='Category:']]"")"),"Loading...")</f>
        <v>Loading...</v>
      </c>
      <c r="M54" s="24"/>
      <c r="N54" s="19" t="str">
        <f ca="1">IFERROR(__xludf.DUMMYFUNCTION("IMPORTXML(AI54, ""//li[strong[text()='Global Sales:']]"")"),"Loading...")</f>
        <v>Loading...</v>
      </c>
      <c r="O54" s="24"/>
      <c r="P54" s="19" t="str">
        <f t="shared" si="0"/>
        <v/>
      </c>
      <c r="Q54" s="19" t="str">
        <f ca="1">IFERROR(__xludf.DUMMYFUNCTION("IMPORTXML(AI54, ""//li[strong[text()='US Units:']]"")"),"Loading...")</f>
        <v>Loading...</v>
      </c>
      <c r="R54" s="24"/>
      <c r="S54" s="19" t="str">
        <f ca="1">IFERROR(__xludf.DUMMYFUNCTION("IMPORTXML(AI54, ""//li[strong[text()='International Units:']]"")"),"Loading...")</f>
        <v>Loading...</v>
      </c>
      <c r="T54" s="44"/>
      <c r="U54" s="19" t="str">
        <f ca="1">IFERROR(__xludf.DUMMYFUNCTION("IMPORTXML(AI54, ""//li[strong[text()='Percent Franchised:']]"")"),"Loading...")</f>
        <v>Loading...</v>
      </c>
      <c r="V54" s="24"/>
      <c r="W54" s="19" t="str">
        <f ca="1">IFERROR(__xludf.DUMMYFUNCTION("IMPORTXML(AI54, ""//li[strong[text()='% International Units:']]"")"),"Loading...")</f>
        <v>Loading...</v>
      </c>
      <c r="X54" s="24"/>
      <c r="Y54" s="19" t="str">
        <f ca="1">IFERROR(__xludf.DUMMYFUNCTION("IMPORTXML(AI54, ""//li[strong[text()='US Franchised Units:']]"")"),"Loading...")</f>
        <v>Loading...</v>
      </c>
      <c r="Z54" s="24"/>
      <c r="AA54" s="14" t="str">
        <f t="shared" si="1"/>
        <v/>
      </c>
      <c r="AB54" s="19" t="str">
        <f ca="1">IFERROR(__xludf.DUMMYFUNCTION("IMPORTXML(AI54, ""//li[strong[text()='International Franchised Units:']]"")"),"Loading...")</f>
        <v>Loading...</v>
      </c>
      <c r="AC54" s="24"/>
      <c r="AD54" s="14" t="str">
        <f t="shared" si="2"/>
        <v/>
      </c>
      <c r="AE54" s="25" t="str">
        <f ca="1">IFERROR(__xludf.DUMMYFUNCTION("IMPORTXML(AI54, ""//li[strong[text()='Sales Growth %:']]"")"),"Loading...")</f>
        <v>Loading...</v>
      </c>
      <c r="AF54" s="24"/>
      <c r="AG54" s="25" t="str">
        <f ca="1">IFERROR(__xludf.DUMMYFUNCTION("IMPORTXML(AI54, ""//li[strong[text()='Unit Growth %:']]"")"),"Loading...")</f>
        <v>Loading...</v>
      </c>
      <c r="AH54" s="25"/>
      <c r="AI54" s="48" t="s">
        <v>70</v>
      </c>
      <c r="AJ54" s="27"/>
      <c r="AK54" s="27"/>
      <c r="AL54" s="27"/>
      <c r="AM54" s="27"/>
      <c r="AN54" s="27"/>
      <c r="AO54" s="27"/>
      <c r="AP54" s="27"/>
      <c r="AQ54" s="27"/>
    </row>
    <row r="55" spans="1:43" ht="14.25" customHeight="1">
      <c r="A55" s="42">
        <v>24.053999999999998</v>
      </c>
      <c r="B55" s="14">
        <v>2024</v>
      </c>
      <c r="C55" s="36">
        <v>54</v>
      </c>
      <c r="D55" s="16" t="str">
        <f ca="1">IFERROR(__xludf.DUMMYFUNCTION("IMPORTXML(AI55, ""//h1[@itemprop='headline']/span"")"),"54. Great Clips")</f>
        <v>54. Great Clips</v>
      </c>
      <c r="E55" s="17" t="str">
        <f ca="1">IFERROR(__xludf.DUMMYFUNCTION("REGEXEXTRACT(D55, ""\.\s*(.+)"")"),"Great Clips")</f>
        <v>Great Clips</v>
      </c>
      <c r="F55" s="18" t="str">
        <f ca="1">IFERROR(__xludf.DUMMYFUNCTION("IMPORTXML(AI55, ""//li[strong[text()='Investment Range:']]"")"),"Investment Range:")</f>
        <v>Investment Range:</v>
      </c>
      <c r="G55" s="43" t="str">
        <f ca="1">IFERROR(__xludf.DUMMYFUNCTION("""COMPUTED_VALUE""")," $182,950 - $414,400")</f>
        <v xml:space="preserve"> $182,950 - $414,400</v>
      </c>
      <c r="H55" s="18" t="str">
        <f ca="1">IFERROR(__xludf.DUMMYFUNCTION("SUBSTITUTE(REGEXEXTRACT(G55, ""\$(\d{1,3}(?:,\d{3})*)""), "","", ""."")
"),"182.950")</f>
        <v>182.950</v>
      </c>
      <c r="I55" s="19" t="str">
        <f ca="1">IFERROR(__xludf.DUMMYFUNCTION("SUBSTITUTE(REGEXEXTRACT(G55, ""-\s*\$(\d{1,3}(?:,\d{3})*)""), "","", ""."")
"),"414.400")</f>
        <v>414.400</v>
      </c>
      <c r="J55" s="19" t="str">
        <f ca="1">IFERROR(__xludf.DUMMYFUNCTION("IMPORTXML(AI55, ""//li[strong[text()='Initial Investment:']]"")"),"Loading...")</f>
        <v>Loading...</v>
      </c>
      <c r="K55" s="24"/>
      <c r="L55" s="20" t="str">
        <f ca="1">IFERROR(__xludf.DUMMYFUNCTION("IMPORTXML(AI55, ""//li[strong[text()='Category:']]"")"),"Loading...")</f>
        <v>Loading...</v>
      </c>
      <c r="M55" s="24"/>
      <c r="N55" s="19" t="str">
        <f ca="1">IFERROR(__xludf.DUMMYFUNCTION("IMPORTXML(AI55, ""//li[strong[text()='Global Sales:']]"")"),"Loading...")</f>
        <v>Loading...</v>
      </c>
      <c r="O55" s="24"/>
      <c r="P55" s="19" t="str">
        <f t="shared" si="0"/>
        <v/>
      </c>
      <c r="Q55" s="19" t="str">
        <f ca="1">IFERROR(__xludf.DUMMYFUNCTION("IMPORTXML(AI55, ""//li[strong[text()='US Units:']]"")"),"US Units:")</f>
        <v>US Units:</v>
      </c>
      <c r="R55" s="24">
        <f ca="1">IFERROR(__xludf.DUMMYFUNCTION("""COMPUTED_VALUE"""),4.266)</f>
        <v>4.266</v>
      </c>
      <c r="S55" s="19" t="str">
        <f ca="1">IFERROR(__xludf.DUMMYFUNCTION("IMPORTXML(AI55, ""//li[strong[text()='International Units:']]"")"),"Loading...")</f>
        <v>Loading...</v>
      </c>
      <c r="T55" s="44"/>
      <c r="U55" s="19" t="str">
        <f ca="1">IFERROR(__xludf.DUMMYFUNCTION("IMPORTXML(AI55, ""//li[strong[text()='Percent Franchised:']]"")"),"Loading...")</f>
        <v>Loading...</v>
      </c>
      <c r="V55" s="24"/>
      <c r="W55" s="19" t="str">
        <f ca="1">IFERROR(__xludf.DUMMYFUNCTION("IMPORTXML(AI55, ""//li[strong[text()='% International Units:']]"")"),"Loading...")</f>
        <v>Loading...</v>
      </c>
      <c r="X55" s="24"/>
      <c r="Y55" s="19" t="str">
        <f ca="1">IFERROR(__xludf.DUMMYFUNCTION("IMPORTXML(AI55, ""//li[strong[text()='US Franchised Units:']]"")"),"Loading...")</f>
        <v>Loading...</v>
      </c>
      <c r="Z55" s="24"/>
      <c r="AA55" s="14" t="str">
        <f t="shared" si="1"/>
        <v/>
      </c>
      <c r="AB55" s="19" t="str">
        <f ca="1">IFERROR(__xludf.DUMMYFUNCTION("IMPORTXML(AI55, ""//li[strong[text()='International Franchised Units:']]"")"),"Loading...")</f>
        <v>Loading...</v>
      </c>
      <c r="AC55" s="24"/>
      <c r="AD55" s="14" t="str">
        <f t="shared" si="2"/>
        <v/>
      </c>
      <c r="AE55" s="25" t="str">
        <f ca="1">IFERROR(__xludf.DUMMYFUNCTION("IMPORTXML(AI55, ""//li[strong[text()='Sales Growth %:']]"")"),"Loading...")</f>
        <v>Loading...</v>
      </c>
      <c r="AF55" s="24"/>
      <c r="AG55" s="25" t="str">
        <f ca="1">IFERROR(__xludf.DUMMYFUNCTION("IMPORTXML(AI55, ""//li[strong[text()='Unit Growth %:']]"")"),"Loading...")</f>
        <v>Loading...</v>
      </c>
      <c r="AH55" s="25"/>
      <c r="AI55" s="48" t="s">
        <v>71</v>
      </c>
      <c r="AJ55" s="27"/>
      <c r="AK55" s="27"/>
      <c r="AL55" s="27"/>
      <c r="AM55" s="27"/>
      <c r="AN55" s="27"/>
      <c r="AO55" s="27"/>
      <c r="AP55" s="27"/>
      <c r="AQ55" s="27"/>
    </row>
    <row r="56" spans="1:43" ht="14.25" customHeight="1">
      <c r="A56" s="42">
        <v>24.055</v>
      </c>
      <c r="B56" s="14">
        <v>2024</v>
      </c>
      <c r="C56" s="36">
        <v>55</v>
      </c>
      <c r="D56" s="16" t="str">
        <f ca="1">IFERROR(__xludf.DUMMYFUNCTION("IMPORTXML(AI56, ""//h1[@itemprop='headline']/span"")"),"55. Roto-Rooter")</f>
        <v>55. Roto-Rooter</v>
      </c>
      <c r="E56" s="17" t="str">
        <f ca="1">IFERROR(__xludf.DUMMYFUNCTION("REGEXEXTRACT(D56, ""\.\s*(.+)"")"),"Roto-Rooter")</f>
        <v>Roto-Rooter</v>
      </c>
      <c r="F56" s="18" t="str">
        <f ca="1">IFERROR(__xludf.DUMMYFUNCTION("IMPORTXML(AI56, ""//li[strong[text()='Investment Range:']]"")"),"Investment Range:")</f>
        <v>Investment Range:</v>
      </c>
      <c r="G56" s="43" t="str">
        <f ca="1">IFERROR(__xludf.DUMMYFUNCTION("""COMPUTED_VALUE""")," $103,980 - $273,700")</f>
        <v xml:space="preserve"> $103,980 - $273,700</v>
      </c>
      <c r="H56" s="18" t="str">
        <f ca="1">IFERROR(__xludf.DUMMYFUNCTION("SUBSTITUTE(REGEXEXTRACT(G56, ""\$(\d{1,3}(?:,\d{3})*)""), "","", ""."")
"),"103.980")</f>
        <v>103.980</v>
      </c>
      <c r="I56" s="19" t="str">
        <f ca="1">IFERROR(__xludf.DUMMYFUNCTION("SUBSTITUTE(REGEXEXTRACT(G56, ""-\s*\$(\d{1,3}(?:,\d{3})*)""), "","", ""."")
"),"273.700")</f>
        <v>273.700</v>
      </c>
      <c r="J56" s="19" t="str">
        <f ca="1">IFERROR(__xludf.DUMMYFUNCTION("IMPORTXML(AI56, ""//li[strong[text()='Initial Investment:']]"")"),"Loading...")</f>
        <v>Loading...</v>
      </c>
      <c r="K56" s="24"/>
      <c r="L56" s="20" t="str">
        <f ca="1">IFERROR(__xludf.DUMMYFUNCTION("IMPORTXML(AI56, ""//li[strong[text()='Category:']]"")"),"Loading...")</f>
        <v>Loading...</v>
      </c>
      <c r="M56" s="24"/>
      <c r="N56" s="19" t="str">
        <f ca="1">IFERROR(__xludf.DUMMYFUNCTION("IMPORTXML(AI56, ""//li[strong[text()='Global Sales:']]"")"),"Loading...")</f>
        <v>Loading...</v>
      </c>
      <c r="O56" s="24"/>
      <c r="P56" s="19" t="str">
        <f t="shared" si="0"/>
        <v/>
      </c>
      <c r="Q56" s="19" t="str">
        <f ca="1">IFERROR(__xludf.DUMMYFUNCTION("IMPORTXML(AI56, ""//li[strong[text()='US Units:']]"")"),"Loading...")</f>
        <v>Loading...</v>
      </c>
      <c r="R56" s="24"/>
      <c r="S56" s="19" t="str">
        <f ca="1">IFERROR(__xludf.DUMMYFUNCTION("IMPORTXML(AI56, ""//li[strong[text()='International Units:']]"")"),"Loading...")</f>
        <v>Loading...</v>
      </c>
      <c r="T56" s="44"/>
      <c r="U56" s="19" t="str">
        <f ca="1">IFERROR(__xludf.DUMMYFUNCTION("IMPORTXML(AI56, ""//li[strong[text()='Percent Franchised:']]"")"),"Loading...")</f>
        <v>Loading...</v>
      </c>
      <c r="V56" s="24"/>
      <c r="W56" s="19" t="str">
        <f ca="1">IFERROR(__xludf.DUMMYFUNCTION("IMPORTXML(AI56, ""//li[strong[text()='% International Units:']]"")"),"Loading...")</f>
        <v>Loading...</v>
      </c>
      <c r="X56" s="24"/>
      <c r="Y56" s="19" t="str">
        <f ca="1">IFERROR(__xludf.DUMMYFUNCTION("IMPORTXML(AI56, ""//li[strong[text()='US Franchised Units:']]"")"),"Loading...")</f>
        <v>Loading...</v>
      </c>
      <c r="Z56" s="24"/>
      <c r="AA56" s="14" t="str">
        <f t="shared" si="1"/>
        <v/>
      </c>
      <c r="AB56" s="19" t="str">
        <f ca="1">IFERROR(__xludf.DUMMYFUNCTION("IMPORTXML(AI56, ""//li[strong[text()='International Franchised Units:']]"")"),"Loading...")</f>
        <v>Loading...</v>
      </c>
      <c r="AC56" s="24"/>
      <c r="AD56" s="14" t="str">
        <f t="shared" si="2"/>
        <v/>
      </c>
      <c r="AE56" s="25" t="str">
        <f ca="1">IFERROR(__xludf.DUMMYFUNCTION("IMPORTXML(AI56, ""//li[strong[text()='Sales Growth %:']]"")"),"Loading...")</f>
        <v>Loading...</v>
      </c>
      <c r="AF56" s="24"/>
      <c r="AG56" s="25" t="str">
        <f ca="1">IFERROR(__xludf.DUMMYFUNCTION("IMPORTXML(AI56, ""//li[strong[text()='Unit Growth %:']]"")"),"Loading...")</f>
        <v>Loading...</v>
      </c>
      <c r="AH56" s="25"/>
      <c r="AI56" s="48" t="s">
        <v>72</v>
      </c>
      <c r="AJ56" s="27"/>
      <c r="AK56" s="27"/>
      <c r="AL56" s="27"/>
      <c r="AM56" s="27"/>
      <c r="AN56" s="27"/>
      <c r="AO56" s="27"/>
      <c r="AP56" s="27"/>
      <c r="AQ56" s="27"/>
    </row>
    <row r="57" spans="1:43" ht="14.25" customHeight="1">
      <c r="A57" s="42">
        <v>24.056000000000001</v>
      </c>
      <c r="B57" s="14">
        <v>2024</v>
      </c>
      <c r="C57" s="15">
        <v>56</v>
      </c>
      <c r="D57" s="16" t="str">
        <f ca="1">IFERROR(__xludf.DUMMYFUNCTION("IMPORTXML(AI57, ""//h1[@itemprop='headline']/span"")"),"56. ampm")</f>
        <v>56. ampm</v>
      </c>
      <c r="E57" s="17" t="str">
        <f ca="1">IFERROR(__xludf.DUMMYFUNCTION("REGEXEXTRACT(D57, ""\.\s*(.+)"")"),"ampm")</f>
        <v>ampm</v>
      </c>
      <c r="F57" s="18" t="str">
        <f ca="1">IFERROR(__xludf.DUMMYFUNCTION("IMPORTXML(AI57, ""//li[strong[text()='Investment Range:']]"")"),"Investment Range:")</f>
        <v>Investment Range:</v>
      </c>
      <c r="G57" s="43" t="str">
        <f ca="1">IFERROR(__xludf.DUMMYFUNCTION("""COMPUTED_VALUE""")," $1,786,065 - $7,602,242")</f>
        <v xml:space="preserve"> $1,786,065 - $7,602,242</v>
      </c>
      <c r="H57" s="18" t="str">
        <f ca="1">IFERROR(__xludf.DUMMYFUNCTION("SUBSTITUTE(REGEXEXTRACT(G57, ""\$(\d{1,3}(?:,\d{3})*)""), "","", ""."")
"),"1.786.065")</f>
        <v>1.786.065</v>
      </c>
      <c r="I57" s="19" t="str">
        <f ca="1">IFERROR(__xludf.DUMMYFUNCTION("SUBSTITUTE(REGEXEXTRACT(G57, ""-\s*\$(\d{1,3}(?:,\d{3})*)""), "","", ""."")
"),"7.602.242")</f>
        <v>7.602.242</v>
      </c>
      <c r="J57" s="19" t="str">
        <f ca="1">IFERROR(__xludf.DUMMYFUNCTION("IMPORTXML(AI57, ""//li[strong[text()='Initial Investment:']]"")"),"Loading...")</f>
        <v>Loading...</v>
      </c>
      <c r="K57" s="24"/>
      <c r="L57" s="20" t="str">
        <f ca="1">IFERROR(__xludf.DUMMYFUNCTION("IMPORTXML(AI57, ""//li[strong[text()='Category:']]"")"),"Loading...")</f>
        <v>Loading...</v>
      </c>
      <c r="M57" s="24"/>
      <c r="N57" s="19" t="str">
        <f ca="1">IFERROR(__xludf.DUMMYFUNCTION("IMPORTXML(AI57, ""//li[strong[text()='Global Sales:']]"")"),"Loading...")</f>
        <v>Loading...</v>
      </c>
      <c r="O57" s="24"/>
      <c r="P57" s="19" t="str">
        <f t="shared" si="0"/>
        <v/>
      </c>
      <c r="Q57" s="19" t="str">
        <f ca="1">IFERROR(__xludf.DUMMYFUNCTION("IMPORTXML(AI57, ""//li[strong[text()='US Units:']]"")"),"Loading...")</f>
        <v>Loading...</v>
      </c>
      <c r="R57" s="24"/>
      <c r="S57" s="19" t="str">
        <f ca="1">IFERROR(__xludf.DUMMYFUNCTION("IMPORTXML(AI57, ""//li[strong[text()='International Units:']]"")"),"Loading...")</f>
        <v>Loading...</v>
      </c>
      <c r="T57" s="44"/>
      <c r="U57" s="19" t="str">
        <f ca="1">IFERROR(__xludf.DUMMYFUNCTION("IMPORTXML(AI57, ""//li[strong[text()='Percent Franchised:']]"")"),"Loading...")</f>
        <v>Loading...</v>
      </c>
      <c r="V57" s="24"/>
      <c r="W57" s="19" t="str">
        <f ca="1">IFERROR(__xludf.DUMMYFUNCTION("IMPORTXML(AI57, ""//li[strong[text()='% International Units:']]"")"),"Loading...")</f>
        <v>Loading...</v>
      </c>
      <c r="X57" s="24"/>
      <c r="Y57" s="19" t="str">
        <f ca="1">IFERROR(__xludf.DUMMYFUNCTION("IMPORTXML(AI57, ""//li[strong[text()='US Franchised Units:']]"")"),"Loading...")</f>
        <v>Loading...</v>
      </c>
      <c r="Z57" s="24"/>
      <c r="AA57" s="14" t="str">
        <f t="shared" si="1"/>
        <v/>
      </c>
      <c r="AB57" s="19" t="str">
        <f ca="1">IFERROR(__xludf.DUMMYFUNCTION("IMPORTXML(AI57, ""//li[strong[text()='International Franchised Units:']]"")"),"Loading...")</f>
        <v>Loading...</v>
      </c>
      <c r="AC57" s="24"/>
      <c r="AD57" s="14" t="str">
        <f t="shared" si="2"/>
        <v/>
      </c>
      <c r="AE57" s="25" t="str">
        <f ca="1">IFERROR(__xludf.DUMMYFUNCTION("IMPORTXML(AI57, ""//li[strong[text()='Sales Growth %:']]"")"),"Loading...")</f>
        <v>Loading...</v>
      </c>
      <c r="AF57" s="24"/>
      <c r="AG57" s="25" t="str">
        <f ca="1">IFERROR(__xludf.DUMMYFUNCTION("IMPORTXML(AI57, ""//li[strong[text()='Unit Growth %:']]"")"),"Loading...")</f>
        <v>Loading...</v>
      </c>
      <c r="AH57" s="25"/>
      <c r="AI57" s="48" t="s">
        <v>73</v>
      </c>
      <c r="AJ57" s="27"/>
      <c r="AK57" s="27"/>
      <c r="AL57" s="27"/>
      <c r="AM57" s="27"/>
      <c r="AN57" s="27"/>
      <c r="AO57" s="27"/>
      <c r="AP57" s="27"/>
      <c r="AQ57" s="27"/>
    </row>
    <row r="58" spans="1:43" ht="14.25" customHeight="1">
      <c r="A58" s="42">
        <v>24.056999999999999</v>
      </c>
      <c r="B58" s="14">
        <v>2024</v>
      </c>
      <c r="C58" s="32">
        <v>57</v>
      </c>
      <c r="D58" s="16" t="str">
        <f ca="1">IFERROR(__xludf.DUMMYFUNCTION("IMPORTXML(AI58, ""//h1[@itemprop='headline']/span"")"),"57. HomeVestors")</f>
        <v>57. HomeVestors</v>
      </c>
      <c r="E58" s="17" t="str">
        <f ca="1">IFERROR(__xludf.DUMMYFUNCTION("REGEXEXTRACT(D58, ""\.\s*(.+)"")"),"HomeVestors")</f>
        <v>HomeVestors</v>
      </c>
      <c r="F58" s="18" t="str">
        <f ca="1">IFERROR(__xludf.DUMMYFUNCTION("IMPORTXML(AI58, ""//li[strong[text()='Investment Range:']]"")"),"Investment Range:")</f>
        <v>Investment Range:</v>
      </c>
      <c r="G58" s="43" t="str">
        <f ca="1">IFERROR(__xludf.DUMMYFUNCTION("""COMPUTED_VALUE""")," $155,000 - $461,250")</f>
        <v xml:space="preserve"> $155,000 - $461,250</v>
      </c>
      <c r="H58" s="18" t="str">
        <f ca="1">IFERROR(__xludf.DUMMYFUNCTION("SUBSTITUTE(REGEXEXTRACT(G58, ""\$(\d{1,3}(?:,\d{3})*)""), "","", ""."")
"),"155.000")</f>
        <v>155.000</v>
      </c>
      <c r="I58" s="19" t="str">
        <f ca="1">IFERROR(__xludf.DUMMYFUNCTION("SUBSTITUTE(REGEXEXTRACT(G58, ""-\s*\$(\d{1,3}(?:,\d{3})*)""), "","", ""."")
"),"461.250")</f>
        <v>461.250</v>
      </c>
      <c r="J58" s="19" t="str">
        <f ca="1">IFERROR(__xludf.DUMMYFUNCTION("IMPORTXML(AI58, ""//li[strong[text()='Initial Investment:']]"")"),"Loading...")</f>
        <v>Loading...</v>
      </c>
      <c r="K58" s="24"/>
      <c r="L58" s="20" t="str">
        <f ca="1">IFERROR(__xludf.DUMMYFUNCTION("IMPORTXML(AI58, ""//li[strong[text()='Category:']]"")"),"Category:")</f>
        <v>Category:</v>
      </c>
      <c r="M58" s="24" t="str">
        <f ca="1">IFERROR(__xludf.DUMMYFUNCTION("""COMPUTED_VALUE""")," Home Services")</f>
        <v xml:space="preserve"> Home Services</v>
      </c>
      <c r="N58" s="19" t="str">
        <f ca="1">IFERROR(__xludf.DUMMYFUNCTION("IMPORTXML(AI58, ""//li[strong[text()='Global Sales:']]"")"),"Loading...")</f>
        <v>Loading...</v>
      </c>
      <c r="O58" s="24"/>
      <c r="P58" s="19" t="str">
        <f t="shared" si="0"/>
        <v/>
      </c>
      <c r="Q58" s="19" t="str">
        <f ca="1">IFERROR(__xludf.DUMMYFUNCTION("IMPORTXML(AI58, ""//li[strong[text()='US Units:']]"")"),"Loading...")</f>
        <v>Loading...</v>
      </c>
      <c r="R58" s="24"/>
      <c r="S58" s="19" t="str">
        <f ca="1">IFERROR(__xludf.DUMMYFUNCTION("IMPORTXML(AI58, ""//li[strong[text()='International Units:']]"")"),"Loading...")</f>
        <v>Loading...</v>
      </c>
      <c r="T58" s="44"/>
      <c r="U58" s="19" t="str">
        <f ca="1">IFERROR(__xludf.DUMMYFUNCTION("IMPORTXML(AI58, ""//li[strong[text()='Percent Franchised:']]"")"),"Loading...")</f>
        <v>Loading...</v>
      </c>
      <c r="V58" s="24"/>
      <c r="W58" s="19" t="str">
        <f ca="1">IFERROR(__xludf.DUMMYFUNCTION("IMPORTXML(AI58, ""//li[strong[text()='% International Units:']]"")"),"Loading...")</f>
        <v>Loading...</v>
      </c>
      <c r="X58" s="24"/>
      <c r="Y58" s="19" t="str">
        <f ca="1">IFERROR(__xludf.DUMMYFUNCTION("IMPORTXML(AI58, ""//li[strong[text()='US Franchised Units:']]"")"),"Loading...")</f>
        <v>Loading...</v>
      </c>
      <c r="Z58" s="24"/>
      <c r="AA58" s="14" t="str">
        <f t="shared" si="1"/>
        <v/>
      </c>
      <c r="AB58" s="19" t="str">
        <f ca="1">IFERROR(__xludf.DUMMYFUNCTION("IMPORTXML(AI58, ""//li[strong[text()='International Franchised Units:']]"")"),"Loading...")</f>
        <v>Loading...</v>
      </c>
      <c r="AC58" s="24"/>
      <c r="AD58" s="14" t="str">
        <f t="shared" si="2"/>
        <v/>
      </c>
      <c r="AE58" s="25" t="str">
        <f ca="1">IFERROR(__xludf.DUMMYFUNCTION("IMPORTXML(AI58, ""//li[strong[text()='Sales Growth %:']]"")"),"Loading...")</f>
        <v>Loading...</v>
      </c>
      <c r="AF58" s="24"/>
      <c r="AG58" s="25" t="str">
        <f ca="1">IFERROR(__xludf.DUMMYFUNCTION("IMPORTXML(AI58, ""//li[strong[text()='Unit Growth %:']]"")"),"Loading...")</f>
        <v>Loading...</v>
      </c>
      <c r="AH58" s="25"/>
      <c r="AI58" s="48" t="s">
        <v>74</v>
      </c>
      <c r="AJ58" s="27"/>
      <c r="AK58" s="27"/>
      <c r="AL58" s="27"/>
      <c r="AM58" s="27"/>
      <c r="AN58" s="27"/>
      <c r="AO58" s="27"/>
      <c r="AP58" s="27"/>
      <c r="AQ58" s="27"/>
    </row>
    <row r="59" spans="1:43" ht="14.25" customHeight="1">
      <c r="A59" s="42">
        <v>24.058</v>
      </c>
      <c r="B59" s="14">
        <v>2024</v>
      </c>
      <c r="C59" s="36">
        <v>58</v>
      </c>
      <c r="D59" s="16" t="str">
        <f ca="1">IFERROR(__xludf.DUMMYFUNCTION("IMPORTXML(AI59, ""//h1[@itemprop='headline']/span"")"),"58. Golden Corral")</f>
        <v>58. Golden Corral</v>
      </c>
      <c r="E59" s="17" t="str">
        <f ca="1">IFERROR(__xludf.DUMMYFUNCTION("REGEXEXTRACT(D59, ""\.\s*(.+)"")"),"Golden Corral")</f>
        <v>Golden Corral</v>
      </c>
      <c r="F59" s="18" t="str">
        <f ca="1">IFERROR(__xludf.DUMMYFUNCTION("IMPORTXML(AI59, ""//li[strong[text()='Investment Range:']]"")"),"#N/A")</f>
        <v>#N/A</v>
      </c>
      <c r="G59" s="43"/>
      <c r="H59" s="18" t="str">
        <f ca="1">IFERROR(__xludf.DUMMYFUNCTION("SUBSTITUTE(REGEXEXTRACT(G59, ""\$(\d{1,3}(?:,\d{3})*)""), "","", ""."")
"),"#N/A")</f>
        <v>#N/A</v>
      </c>
      <c r="I59" s="19" t="str">
        <f ca="1">IFERROR(__xludf.DUMMYFUNCTION("SUBSTITUTE(REGEXEXTRACT(G59, ""-\s*\$(\d{1,3}(?:,\d{3})*)""), "","", ""."")
"),"#N/A")</f>
        <v>#N/A</v>
      </c>
      <c r="J59" s="19" t="str">
        <f ca="1">IFERROR(__xludf.DUMMYFUNCTION("IMPORTXML(AI59, ""//li[strong[text()='Initial Investment:']]"")"),"Loading...")</f>
        <v>Loading...</v>
      </c>
      <c r="K59" s="24"/>
      <c r="L59" s="20" t="str">
        <f ca="1">IFERROR(__xludf.DUMMYFUNCTION("IMPORTXML(AI59, ""//li[strong[text()='Category:']]"")"),"Loading...")</f>
        <v>Loading...</v>
      </c>
      <c r="M59" s="24"/>
      <c r="N59" s="19" t="str">
        <f ca="1">IFERROR(__xludf.DUMMYFUNCTION("IMPORTXML(AI59, ""//li[strong[text()='Global Sales:']]"")"),"Loading...")</f>
        <v>Loading...</v>
      </c>
      <c r="O59" s="24"/>
      <c r="P59" s="19" t="str">
        <f t="shared" si="0"/>
        <v/>
      </c>
      <c r="Q59" s="19" t="str">
        <f ca="1">IFERROR(__xludf.DUMMYFUNCTION("IMPORTXML(AI59, ""//li[strong[text()='US Units:']]"")"),"Loading...")</f>
        <v>Loading...</v>
      </c>
      <c r="R59" s="24"/>
      <c r="S59" s="19" t="str">
        <f ca="1">IFERROR(__xludf.DUMMYFUNCTION("IMPORTXML(AI59, ""//li[strong[text()='International Units:']]"")"),"Loading...")</f>
        <v>Loading...</v>
      </c>
      <c r="T59" s="44"/>
      <c r="U59" s="19" t="str">
        <f ca="1">IFERROR(__xludf.DUMMYFUNCTION("IMPORTXML(AI59, ""//li[strong[text()='Percent Franchised:']]"")"),"Loading...")</f>
        <v>Loading...</v>
      </c>
      <c r="V59" s="24"/>
      <c r="W59" s="19" t="str">
        <f ca="1">IFERROR(__xludf.DUMMYFUNCTION("IMPORTXML(AI59, ""//li[strong[text()='% International Units:']]"")"),"Loading...")</f>
        <v>Loading...</v>
      </c>
      <c r="X59" s="24"/>
      <c r="Y59" s="19" t="str">
        <f ca="1">IFERROR(__xludf.DUMMYFUNCTION("IMPORTXML(AI59, ""//li[strong[text()='US Franchised Units:']]"")"),"Loading...")</f>
        <v>Loading...</v>
      </c>
      <c r="Z59" s="24"/>
      <c r="AA59" s="14" t="str">
        <f t="shared" si="1"/>
        <v/>
      </c>
      <c r="AB59" s="19" t="str">
        <f ca="1">IFERROR(__xludf.DUMMYFUNCTION("IMPORTXML(AI59, ""//li[strong[text()='International Franchised Units:']]"")"),"Loading...")</f>
        <v>Loading...</v>
      </c>
      <c r="AC59" s="24"/>
      <c r="AD59" s="14" t="str">
        <f t="shared" si="2"/>
        <v/>
      </c>
      <c r="AE59" s="25" t="str">
        <f ca="1">IFERROR(__xludf.DUMMYFUNCTION("IMPORTXML(AI59, ""//li[strong[text()='Sales Growth %:']]"")"),"Loading...")</f>
        <v>Loading...</v>
      </c>
      <c r="AF59" s="24"/>
      <c r="AG59" s="25" t="str">
        <f ca="1">IFERROR(__xludf.DUMMYFUNCTION("IMPORTXML(AI59, ""//li[strong[text()='Unit Growth %:']]"")"),"Loading...")</f>
        <v>Loading...</v>
      </c>
      <c r="AH59" s="25"/>
      <c r="AI59" s="48" t="s">
        <v>75</v>
      </c>
      <c r="AJ59" s="27"/>
      <c r="AK59" s="27"/>
      <c r="AL59" s="27"/>
      <c r="AM59" s="27"/>
      <c r="AN59" s="27"/>
      <c r="AO59" s="27"/>
      <c r="AP59" s="27"/>
      <c r="AQ59" s="27"/>
    </row>
    <row r="60" spans="1:43" ht="14.25" customHeight="1">
      <c r="A60" s="42">
        <v>24.059000000000001</v>
      </c>
      <c r="B60" s="14">
        <v>2024</v>
      </c>
      <c r="C60" s="36">
        <v>59</v>
      </c>
      <c r="D60" s="16" t="str">
        <f ca="1">IFERROR(__xludf.DUMMYFUNCTION("IMPORTXML(AI60, ""//h1[@itemprop='headline']/span"")"),"59. CARSTAR")</f>
        <v>59. CARSTAR</v>
      </c>
      <c r="E60" s="17" t="str">
        <f ca="1">IFERROR(__xludf.DUMMYFUNCTION("REGEXEXTRACT(D60, ""\.\s*(.+)"")"),"CARSTAR")</f>
        <v>CARSTAR</v>
      </c>
      <c r="F60" s="18" t="str">
        <f ca="1">IFERROR(__xludf.DUMMYFUNCTION("IMPORTXML(AI60, ""//li[strong[text()='Investment Range:']]"")"),"Investment Range:")</f>
        <v>Investment Range:</v>
      </c>
      <c r="G60" s="43" t="str">
        <f ca="1">IFERROR(__xludf.DUMMYFUNCTION("""COMPUTED_VALUE""")," $23,500 - $165,300")</f>
        <v xml:space="preserve"> $23,500 - $165,300</v>
      </c>
      <c r="H60" s="18" t="str">
        <f ca="1">IFERROR(__xludf.DUMMYFUNCTION("SUBSTITUTE(REGEXEXTRACT(G60, ""\$(\d{1,3}(?:,\d{3})*)""), "","", ""."")
"),"23.500")</f>
        <v>23.500</v>
      </c>
      <c r="I60" s="19" t="str">
        <f ca="1">IFERROR(__xludf.DUMMYFUNCTION("SUBSTITUTE(REGEXEXTRACT(G60, ""-\s*\$(\d{1,3}(?:,\d{3})*)""), "","", ""."")
"),"165.300")</f>
        <v>165.300</v>
      </c>
      <c r="J60" s="19" t="str">
        <f ca="1">IFERROR(__xludf.DUMMYFUNCTION("IMPORTXML(AI60, ""//li[strong[text()='Initial Investment:']]"")"),"Loading...")</f>
        <v>Loading...</v>
      </c>
      <c r="K60" s="24"/>
      <c r="L60" s="20" t="str">
        <f ca="1">IFERROR(__xludf.DUMMYFUNCTION("IMPORTXML(AI60, ""//li[strong[text()='Category:']]"")"),"Loading...")</f>
        <v>Loading...</v>
      </c>
      <c r="M60" s="24"/>
      <c r="N60" s="19" t="str">
        <f ca="1">IFERROR(__xludf.DUMMYFUNCTION("IMPORTXML(AI60, ""//li[strong[text()='Global Sales:']]"")"),"Loading...")</f>
        <v>Loading...</v>
      </c>
      <c r="O60" s="24"/>
      <c r="P60" s="19" t="str">
        <f t="shared" si="0"/>
        <v/>
      </c>
      <c r="Q60" s="19" t="str">
        <f ca="1">IFERROR(__xludf.DUMMYFUNCTION("IMPORTXML(AI60, ""//li[strong[text()='US Units:']]"")"),"US Units:")</f>
        <v>US Units:</v>
      </c>
      <c r="R60" s="24">
        <f ca="1">IFERROR(__xludf.DUMMYFUNCTION("""COMPUTED_VALUE"""),455)</f>
        <v>455</v>
      </c>
      <c r="S60" s="19" t="str">
        <f ca="1">IFERROR(__xludf.DUMMYFUNCTION("IMPORTXML(AI60, ""//li[strong[text()='International Units:']]"")"),"Loading...")</f>
        <v>Loading...</v>
      </c>
      <c r="T60" s="44"/>
      <c r="U60" s="19" t="str">
        <f ca="1">IFERROR(__xludf.DUMMYFUNCTION("IMPORTXML(AI60, ""//li[strong[text()='Percent Franchised:']]"")"),"Loading...")</f>
        <v>Loading...</v>
      </c>
      <c r="V60" s="24"/>
      <c r="W60" s="19" t="str">
        <f ca="1">IFERROR(__xludf.DUMMYFUNCTION("IMPORTXML(AI60, ""//li[strong[text()='% International Units:']]"")"),"Loading...")</f>
        <v>Loading...</v>
      </c>
      <c r="X60" s="24"/>
      <c r="Y60" s="19" t="str">
        <f ca="1">IFERROR(__xludf.DUMMYFUNCTION("IMPORTXML(AI60, ""//li[strong[text()='US Franchised Units:']]"")"),"Loading...")</f>
        <v>Loading...</v>
      </c>
      <c r="Z60" s="24"/>
      <c r="AA60" s="14" t="str">
        <f t="shared" si="1"/>
        <v/>
      </c>
      <c r="AB60" s="19" t="str">
        <f ca="1">IFERROR(__xludf.DUMMYFUNCTION("IMPORTXML(AI60, ""//li[strong[text()='International Franchised Units:']]"")"),"Loading...")</f>
        <v>Loading...</v>
      </c>
      <c r="AC60" s="24"/>
      <c r="AD60" s="14" t="str">
        <f t="shared" si="2"/>
        <v/>
      </c>
      <c r="AE60" s="25" t="str">
        <f ca="1">IFERROR(__xludf.DUMMYFUNCTION("IMPORTXML(AI60, ""//li[strong[text()='Sales Growth %:']]"")"),"Loading...")</f>
        <v>Loading...</v>
      </c>
      <c r="AF60" s="24"/>
      <c r="AG60" s="25" t="str">
        <f ca="1">IFERROR(__xludf.DUMMYFUNCTION("IMPORTXML(AI60, ""//li[strong[text()='Unit Growth %:']]"")"),"Loading...")</f>
        <v>Loading...</v>
      </c>
      <c r="AH60" s="25"/>
      <c r="AI60" s="48" t="s">
        <v>76</v>
      </c>
      <c r="AJ60" s="27"/>
      <c r="AK60" s="27"/>
      <c r="AL60" s="27"/>
      <c r="AM60" s="27"/>
      <c r="AN60" s="27"/>
      <c r="AO60" s="27"/>
      <c r="AP60" s="27"/>
      <c r="AQ60" s="27"/>
    </row>
    <row r="61" spans="1:43" ht="14.25" customHeight="1">
      <c r="A61" s="42">
        <v>24.06</v>
      </c>
      <c r="B61" s="14">
        <v>2024</v>
      </c>
      <c r="C61" s="15">
        <v>60</v>
      </c>
      <c r="D61" s="16" t="str">
        <f ca="1">IFERROR(__xludf.DUMMYFUNCTION("IMPORTXML(AI61, ""//h1[@itemprop='headline']/span"")"),"60. Red Robin")</f>
        <v>60. Red Robin</v>
      </c>
      <c r="E61" s="17" t="str">
        <f ca="1">IFERROR(__xludf.DUMMYFUNCTION("REGEXEXTRACT(D61, ""\.\s*(.+)"")"),"Red Robin")</f>
        <v>Red Robin</v>
      </c>
      <c r="F61" s="18" t="str">
        <f ca="1">IFERROR(__xludf.DUMMYFUNCTION("IMPORTXML(AI61, ""//li[strong[text()='Investment Range:']]"")"),"Investment Range:")</f>
        <v>Investment Range:</v>
      </c>
      <c r="G61" s="43" t="str">
        <f ca="1">IFERROR(__xludf.DUMMYFUNCTION("""COMPUTED_VALUE""")," $1,865,000 - $4,115,000")</f>
        <v xml:space="preserve"> $1,865,000 - $4,115,000</v>
      </c>
      <c r="H61" s="18" t="str">
        <f ca="1">IFERROR(__xludf.DUMMYFUNCTION("SUBSTITUTE(REGEXEXTRACT(G61, ""\$(\d{1,3}(?:,\d{3})*)""), "","", ""."")
"),"1.865.000")</f>
        <v>1.865.000</v>
      </c>
      <c r="I61" s="19" t="str">
        <f ca="1">IFERROR(__xludf.DUMMYFUNCTION("SUBSTITUTE(REGEXEXTRACT(G61, ""-\s*\$(\d{1,3}(?:,\d{3})*)""), "","", ""."")
"),"4.115.000")</f>
        <v>4.115.000</v>
      </c>
      <c r="J61" s="19" t="str">
        <f ca="1">IFERROR(__xludf.DUMMYFUNCTION("IMPORTXML(AI61, ""//li[strong[text()='Initial Investment:']]"")"),"Loading...")</f>
        <v>Loading...</v>
      </c>
      <c r="K61" s="24"/>
      <c r="L61" s="20" t="str">
        <f ca="1">IFERROR(__xludf.DUMMYFUNCTION("IMPORTXML(AI61, ""//li[strong[text()='Category:']]"")"),"Loading...")</f>
        <v>Loading...</v>
      </c>
      <c r="M61" s="24"/>
      <c r="N61" s="19" t="str">
        <f ca="1">IFERROR(__xludf.DUMMYFUNCTION("IMPORTXML(AI61, ""//li[strong[text()='Global Sales:']]"")"),"Loading...")</f>
        <v>Loading...</v>
      </c>
      <c r="O61" s="24"/>
      <c r="P61" s="19" t="str">
        <f t="shared" si="0"/>
        <v/>
      </c>
      <c r="Q61" s="19" t="str">
        <f ca="1">IFERROR(__xludf.DUMMYFUNCTION("IMPORTXML(AI61, ""//li[strong[text()='US Units:']]"")"),"Loading...")</f>
        <v>Loading...</v>
      </c>
      <c r="R61" s="24"/>
      <c r="S61" s="19" t="str">
        <f ca="1">IFERROR(__xludf.DUMMYFUNCTION("IMPORTXML(AI61, ""//li[strong[text()='International Units:']]"")"),"Loading...")</f>
        <v>Loading...</v>
      </c>
      <c r="T61" s="44"/>
      <c r="U61" s="19" t="str">
        <f ca="1">IFERROR(__xludf.DUMMYFUNCTION("IMPORTXML(AI61, ""//li[strong[text()='Percent Franchised:']]"")"),"Loading...")</f>
        <v>Loading...</v>
      </c>
      <c r="V61" s="24"/>
      <c r="W61" s="19" t="str">
        <f ca="1">IFERROR(__xludf.DUMMYFUNCTION("IMPORTXML(AI61, ""//li[strong[text()='% International Units:']]"")"),"Loading...")</f>
        <v>Loading...</v>
      </c>
      <c r="X61" s="24"/>
      <c r="Y61" s="19" t="str">
        <f ca="1">IFERROR(__xludf.DUMMYFUNCTION("IMPORTXML(AI61, ""//li[strong[text()='US Franchised Units:']]"")"),"Loading...")</f>
        <v>Loading...</v>
      </c>
      <c r="Z61" s="24"/>
      <c r="AA61" s="14" t="str">
        <f t="shared" si="1"/>
        <v/>
      </c>
      <c r="AB61" s="19" t="str">
        <f ca="1">IFERROR(__xludf.DUMMYFUNCTION("IMPORTXML(AI61, ""//li[strong[text()='International Franchised Units:']]"")"),"Loading...")</f>
        <v>Loading...</v>
      </c>
      <c r="AC61" s="24"/>
      <c r="AD61" s="14" t="str">
        <f t="shared" si="2"/>
        <v/>
      </c>
      <c r="AE61" s="25" t="str">
        <f ca="1">IFERROR(__xludf.DUMMYFUNCTION("IMPORTXML(AI61, ""//li[strong[text()='Sales Growth %:']]"")"),"Loading...")</f>
        <v>Loading...</v>
      </c>
      <c r="AF61" s="24"/>
      <c r="AG61" s="25" t="str">
        <f ca="1">IFERROR(__xludf.DUMMYFUNCTION("IMPORTXML(AI61, ""//li[strong[text()='Unit Growth %:']]"")"),"Loading...")</f>
        <v>Loading...</v>
      </c>
      <c r="AH61" s="25"/>
      <c r="AI61" s="48" t="s">
        <v>77</v>
      </c>
      <c r="AJ61" s="27"/>
      <c r="AK61" s="27"/>
      <c r="AL61" s="27"/>
      <c r="AM61" s="27"/>
      <c r="AN61" s="27"/>
      <c r="AO61" s="27"/>
      <c r="AP61" s="27"/>
      <c r="AQ61" s="27"/>
    </row>
    <row r="62" spans="1:43" ht="14.25" customHeight="1">
      <c r="A62" s="42">
        <v>24.061</v>
      </c>
      <c r="B62" s="14">
        <v>2024</v>
      </c>
      <c r="C62" s="32">
        <v>61</v>
      </c>
      <c r="D62" s="16" t="str">
        <f ca="1">IFERROR(__xludf.DUMMYFUNCTION("IMPORTXML(AI62, ""//h1[@itemprop='headline']/span"")"),"61. Church’s Chicken")</f>
        <v>61. Church’s Chicken</v>
      </c>
      <c r="E62" s="17" t="str">
        <f ca="1">IFERROR(__xludf.DUMMYFUNCTION("REGEXEXTRACT(D62, ""\.\s*(.+)"")"),"Church’s Chicken")</f>
        <v>Church’s Chicken</v>
      </c>
      <c r="F62" s="18" t="str">
        <f ca="1">IFERROR(__xludf.DUMMYFUNCTION("IMPORTXML(AI62, ""//li[strong[text()='Investment Range:']]"")"),"#REF!")</f>
        <v>#REF!</v>
      </c>
      <c r="G62" s="43"/>
      <c r="H62" s="18" t="str">
        <f ca="1">IFERROR(__xludf.DUMMYFUNCTION("SUBSTITUTE(REGEXEXTRACT(G62, ""\$(\d{1,3}(?:,\d{3})*)""), "","", ""."")
"),"#N/A")</f>
        <v>#N/A</v>
      </c>
      <c r="I62" s="19" t="str">
        <f ca="1">IFERROR(__xludf.DUMMYFUNCTION("SUBSTITUTE(REGEXEXTRACT(G62, ""-\s*\$(\d{1,3}(?:,\d{3})*)""), "","", ""."")
"),"#N/A")</f>
        <v>#N/A</v>
      </c>
      <c r="J62" s="19" t="str">
        <f ca="1">IFERROR(__xludf.DUMMYFUNCTION("IMPORTXML(AI62, ""//li[strong[text()='Initial Investment:']]"")"),"Loading...")</f>
        <v>Loading...</v>
      </c>
      <c r="K62" s="24"/>
      <c r="L62" s="20" t="str">
        <f ca="1">IFERROR(__xludf.DUMMYFUNCTION("IMPORTXML(AI62, ""//li[strong[text()='Category:']]"")"),"Loading...")</f>
        <v>Loading...</v>
      </c>
      <c r="M62" s="24"/>
      <c r="N62" s="19" t="str">
        <f ca="1">IFERROR(__xludf.DUMMYFUNCTION("IMPORTXML(AI62, ""//li[strong[text()='Global Sales:']]"")"),"Loading...")</f>
        <v>Loading...</v>
      </c>
      <c r="O62" s="24"/>
      <c r="P62" s="19" t="str">
        <f t="shared" si="0"/>
        <v/>
      </c>
      <c r="Q62" s="19" t="str">
        <f ca="1">IFERROR(__xludf.DUMMYFUNCTION("IMPORTXML(AI62, ""//li[strong[text()='US Units:']]"")"),"Loading...")</f>
        <v>Loading...</v>
      </c>
      <c r="R62" s="24"/>
      <c r="S62" s="19" t="str">
        <f ca="1">IFERROR(__xludf.DUMMYFUNCTION("IMPORTXML(AI62, ""//li[strong[text()='International Units:']]"")"),"Loading...")</f>
        <v>Loading...</v>
      </c>
      <c r="T62" s="44"/>
      <c r="U62" s="19" t="str">
        <f ca="1">IFERROR(__xludf.DUMMYFUNCTION("IMPORTXML(AI62, ""//li[strong[text()='Percent Franchised:']]"")"),"Loading...")</f>
        <v>Loading...</v>
      </c>
      <c r="V62" s="24"/>
      <c r="W62" s="19" t="str">
        <f ca="1">IFERROR(__xludf.DUMMYFUNCTION("IMPORTXML(AI62, ""//li[strong[text()='% International Units:']]"")"),"Loading...")</f>
        <v>Loading...</v>
      </c>
      <c r="X62" s="24"/>
      <c r="Y62" s="19" t="str">
        <f ca="1">IFERROR(__xludf.DUMMYFUNCTION("IMPORTXML(AI62, ""//li[strong[text()='US Franchised Units:']]"")"),"Loading...")</f>
        <v>Loading...</v>
      </c>
      <c r="Z62" s="24"/>
      <c r="AA62" s="14" t="str">
        <f t="shared" si="1"/>
        <v/>
      </c>
      <c r="AB62" s="19" t="str">
        <f ca="1">IFERROR(__xludf.DUMMYFUNCTION("IMPORTXML(AI62, ""//li[strong[text()='International Franchised Units:']]"")"),"Loading...")</f>
        <v>Loading...</v>
      </c>
      <c r="AC62" s="24"/>
      <c r="AD62" s="14" t="str">
        <f t="shared" si="2"/>
        <v/>
      </c>
      <c r="AE62" s="25" t="str">
        <f ca="1">IFERROR(__xludf.DUMMYFUNCTION("IMPORTXML(AI62, ""//li[strong[text()='Sales Growth %:']]"")"),"Loading...")</f>
        <v>Loading...</v>
      </c>
      <c r="AF62" s="24"/>
      <c r="AG62" s="25" t="str">
        <f ca="1">IFERROR(__xludf.DUMMYFUNCTION("IMPORTXML(AI62, ""//li[strong[text()='Unit Growth %:']]"")"),"Loading...")</f>
        <v>Loading...</v>
      </c>
      <c r="AH62" s="25"/>
      <c r="AI62" s="48" t="s">
        <v>78</v>
      </c>
      <c r="AJ62" s="27"/>
      <c r="AK62" s="27"/>
      <c r="AL62" s="27"/>
      <c r="AM62" s="27"/>
      <c r="AN62" s="27"/>
      <c r="AO62" s="27"/>
      <c r="AP62" s="27"/>
      <c r="AQ62" s="27"/>
    </row>
    <row r="63" spans="1:43" ht="14.25" customHeight="1">
      <c r="A63" s="42">
        <v>24.062000000000001</v>
      </c>
      <c r="B63" s="14">
        <v>2024</v>
      </c>
      <c r="C63" s="36">
        <v>62</v>
      </c>
      <c r="D63" s="16" t="str">
        <f ca="1">IFERROR(__xludf.DUMMYFUNCTION("IMPORTXML(AI63, ""//h1[@itemprop='headline']/span"")"),"62. Paul Davis Restoration")</f>
        <v>62. Paul Davis Restoration</v>
      </c>
      <c r="E63" s="17" t="str">
        <f ca="1">IFERROR(__xludf.DUMMYFUNCTION("REGEXEXTRACT(D63, ""\.\s*(.+)"")"),"Paul Davis Restoration")</f>
        <v>Paul Davis Restoration</v>
      </c>
      <c r="F63" s="18" t="str">
        <f ca="1">IFERROR(__xludf.DUMMYFUNCTION("IMPORTXML(AI63, ""//li[strong[text()='Investment Range:']]"")"),"Investment Range:")</f>
        <v>Investment Range:</v>
      </c>
      <c r="G63" s="43" t="str">
        <f ca="1">IFERROR(__xludf.DUMMYFUNCTION("""COMPUTED_VALUE""")," $238,050 - $617,100")</f>
        <v xml:space="preserve"> $238,050 - $617,100</v>
      </c>
      <c r="H63" s="18" t="str">
        <f ca="1">IFERROR(__xludf.DUMMYFUNCTION("SUBSTITUTE(REGEXEXTRACT(G63, ""\$(\d{1,3}(?:,\d{3})*)""), "","", ""."")
"),"238.050")</f>
        <v>238.050</v>
      </c>
      <c r="I63" s="19" t="str">
        <f ca="1">IFERROR(__xludf.DUMMYFUNCTION("SUBSTITUTE(REGEXEXTRACT(G63, ""-\s*\$(\d{1,3}(?:,\d{3})*)""), "","", ""."")
"),"617.100")</f>
        <v>617.100</v>
      </c>
      <c r="J63" s="19" t="str">
        <f ca="1">IFERROR(__xludf.DUMMYFUNCTION("IMPORTXML(AI63, ""//li[strong[text()='Initial Investment:']]"")"),"Loading...")</f>
        <v>Loading...</v>
      </c>
      <c r="K63" s="24"/>
      <c r="L63" s="20" t="str">
        <f ca="1">IFERROR(__xludf.DUMMYFUNCTION("IMPORTXML(AI63, ""//li[strong[text()='Category:']]"")"),"Loading...")</f>
        <v>Loading...</v>
      </c>
      <c r="M63" s="24"/>
      <c r="N63" s="19" t="str">
        <f ca="1">IFERROR(__xludf.DUMMYFUNCTION("IMPORTXML(AI63, ""//li[strong[text()='Global Sales:']]"")"),"Loading...")</f>
        <v>Loading...</v>
      </c>
      <c r="O63" s="24"/>
      <c r="P63" s="19" t="str">
        <f t="shared" si="0"/>
        <v/>
      </c>
      <c r="Q63" s="19" t="str">
        <f ca="1">IFERROR(__xludf.DUMMYFUNCTION("IMPORTXML(AI63, ""//li[strong[text()='US Units:']]"")"),"Loading...")</f>
        <v>Loading...</v>
      </c>
      <c r="R63" s="24"/>
      <c r="S63" s="19" t="str">
        <f ca="1">IFERROR(__xludf.DUMMYFUNCTION("IMPORTXML(AI63, ""//li[strong[text()='International Units:']]"")"),"Loading...")</f>
        <v>Loading...</v>
      </c>
      <c r="T63" s="44"/>
      <c r="U63" s="19" t="str">
        <f ca="1">IFERROR(__xludf.DUMMYFUNCTION("IMPORTXML(AI63, ""//li[strong[text()='Percent Franchised:']]"")"),"Loading...")</f>
        <v>Loading...</v>
      </c>
      <c r="V63" s="24"/>
      <c r="W63" s="19" t="str">
        <f ca="1">IFERROR(__xludf.DUMMYFUNCTION("IMPORTXML(AI63, ""//li[strong[text()='% International Units:']]"")"),"Loading...")</f>
        <v>Loading...</v>
      </c>
      <c r="X63" s="24"/>
      <c r="Y63" s="19" t="str">
        <f ca="1">IFERROR(__xludf.DUMMYFUNCTION("IMPORTXML(AI63, ""//li[strong[text()='US Franchised Units:']]"")"),"Loading...")</f>
        <v>Loading...</v>
      </c>
      <c r="Z63" s="24"/>
      <c r="AA63" s="14" t="str">
        <f t="shared" si="1"/>
        <v/>
      </c>
      <c r="AB63" s="19" t="str">
        <f ca="1">IFERROR(__xludf.DUMMYFUNCTION("IMPORTXML(AI63, ""//li[strong[text()='International Franchised Units:']]"")"),"Loading...")</f>
        <v>Loading...</v>
      </c>
      <c r="AC63" s="24"/>
      <c r="AD63" s="14" t="str">
        <f t="shared" si="2"/>
        <v/>
      </c>
      <c r="AE63" s="25" t="str">
        <f ca="1">IFERROR(__xludf.DUMMYFUNCTION("IMPORTXML(AI63, ""//li[strong[text()='Sales Growth %:']]"")"),"Loading...")</f>
        <v>Loading...</v>
      </c>
      <c r="AF63" s="24"/>
      <c r="AG63" s="25" t="str">
        <f ca="1">IFERROR(__xludf.DUMMYFUNCTION("IMPORTXML(AI63, ""//li[strong[text()='Unit Growth %:']]"")"),"Loading...")</f>
        <v>Loading...</v>
      </c>
      <c r="AH63" s="25"/>
      <c r="AI63" s="48" t="s">
        <v>79</v>
      </c>
      <c r="AJ63" s="27"/>
      <c r="AK63" s="27"/>
      <c r="AL63" s="27"/>
      <c r="AM63" s="27"/>
      <c r="AN63" s="27"/>
      <c r="AO63" s="27"/>
      <c r="AP63" s="27"/>
      <c r="AQ63" s="27"/>
    </row>
    <row r="64" spans="1:43" ht="14.25" customHeight="1">
      <c r="A64" s="42">
        <v>24.062999999999999</v>
      </c>
      <c r="B64" s="14">
        <v>2024</v>
      </c>
      <c r="C64" s="36">
        <v>63</v>
      </c>
      <c r="D64" s="16" t="str">
        <f ca="1">IFERROR(__xludf.DUMMYFUNCTION("IMPORTXML(AI64, ""//h1[@itemprop='headline']/span"")"),"63. The Goddard School")</f>
        <v>63. The Goddard School</v>
      </c>
      <c r="E64" s="17" t="str">
        <f ca="1">IFERROR(__xludf.DUMMYFUNCTION("REGEXEXTRACT(D64, ""\.\s*(.+)"")"),"The Goddard School")</f>
        <v>The Goddard School</v>
      </c>
      <c r="F64" s="18" t="str">
        <f ca="1">IFERROR(__xludf.DUMMYFUNCTION("IMPORTXML(AI64, ""//li[strong[text()='Investment Range:']]"")"),"Investment Range:")</f>
        <v>Investment Range:</v>
      </c>
      <c r="G64" s="43" t="str">
        <f ca="1">IFERROR(__xludf.DUMMYFUNCTION("""COMPUTED_VALUE""")," $902,500 - $1,309,000")</f>
        <v xml:space="preserve"> $902,500 - $1,309,000</v>
      </c>
      <c r="H64" s="18" t="str">
        <f ca="1">IFERROR(__xludf.DUMMYFUNCTION("SUBSTITUTE(REGEXEXTRACT(G64, ""\$(\d{1,3}(?:,\d{3})*)""), "","", ""."")
"),"902.500")</f>
        <v>902.500</v>
      </c>
      <c r="I64" s="19" t="str">
        <f ca="1">IFERROR(__xludf.DUMMYFUNCTION("SUBSTITUTE(REGEXEXTRACT(G64, ""-\s*\$(\d{1,3}(?:,\d{3})*)""), "","", ""."")
"),"1.309.000")</f>
        <v>1.309.000</v>
      </c>
      <c r="J64" s="19" t="str">
        <f ca="1">IFERROR(__xludf.DUMMYFUNCTION("IMPORTXML(AI64, ""//li[strong[text()='Initial Investment:']]"")"),"Loading...")</f>
        <v>Loading...</v>
      </c>
      <c r="K64" s="24"/>
      <c r="L64" s="20" t="str">
        <f ca="1">IFERROR(__xludf.DUMMYFUNCTION("IMPORTXML(AI64, ""//li[strong[text()='Category:']]"")"),"Loading...")</f>
        <v>Loading...</v>
      </c>
      <c r="M64" s="24"/>
      <c r="N64" s="19" t="str">
        <f ca="1">IFERROR(__xludf.DUMMYFUNCTION("IMPORTXML(AI64, ""//li[strong[text()='Global Sales:']]"")"),"Loading...")</f>
        <v>Loading...</v>
      </c>
      <c r="O64" s="24"/>
      <c r="P64" s="19" t="str">
        <f t="shared" si="0"/>
        <v/>
      </c>
      <c r="Q64" s="19" t="str">
        <f ca="1">IFERROR(__xludf.DUMMYFUNCTION("IMPORTXML(AI64, ""//li[strong[text()='US Units:']]"")"),"Loading...")</f>
        <v>Loading...</v>
      </c>
      <c r="R64" s="24"/>
      <c r="S64" s="19" t="str">
        <f ca="1">IFERROR(__xludf.DUMMYFUNCTION("IMPORTXML(AI64, ""//li[strong[text()='International Units:']]"")"),"Loading...")</f>
        <v>Loading...</v>
      </c>
      <c r="T64" s="44"/>
      <c r="U64" s="19" t="str">
        <f ca="1">IFERROR(__xludf.DUMMYFUNCTION("IMPORTXML(AI64, ""//li[strong[text()='Percent Franchised:']]"")"),"Loading...")</f>
        <v>Loading...</v>
      </c>
      <c r="V64" s="24"/>
      <c r="W64" s="19" t="str">
        <f ca="1">IFERROR(__xludf.DUMMYFUNCTION("IMPORTXML(AI64, ""//li[strong[text()='% International Units:']]"")"),"Loading...")</f>
        <v>Loading...</v>
      </c>
      <c r="X64" s="24"/>
      <c r="Y64" s="19" t="str">
        <f ca="1">IFERROR(__xludf.DUMMYFUNCTION("IMPORTXML(AI64, ""//li[strong[text()='US Franchised Units:']]"")"),"Loading...")</f>
        <v>Loading...</v>
      </c>
      <c r="Z64" s="24"/>
      <c r="AA64" s="14" t="str">
        <f t="shared" si="1"/>
        <v/>
      </c>
      <c r="AB64" s="19" t="str">
        <f ca="1">IFERROR(__xludf.DUMMYFUNCTION("IMPORTXML(AI64, ""//li[strong[text()='International Franchised Units:']]"")"),"Loading...")</f>
        <v>Loading...</v>
      </c>
      <c r="AC64" s="24"/>
      <c r="AD64" s="14" t="str">
        <f t="shared" si="2"/>
        <v/>
      </c>
      <c r="AE64" s="25" t="str">
        <f ca="1">IFERROR(__xludf.DUMMYFUNCTION("IMPORTXML(AI64, ""//li[strong[text()='Sales Growth %:']]"")"),"Loading...")</f>
        <v>Loading...</v>
      </c>
      <c r="AF64" s="24"/>
      <c r="AG64" s="25" t="str">
        <f ca="1">IFERROR(__xludf.DUMMYFUNCTION("IMPORTXML(AI64, ""//li[strong[text()='Unit Growth %:']]"")"),"Loading...")</f>
        <v>Loading...</v>
      </c>
      <c r="AH64" s="25"/>
      <c r="AI64" s="48" t="s">
        <v>80</v>
      </c>
      <c r="AJ64" s="27"/>
      <c r="AK64" s="27"/>
      <c r="AL64" s="27"/>
      <c r="AM64" s="27"/>
      <c r="AN64" s="27"/>
      <c r="AO64" s="27"/>
      <c r="AP64" s="27"/>
      <c r="AQ64" s="27"/>
    </row>
    <row r="65" spans="1:43" ht="14.25" customHeight="1">
      <c r="A65" s="42">
        <v>24.064</v>
      </c>
      <c r="B65" s="14">
        <v>2024</v>
      </c>
      <c r="C65" s="15">
        <v>64</v>
      </c>
      <c r="D65" s="16" t="str">
        <f ca="1">IFERROR(__xludf.DUMMYFUNCTION("IMPORTXML(AI65, ""//h1[@itemprop='headline']/span"")"),"64. Primrose Schools")</f>
        <v>64. Primrose Schools</v>
      </c>
      <c r="E65" s="17" t="str">
        <f ca="1">IFERROR(__xludf.DUMMYFUNCTION("REGEXEXTRACT(D65, ""\.\s*(.+)"")"),"Primrose Schools")</f>
        <v>Primrose Schools</v>
      </c>
      <c r="F65" s="18" t="str">
        <f ca="1">IFERROR(__xludf.DUMMYFUNCTION("IMPORTXML(AI65, ""//li[strong[text()='Investment Range:']]"")"),"Investment Range:")</f>
        <v>Investment Range:</v>
      </c>
      <c r="G65" s="43" t="str">
        <f ca="1">IFERROR(__xludf.DUMMYFUNCTION("""COMPUTED_VALUE""")," $5,630,500 - $8,453,500")</f>
        <v xml:space="preserve"> $5,630,500 - $8,453,500</v>
      </c>
      <c r="H65" s="18" t="str">
        <f ca="1">IFERROR(__xludf.DUMMYFUNCTION("SUBSTITUTE(REGEXEXTRACT(G65, ""\$(\d{1,3}(?:,\d{3})*)""), "","", ""."")
"),"5.630.500")</f>
        <v>5.630.500</v>
      </c>
      <c r="I65" s="19" t="str">
        <f ca="1">IFERROR(__xludf.DUMMYFUNCTION("SUBSTITUTE(REGEXEXTRACT(G65, ""-\s*\$(\d{1,3}(?:,\d{3})*)""), "","", ""."")
"),"8.453.500")</f>
        <v>8.453.500</v>
      </c>
      <c r="J65" s="19" t="str">
        <f ca="1">IFERROR(__xludf.DUMMYFUNCTION("IMPORTXML(AI65, ""//li[strong[text()='Initial Investment:']]"")"),"Loading...")</f>
        <v>Loading...</v>
      </c>
      <c r="K65" s="24"/>
      <c r="L65" s="20" t="str">
        <f ca="1">IFERROR(__xludf.DUMMYFUNCTION("IMPORTXML(AI65, ""//li[strong[text()='Category:']]"")"),"Loading...")</f>
        <v>Loading...</v>
      </c>
      <c r="M65" s="24"/>
      <c r="N65" s="19" t="str">
        <f ca="1">IFERROR(__xludf.DUMMYFUNCTION("IMPORTXML(AI65, ""//li[strong[text()='Global Sales:']]"")"),"Loading...")</f>
        <v>Loading...</v>
      </c>
      <c r="O65" s="24"/>
      <c r="P65" s="19" t="str">
        <f t="shared" si="0"/>
        <v/>
      </c>
      <c r="Q65" s="19" t="str">
        <f ca="1">IFERROR(__xludf.DUMMYFUNCTION("IMPORTXML(AI65, ""//li[strong[text()='US Units:']]"")"),"Loading...")</f>
        <v>Loading...</v>
      </c>
      <c r="R65" s="24"/>
      <c r="S65" s="19" t="str">
        <f ca="1">IFERROR(__xludf.DUMMYFUNCTION("IMPORTXML(AI65, ""//li[strong[text()='International Units:']]"")"),"Loading...")</f>
        <v>Loading...</v>
      </c>
      <c r="T65" s="44"/>
      <c r="U65" s="19" t="str">
        <f ca="1">IFERROR(__xludf.DUMMYFUNCTION("IMPORTXML(AI65, ""//li[strong[text()='Percent Franchised:']]"")"),"Loading...")</f>
        <v>Loading...</v>
      </c>
      <c r="V65" s="24"/>
      <c r="W65" s="19" t="str">
        <f ca="1">IFERROR(__xludf.DUMMYFUNCTION("IMPORTXML(AI65, ""//li[strong[text()='% International Units:']]"")"),"Loading...")</f>
        <v>Loading...</v>
      </c>
      <c r="X65" s="24"/>
      <c r="Y65" s="19" t="str">
        <f ca="1">IFERROR(__xludf.DUMMYFUNCTION("IMPORTXML(AI65, ""//li[strong[text()='US Franchised Units:']]"")"),"Loading...")</f>
        <v>Loading...</v>
      </c>
      <c r="Z65" s="24"/>
      <c r="AA65" s="14" t="str">
        <f t="shared" si="1"/>
        <v/>
      </c>
      <c r="AB65" s="19" t="str">
        <f ca="1">IFERROR(__xludf.DUMMYFUNCTION("IMPORTXML(AI65, ""//li[strong[text()='International Franchised Units:']]"")"),"Loading...")</f>
        <v>Loading...</v>
      </c>
      <c r="AC65" s="24"/>
      <c r="AD65" s="14" t="str">
        <f t="shared" si="2"/>
        <v/>
      </c>
      <c r="AE65" s="25" t="str">
        <f ca="1">IFERROR(__xludf.DUMMYFUNCTION("IMPORTXML(AI65, ""//li[strong[text()='Sales Growth %:']]"")"),"Loading...")</f>
        <v>Loading...</v>
      </c>
      <c r="AF65" s="24"/>
      <c r="AG65" s="25" t="str">
        <f ca="1">IFERROR(__xludf.DUMMYFUNCTION("IMPORTXML(AI65, ""//li[strong[text()='Unit Growth %:']]"")"),"Loading...")</f>
        <v>Loading...</v>
      </c>
      <c r="AH65" s="25"/>
      <c r="AI65" s="48" t="s">
        <v>81</v>
      </c>
      <c r="AJ65" s="27"/>
      <c r="AK65" s="27"/>
      <c r="AL65" s="27"/>
      <c r="AM65" s="27"/>
      <c r="AN65" s="27"/>
      <c r="AO65" s="27"/>
      <c r="AP65" s="27"/>
      <c r="AQ65" s="27"/>
    </row>
    <row r="66" spans="1:43" ht="14.25" customHeight="1">
      <c r="A66" s="42">
        <v>24.065000000000001</v>
      </c>
      <c r="B66" s="14">
        <v>2024</v>
      </c>
      <c r="C66" s="32">
        <v>65</v>
      </c>
      <c r="D66" s="16" t="str">
        <f ca="1">IFERROR(__xludf.DUMMYFUNCTION("IMPORTXML(AI66, ""//h1[@itemprop='headline']/span"")"),"65. Big O Tires")</f>
        <v>65. Big O Tires</v>
      </c>
      <c r="E66" s="17" t="str">
        <f ca="1">IFERROR(__xludf.DUMMYFUNCTION("REGEXEXTRACT(D66, ""\.\s*(.+)"")"),"Big O Tires")</f>
        <v>Big O Tires</v>
      </c>
      <c r="F66" s="18" t="str">
        <f ca="1">IFERROR(__xludf.DUMMYFUNCTION("IMPORTXML(AI66, ""//li[strong[text()='Investment Range:']]"")"),"Investment Range:")</f>
        <v>Investment Range:</v>
      </c>
      <c r="G66" s="43" t="str">
        <f ca="1">IFERROR(__xludf.DUMMYFUNCTION("""COMPUTED_VALUE""")," $375,500 - $1,572,500")</f>
        <v xml:space="preserve"> $375,500 - $1,572,500</v>
      </c>
      <c r="H66" s="18" t="str">
        <f ca="1">IFERROR(__xludf.DUMMYFUNCTION("SUBSTITUTE(REGEXEXTRACT(G66, ""\$(\d{1,3}(?:,\d{3})*)""), "","", ""."")
"),"375.500")</f>
        <v>375.500</v>
      </c>
      <c r="I66" s="19" t="str">
        <f ca="1">IFERROR(__xludf.DUMMYFUNCTION("SUBSTITUTE(REGEXEXTRACT(G66, ""-\s*\$(\d{1,3}(?:,\d{3})*)""), "","", ""."")
"),"1.572.500")</f>
        <v>1.572.500</v>
      </c>
      <c r="J66" s="19" t="str">
        <f ca="1">IFERROR(__xludf.DUMMYFUNCTION("IMPORTXML(AI66, ""//li[strong[text()='Initial Investment:']]"")"),"Loading...")</f>
        <v>Loading...</v>
      </c>
      <c r="K66" s="24"/>
      <c r="L66" s="20" t="str">
        <f ca="1">IFERROR(__xludf.DUMMYFUNCTION("IMPORTXML(AI66, ""//li[strong[text()='Category:']]"")"),"Loading...")</f>
        <v>Loading...</v>
      </c>
      <c r="M66" s="24"/>
      <c r="N66" s="19" t="str">
        <f ca="1">IFERROR(__xludf.DUMMYFUNCTION("IMPORTXML(AI66, ""//li[strong[text()='Global Sales:']]"")"),"Loading...")</f>
        <v>Loading...</v>
      </c>
      <c r="O66" s="24"/>
      <c r="P66" s="19" t="str">
        <f t="shared" si="0"/>
        <v/>
      </c>
      <c r="Q66" s="19" t="str">
        <f ca="1">IFERROR(__xludf.DUMMYFUNCTION("IMPORTXML(AI66, ""//li[strong[text()='US Units:']]"")"),"Loading...")</f>
        <v>Loading...</v>
      </c>
      <c r="R66" s="24"/>
      <c r="S66" s="19" t="str">
        <f ca="1">IFERROR(__xludf.DUMMYFUNCTION("IMPORTXML(AI66, ""//li[strong[text()='International Units:']]"")"),"Loading...")</f>
        <v>Loading...</v>
      </c>
      <c r="T66" s="44"/>
      <c r="U66" s="19" t="str">
        <f ca="1">IFERROR(__xludf.DUMMYFUNCTION("IMPORTXML(AI66, ""//li[strong[text()='Percent Franchised:']]"")"),"Loading...")</f>
        <v>Loading...</v>
      </c>
      <c r="V66" s="24"/>
      <c r="W66" s="19" t="str">
        <f ca="1">IFERROR(__xludf.DUMMYFUNCTION("IMPORTXML(AI66, ""//li[strong[text()='% International Units:']]"")"),"% International Units:")</f>
        <v>% International Units:</v>
      </c>
      <c r="X66" s="45">
        <f ca="1">IFERROR(__xludf.DUMMYFUNCTION("""COMPUTED_VALUE"""),0)</f>
        <v>0</v>
      </c>
      <c r="Y66" s="19" t="str">
        <f ca="1">IFERROR(__xludf.DUMMYFUNCTION("IMPORTXML(AI66, ""//li[strong[text()='US Franchised Units:']]"")"),"Loading...")</f>
        <v>Loading...</v>
      </c>
      <c r="Z66" s="24"/>
      <c r="AA66" s="14" t="str">
        <f t="shared" si="1"/>
        <v/>
      </c>
      <c r="AB66" s="19" t="str">
        <f ca="1">IFERROR(__xludf.DUMMYFUNCTION("IMPORTXML(AI66, ""//li[strong[text()='International Franchised Units:']]"")"),"Loading...")</f>
        <v>Loading...</v>
      </c>
      <c r="AC66" s="24"/>
      <c r="AD66" s="14" t="str">
        <f t="shared" si="2"/>
        <v/>
      </c>
      <c r="AE66" s="25" t="str">
        <f ca="1">IFERROR(__xludf.DUMMYFUNCTION("IMPORTXML(AI66, ""//li[strong[text()='Sales Growth %:']]"")"),"Loading...")</f>
        <v>Loading...</v>
      </c>
      <c r="AF66" s="24"/>
      <c r="AG66" s="25" t="str">
        <f ca="1">IFERROR(__xludf.DUMMYFUNCTION("IMPORTXML(AI66, ""//li[strong[text()='Unit Growth %:']]"")"),"Loading...")</f>
        <v>Loading...</v>
      </c>
      <c r="AH66" s="25"/>
      <c r="AI66" s="48" t="s">
        <v>82</v>
      </c>
      <c r="AJ66" s="27"/>
      <c r="AK66" s="27"/>
      <c r="AL66" s="27"/>
      <c r="AM66" s="27"/>
      <c r="AN66" s="27"/>
      <c r="AO66" s="27"/>
      <c r="AP66" s="27"/>
      <c r="AQ66" s="27"/>
    </row>
    <row r="67" spans="1:43" ht="14.25" customHeight="1">
      <c r="A67" s="42">
        <v>24.065999999999999</v>
      </c>
      <c r="B67" s="14">
        <v>2024</v>
      </c>
      <c r="C67" s="36">
        <v>66</v>
      </c>
      <c r="D67" s="16" t="str">
        <f ca="1">IFERROR(__xludf.DUMMYFUNCTION("IMPORTXML(AI67, ""//h1[@itemprop='headline']/span"")"),"66. Tropical Smoothie Cafe")</f>
        <v>66. Tropical Smoothie Cafe</v>
      </c>
      <c r="E67" s="17" t="str">
        <f ca="1">IFERROR(__xludf.DUMMYFUNCTION("REGEXEXTRACT(D67, ""\.\s*(.+)"")"),"Tropical Smoothie Cafe")</f>
        <v>Tropical Smoothie Cafe</v>
      </c>
      <c r="F67" s="18" t="str">
        <f ca="1">IFERROR(__xludf.DUMMYFUNCTION("IMPORTXML(AI67, ""//li[strong[text()='Investment Range:']]"")"),"#N/A")</f>
        <v>#N/A</v>
      </c>
      <c r="G67" s="43"/>
      <c r="H67" s="18" t="str">
        <f ca="1">IFERROR(__xludf.DUMMYFUNCTION("SUBSTITUTE(REGEXEXTRACT(G67, ""\$(\d{1,3}(?:,\d{3})*)""), "","", ""."")
"),"#N/A")</f>
        <v>#N/A</v>
      </c>
      <c r="I67" s="19" t="str">
        <f ca="1">IFERROR(__xludf.DUMMYFUNCTION("SUBSTITUTE(REGEXEXTRACT(G67, ""-\s*\$(\d{1,3}(?:,\d{3})*)""), "","", ""."")
"),"#N/A")</f>
        <v>#N/A</v>
      </c>
      <c r="J67" s="19" t="str">
        <f ca="1">IFERROR(__xludf.DUMMYFUNCTION("IMPORTXML(AI67, ""//li[strong[text()='Initial Investment:']]"")"),"Loading...")</f>
        <v>Loading...</v>
      </c>
      <c r="K67" s="24"/>
      <c r="L67" s="20" t="str">
        <f ca="1">IFERROR(__xludf.DUMMYFUNCTION("IMPORTXML(AI67, ""//li[strong[text()='Category:']]"")"),"Loading...")</f>
        <v>Loading...</v>
      </c>
      <c r="M67" s="24"/>
      <c r="N67" s="19" t="str">
        <f ca="1">IFERROR(__xludf.DUMMYFUNCTION("IMPORTXML(AI67, ""//li[strong[text()='Global Sales:']]"")"),"Loading...")</f>
        <v>Loading...</v>
      </c>
      <c r="O67" s="24"/>
      <c r="P67" s="19" t="str">
        <f t="shared" si="0"/>
        <v/>
      </c>
      <c r="Q67" s="19" t="str">
        <f ca="1">IFERROR(__xludf.DUMMYFUNCTION("IMPORTXML(AI67, ""//li[strong[text()='US Units:']]"")"),"Loading...")</f>
        <v>Loading...</v>
      </c>
      <c r="R67" s="24"/>
      <c r="S67" s="19" t="str">
        <f ca="1">IFERROR(__xludf.DUMMYFUNCTION("IMPORTXML(AI67, ""//li[strong[text()='International Units:']]"")"),"Loading...")</f>
        <v>Loading...</v>
      </c>
      <c r="T67" s="44"/>
      <c r="U67" s="19" t="str">
        <f ca="1">IFERROR(__xludf.DUMMYFUNCTION("IMPORTXML(AI67, ""//li[strong[text()='Percent Franchised:']]"")"),"Loading...")</f>
        <v>Loading...</v>
      </c>
      <c r="V67" s="24"/>
      <c r="W67" s="19" t="str">
        <f ca="1">IFERROR(__xludf.DUMMYFUNCTION("IMPORTXML(AI67, ""//li[strong[text()='% International Units:']]"")"),"Loading...")</f>
        <v>Loading...</v>
      </c>
      <c r="X67" s="24"/>
      <c r="Y67" s="19" t="str">
        <f ca="1">IFERROR(__xludf.DUMMYFUNCTION("IMPORTXML(AI67, ""//li[strong[text()='US Franchised Units:']]"")"),"Loading...")</f>
        <v>Loading...</v>
      </c>
      <c r="Z67" s="24"/>
      <c r="AA67" s="14" t="str">
        <f t="shared" si="1"/>
        <v/>
      </c>
      <c r="AB67" s="19" t="str">
        <f ca="1">IFERROR(__xludf.DUMMYFUNCTION("IMPORTXML(AI67, ""//li[strong[text()='International Franchised Units:']]"")"),"Loading...")</f>
        <v>Loading...</v>
      </c>
      <c r="AC67" s="24"/>
      <c r="AD67" s="14" t="str">
        <f t="shared" si="2"/>
        <v/>
      </c>
      <c r="AE67" s="25" t="str">
        <f ca="1">IFERROR(__xludf.DUMMYFUNCTION("IMPORTXML(AI67, ""//li[strong[text()='Sales Growth %:']]"")"),"Loading...")</f>
        <v>Loading...</v>
      </c>
      <c r="AF67" s="24"/>
      <c r="AG67" s="25" t="str">
        <f ca="1">IFERROR(__xludf.DUMMYFUNCTION("IMPORTXML(AI67, ""//li[strong[text()='Unit Growth %:']]"")"),"Loading...")</f>
        <v>Loading...</v>
      </c>
      <c r="AH67" s="25"/>
      <c r="AI67" s="48" t="s">
        <v>83</v>
      </c>
      <c r="AJ67" s="27"/>
      <c r="AK67" s="27"/>
      <c r="AL67" s="27"/>
      <c r="AM67" s="27"/>
      <c r="AN67" s="27"/>
      <c r="AO67" s="27"/>
      <c r="AP67" s="27"/>
      <c r="AQ67" s="27"/>
    </row>
    <row r="68" spans="1:43" ht="14.25" customHeight="1">
      <c r="A68" s="42">
        <v>24.067</v>
      </c>
      <c r="B68" s="14">
        <v>2024</v>
      </c>
      <c r="C68" s="36">
        <v>67</v>
      </c>
      <c r="D68" s="16" t="str">
        <f ca="1">IFERROR(__xludf.DUMMYFUNCTION("IMPORTXML(AI68, ""//h1[@itemprop='headline']/span"")"),"67. Firehouse Subs")</f>
        <v>67. Firehouse Subs</v>
      </c>
      <c r="E68" s="17" t="str">
        <f ca="1">IFERROR(__xludf.DUMMYFUNCTION("REGEXEXTRACT(D68, ""\.\s*(.+)"")"),"Firehouse Subs")</f>
        <v>Firehouse Subs</v>
      </c>
      <c r="F68" s="18" t="str">
        <f ca="1">IFERROR(__xludf.DUMMYFUNCTION("IMPORTXML(AI68, ""//li[strong[text()='Investment Range:']]"")"),"Investment Range:")</f>
        <v>Investment Range:</v>
      </c>
      <c r="G68" s="43" t="str">
        <f ca="1">IFERROR(__xludf.DUMMYFUNCTION("""COMPUTED_VALUE""")," $343,245 - $976,700")</f>
        <v xml:space="preserve"> $343,245 - $976,700</v>
      </c>
      <c r="H68" s="18" t="str">
        <f ca="1">IFERROR(__xludf.DUMMYFUNCTION("SUBSTITUTE(REGEXEXTRACT(G68, ""\$(\d{1,3}(?:,\d{3})*)""), "","", ""."")
"),"343.245")</f>
        <v>343.245</v>
      </c>
      <c r="I68" s="19" t="str">
        <f ca="1">IFERROR(__xludf.DUMMYFUNCTION("SUBSTITUTE(REGEXEXTRACT(G68, ""-\s*\$(\d{1,3}(?:,\d{3})*)""), "","", ""."")
"),"976.700")</f>
        <v>976.700</v>
      </c>
      <c r="J68" s="19" t="str">
        <f ca="1">IFERROR(__xludf.DUMMYFUNCTION("IMPORTXML(AI68, ""//li[strong[text()='Initial Investment:']]"")"),"Loading...")</f>
        <v>Loading...</v>
      </c>
      <c r="K68" s="24"/>
      <c r="L68" s="20" t="str">
        <f ca="1">IFERROR(__xludf.DUMMYFUNCTION("IMPORTXML(AI68, ""//li[strong[text()='Category:']]"")"),"Loading...")</f>
        <v>Loading...</v>
      </c>
      <c r="M68" s="24"/>
      <c r="N68" s="19" t="str">
        <f ca="1">IFERROR(__xludf.DUMMYFUNCTION("IMPORTXML(AI68, ""//li[strong[text()='Global Sales:']]"")"),"Loading...")</f>
        <v>Loading...</v>
      </c>
      <c r="O68" s="24"/>
      <c r="P68" s="19" t="str">
        <f t="shared" si="0"/>
        <v/>
      </c>
      <c r="Q68" s="19" t="str">
        <f ca="1">IFERROR(__xludf.DUMMYFUNCTION("IMPORTXML(AI68, ""//li[strong[text()='US Units:']]"")"),"Loading...")</f>
        <v>Loading...</v>
      </c>
      <c r="R68" s="24"/>
      <c r="S68" s="19" t="str">
        <f ca="1">IFERROR(__xludf.DUMMYFUNCTION("IMPORTXML(AI68, ""//li[strong[text()='International Units:']]"")"),"Loading...")</f>
        <v>Loading...</v>
      </c>
      <c r="T68" s="44"/>
      <c r="U68" s="19" t="str">
        <f ca="1">IFERROR(__xludf.DUMMYFUNCTION("IMPORTXML(AI68, ""//li[strong[text()='Percent Franchised:']]"")"),"Loading...")</f>
        <v>Loading...</v>
      </c>
      <c r="V68" s="24"/>
      <c r="W68" s="19" t="str">
        <f ca="1">IFERROR(__xludf.DUMMYFUNCTION("IMPORTXML(AI68, ""//li[strong[text()='% International Units:']]"")"),"Loading...")</f>
        <v>Loading...</v>
      </c>
      <c r="X68" s="24"/>
      <c r="Y68" s="19" t="str">
        <f ca="1">IFERROR(__xludf.DUMMYFUNCTION("IMPORTXML(AI68, ""//li[strong[text()='US Franchised Units:']]"")"),"Loading...")</f>
        <v>Loading...</v>
      </c>
      <c r="Z68" s="24"/>
      <c r="AA68" s="14" t="str">
        <f t="shared" si="1"/>
        <v/>
      </c>
      <c r="AB68" s="19" t="str">
        <f ca="1">IFERROR(__xludf.DUMMYFUNCTION("IMPORTXML(AI68, ""//li[strong[text()='International Franchised Units:']]"")"),"Loading...")</f>
        <v>Loading...</v>
      </c>
      <c r="AC68" s="24"/>
      <c r="AD68" s="14" t="str">
        <f t="shared" si="2"/>
        <v/>
      </c>
      <c r="AE68" s="25" t="str">
        <f ca="1">IFERROR(__xludf.DUMMYFUNCTION("IMPORTXML(AI68, ""//li[strong[text()='Sales Growth %:']]"")"),"Loading...")</f>
        <v>Loading...</v>
      </c>
      <c r="AF68" s="24"/>
      <c r="AG68" s="25" t="str">
        <f ca="1">IFERROR(__xludf.DUMMYFUNCTION("IMPORTXML(AI68, ""//li[strong[text()='Unit Growth %:']]"")"),"Loading...")</f>
        <v>Loading...</v>
      </c>
      <c r="AH68" s="25"/>
      <c r="AI68" s="48" t="s">
        <v>84</v>
      </c>
      <c r="AJ68" s="27"/>
      <c r="AK68" s="27"/>
      <c r="AL68" s="27"/>
      <c r="AM68" s="27"/>
      <c r="AN68" s="27"/>
      <c r="AO68" s="27"/>
      <c r="AP68" s="27"/>
      <c r="AQ68" s="27"/>
    </row>
    <row r="69" spans="1:43" ht="14.25" customHeight="1">
      <c r="A69" s="42">
        <v>24.068000000000001</v>
      </c>
      <c r="B69" s="14">
        <v>2024</v>
      </c>
      <c r="C69" s="15">
        <v>68</v>
      </c>
      <c r="D69" s="16" t="str">
        <f ca="1">IFERROR(__xludf.DUMMYFUNCTION("IMPORTXML(AI69, ""//h1[@itemprop='headline']/span"")"),"68. Window World")</f>
        <v>68. Window World</v>
      </c>
      <c r="E69" s="17" t="str">
        <f ca="1">IFERROR(__xludf.DUMMYFUNCTION("REGEXEXTRACT(D69, ""\.\s*(.+)"")"),"Window World")</f>
        <v>Window World</v>
      </c>
      <c r="F69" s="18" t="str">
        <f ca="1">IFERROR(__xludf.DUMMYFUNCTION("IMPORTXML(AI69, ""//li[strong[text()='Investment Range:']]"")"),"Investment Range:")</f>
        <v>Investment Range:</v>
      </c>
      <c r="G69" s="43" t="str">
        <f ca="1">IFERROR(__xludf.DUMMYFUNCTION("""COMPUTED_VALUE""")," $123,368 - $331,168")</f>
        <v xml:space="preserve"> $123,368 - $331,168</v>
      </c>
      <c r="H69" s="18" t="str">
        <f ca="1">IFERROR(__xludf.DUMMYFUNCTION("SUBSTITUTE(REGEXEXTRACT(G69, ""\$(\d{1,3}(?:,\d{3})*)""), "","", ""."")
"),"123.368")</f>
        <v>123.368</v>
      </c>
      <c r="I69" s="19" t="str">
        <f ca="1">IFERROR(__xludf.DUMMYFUNCTION("SUBSTITUTE(REGEXEXTRACT(G69, ""-\s*\$(\d{1,3}(?:,\d{3})*)""), "","", ""."")
"),"331.168")</f>
        <v>331.168</v>
      </c>
      <c r="J69" s="19" t="str">
        <f ca="1">IFERROR(__xludf.DUMMYFUNCTION("IMPORTXML(AI69, ""//li[strong[text()='Initial Investment:']]"")"),"Loading...")</f>
        <v>Loading...</v>
      </c>
      <c r="K69" s="24"/>
      <c r="L69" s="20" t="str">
        <f ca="1">IFERROR(__xludf.DUMMYFUNCTION("IMPORTXML(AI69, ""//li[strong[text()='Category:']]"")"),"Loading...")</f>
        <v>Loading...</v>
      </c>
      <c r="M69" s="24"/>
      <c r="N69" s="19" t="str">
        <f ca="1">IFERROR(__xludf.DUMMYFUNCTION("IMPORTXML(AI69, ""//li[strong[text()='Global Sales:']]"")"),"Loading...")</f>
        <v>Loading...</v>
      </c>
      <c r="O69" s="24"/>
      <c r="P69" s="19" t="str">
        <f t="shared" si="0"/>
        <v/>
      </c>
      <c r="Q69" s="19" t="str">
        <f ca="1">IFERROR(__xludf.DUMMYFUNCTION("IMPORTXML(AI69, ""//li[strong[text()='US Units:']]"")"),"Loading...")</f>
        <v>Loading...</v>
      </c>
      <c r="R69" s="24"/>
      <c r="S69" s="19" t="str">
        <f ca="1">IFERROR(__xludf.DUMMYFUNCTION("IMPORTXML(AI69, ""//li[strong[text()='International Units:']]"")"),"Loading...")</f>
        <v>Loading...</v>
      </c>
      <c r="T69" s="44"/>
      <c r="U69" s="19" t="str">
        <f ca="1">IFERROR(__xludf.DUMMYFUNCTION("IMPORTXML(AI69, ""//li[strong[text()='Percent Franchised:']]"")"),"Loading...")</f>
        <v>Loading...</v>
      </c>
      <c r="V69" s="24"/>
      <c r="W69" s="19" t="str">
        <f ca="1">IFERROR(__xludf.DUMMYFUNCTION("IMPORTXML(AI69, ""//li[strong[text()='% International Units:']]"")"),"Loading...")</f>
        <v>Loading...</v>
      </c>
      <c r="X69" s="24"/>
      <c r="Y69" s="19" t="str">
        <f ca="1">IFERROR(__xludf.DUMMYFUNCTION("IMPORTXML(AI69, ""//li[strong[text()='US Franchised Units:']]"")"),"Loading...")</f>
        <v>Loading...</v>
      </c>
      <c r="Z69" s="24"/>
      <c r="AA69" s="14" t="str">
        <f t="shared" si="1"/>
        <v/>
      </c>
      <c r="AB69" s="19" t="str">
        <f ca="1">IFERROR(__xludf.DUMMYFUNCTION("IMPORTXML(AI69, ""//li[strong[text()='International Franchised Units:']]"")"),"Loading...")</f>
        <v>Loading...</v>
      </c>
      <c r="AC69" s="24"/>
      <c r="AD69" s="14" t="str">
        <f t="shared" si="2"/>
        <v/>
      </c>
      <c r="AE69" s="25" t="str">
        <f ca="1">IFERROR(__xludf.DUMMYFUNCTION("IMPORTXML(AI69, ""//li[strong[text()='Sales Growth %:']]"")"),"Sales Growth %:")</f>
        <v>Sales Growth %:</v>
      </c>
      <c r="AF69" s="24" t="str">
        <f ca="1">IFERROR(__xludf.DUMMYFUNCTION("""COMPUTED_VALUE""")," -1.3%")</f>
        <v xml:space="preserve"> -1.3%</v>
      </c>
      <c r="AG69" s="25" t="str">
        <f ca="1">IFERROR(__xludf.DUMMYFUNCTION("IMPORTXML(AI69, ""//li[strong[text()='Unit Growth %:']]"")"),"Loading...")</f>
        <v>Loading...</v>
      </c>
      <c r="AH69" s="25"/>
      <c r="AI69" s="48" t="s">
        <v>85</v>
      </c>
      <c r="AJ69" s="27"/>
      <c r="AK69" s="27"/>
      <c r="AL69" s="27"/>
      <c r="AM69" s="27"/>
      <c r="AN69" s="27"/>
      <c r="AO69" s="27"/>
      <c r="AP69" s="27"/>
      <c r="AQ69" s="27"/>
    </row>
    <row r="70" spans="1:43" ht="14.25" customHeight="1">
      <c r="A70" s="42">
        <v>24.068999999999999</v>
      </c>
      <c r="B70" s="14">
        <v>2024</v>
      </c>
      <c r="C70" s="32">
        <v>69</v>
      </c>
      <c r="D70" s="16" t="str">
        <f ca="1">IFERROR(__xludf.DUMMYFUNCTION("IMPORTXML(AI70, ""//h1[@itemprop='headline']/span"")"),"69. Take 5 Oil Change")</f>
        <v>69. Take 5 Oil Change</v>
      </c>
      <c r="E70" s="17" t="str">
        <f ca="1">IFERROR(__xludf.DUMMYFUNCTION("REGEXEXTRACT(D70, ""\.\s*(.+)"")"),"Take 5 Oil Change")</f>
        <v>Take 5 Oil Change</v>
      </c>
      <c r="F70" s="18" t="str">
        <f ca="1">IFERROR(__xludf.DUMMYFUNCTION("IMPORTXML(AI70, ""//li[strong[text()='Investment Range:']]"")"),"#N/A")</f>
        <v>#N/A</v>
      </c>
      <c r="G70" s="43"/>
      <c r="H70" s="18" t="str">
        <f ca="1">IFERROR(__xludf.DUMMYFUNCTION("SUBSTITUTE(REGEXEXTRACT(G70, ""\$(\d{1,3}(?:,\d{3})*)""), "","", ""."")
"),"#N/A")</f>
        <v>#N/A</v>
      </c>
      <c r="I70" s="19" t="str">
        <f ca="1">IFERROR(__xludf.DUMMYFUNCTION("SUBSTITUTE(REGEXEXTRACT(G70, ""-\s*\$(\d{1,3}(?:,\d{3})*)""), "","", ""."")
"),"#N/A")</f>
        <v>#N/A</v>
      </c>
      <c r="J70" s="19" t="str">
        <f ca="1">IFERROR(__xludf.DUMMYFUNCTION("IMPORTXML(AI70, ""//li[strong[text()='Initial Investment:']]"")"),"Loading...")</f>
        <v>Loading...</v>
      </c>
      <c r="K70" s="24"/>
      <c r="L70" s="20" t="str">
        <f ca="1">IFERROR(__xludf.DUMMYFUNCTION("IMPORTXML(AI70, ""//li[strong[text()='Category:']]"")"),"Loading...")</f>
        <v>Loading...</v>
      </c>
      <c r="M70" s="24"/>
      <c r="N70" s="19" t="str">
        <f ca="1">IFERROR(__xludf.DUMMYFUNCTION("IMPORTXML(AI70, ""//li[strong[text()='Global Sales:']]"")"),"Loading...")</f>
        <v>Loading...</v>
      </c>
      <c r="O70" s="24"/>
      <c r="P70" s="19" t="str">
        <f t="shared" si="0"/>
        <v/>
      </c>
      <c r="Q70" s="19" t="str">
        <f ca="1">IFERROR(__xludf.DUMMYFUNCTION("IMPORTXML(AI70, ""//li[strong[text()='US Units:']]"")"),"Loading...")</f>
        <v>Loading...</v>
      </c>
      <c r="R70" s="24"/>
      <c r="S70" s="19" t="str">
        <f ca="1">IFERROR(__xludf.DUMMYFUNCTION("IMPORTXML(AI70, ""//li[strong[text()='International Units:']]"")"),"Loading...")</f>
        <v>Loading...</v>
      </c>
      <c r="T70" s="44"/>
      <c r="U70" s="19" t="str">
        <f ca="1">IFERROR(__xludf.DUMMYFUNCTION("IMPORTXML(AI70, ""//li[strong[text()='Percent Franchised:']]"")"),"Loading...")</f>
        <v>Loading...</v>
      </c>
      <c r="V70" s="24"/>
      <c r="W70" s="19" t="str">
        <f ca="1">IFERROR(__xludf.DUMMYFUNCTION("IMPORTXML(AI70, ""//li[strong[text()='% International Units:']]"")"),"Loading...")</f>
        <v>Loading...</v>
      </c>
      <c r="X70" s="24"/>
      <c r="Y70" s="19" t="str">
        <f ca="1">IFERROR(__xludf.DUMMYFUNCTION("IMPORTXML(AI70, ""//li[strong[text()='US Franchised Units:']]"")"),"Loading...")</f>
        <v>Loading...</v>
      </c>
      <c r="Z70" s="24"/>
      <c r="AA70" s="14" t="str">
        <f t="shared" si="1"/>
        <v/>
      </c>
      <c r="AB70" s="19" t="str">
        <f ca="1">IFERROR(__xludf.DUMMYFUNCTION("IMPORTXML(AI70, ""//li[strong[text()='International Franchised Units:']]"")"),"Loading...")</f>
        <v>Loading...</v>
      </c>
      <c r="AC70" s="24"/>
      <c r="AD70" s="14" t="str">
        <f t="shared" si="2"/>
        <v/>
      </c>
      <c r="AE70" s="25" t="str">
        <f ca="1">IFERROR(__xludf.DUMMYFUNCTION("IMPORTXML(AI70, ""//li[strong[text()='Sales Growth %:']]"")"),"Loading...")</f>
        <v>Loading...</v>
      </c>
      <c r="AF70" s="24"/>
      <c r="AG70" s="25" t="str">
        <f ca="1">IFERROR(__xludf.DUMMYFUNCTION("IMPORTXML(AI70, ""//li[strong[text()='Unit Growth %:']]"")"),"Unit Growth %:")</f>
        <v>Unit Growth %:</v>
      </c>
      <c r="AH70" s="25" t="str">
        <f ca="1">IFERROR(__xludf.DUMMYFUNCTION("""COMPUTED_VALUE""")," 18.4%")</f>
        <v xml:space="preserve"> 18.4%</v>
      </c>
      <c r="AI70" s="48" t="s">
        <v>86</v>
      </c>
      <c r="AJ70" s="27"/>
      <c r="AK70" s="27"/>
      <c r="AL70" s="27"/>
      <c r="AM70" s="27"/>
      <c r="AN70" s="27"/>
      <c r="AO70" s="27"/>
      <c r="AP70" s="27"/>
      <c r="AQ70" s="27"/>
    </row>
    <row r="71" spans="1:43" ht="14.25" customHeight="1">
      <c r="A71" s="42">
        <v>24.07</v>
      </c>
      <c r="B71" s="14">
        <v>2024</v>
      </c>
      <c r="C71" s="36">
        <v>70</v>
      </c>
      <c r="D71" s="16" t="str">
        <f ca="1">IFERROR(__xludf.DUMMYFUNCTION("IMPORTXML(AI71, ""//h1[@itemprop='headline']/span"")"),"70. Marco’s Pizza")</f>
        <v>70. Marco’s Pizza</v>
      </c>
      <c r="E71" s="17" t="str">
        <f ca="1">IFERROR(__xludf.DUMMYFUNCTION("REGEXEXTRACT(D71, ""\.\s*(.+)"")"),"Marco’s Pizza")</f>
        <v>Marco’s Pizza</v>
      </c>
      <c r="F71" s="18" t="str">
        <f ca="1">IFERROR(__xludf.DUMMYFUNCTION("IMPORTXML(AI71, ""//li[strong[text()='Investment Range:']]"")"),"#N/A")</f>
        <v>#N/A</v>
      </c>
      <c r="G71" s="43"/>
      <c r="H71" s="18" t="str">
        <f ca="1">IFERROR(__xludf.DUMMYFUNCTION("SUBSTITUTE(REGEXEXTRACT(G71, ""\$(\d{1,3}(?:,\d{3})*)""), "","", ""."")
"),"#N/A")</f>
        <v>#N/A</v>
      </c>
      <c r="I71" s="19" t="str">
        <f ca="1">IFERROR(__xludf.DUMMYFUNCTION("SUBSTITUTE(REGEXEXTRACT(G71, ""-\s*\$(\d{1,3}(?:,\d{3})*)""), "","", ""."")
"),"#N/A")</f>
        <v>#N/A</v>
      </c>
      <c r="J71" s="19" t="str">
        <f ca="1">IFERROR(__xludf.DUMMYFUNCTION("IMPORTXML(AI71, ""//li[strong[text()='Initial Investment:']]"")"),"Loading...")</f>
        <v>Loading...</v>
      </c>
      <c r="K71" s="24"/>
      <c r="L71" s="20" t="str">
        <f ca="1">IFERROR(__xludf.DUMMYFUNCTION("IMPORTXML(AI71, ""//li[strong[text()='Category:']]"")"),"Loading...")</f>
        <v>Loading...</v>
      </c>
      <c r="M71" s="24"/>
      <c r="N71" s="19" t="str">
        <f ca="1">IFERROR(__xludf.DUMMYFUNCTION("IMPORTXML(AI71, ""//li[strong[text()='Global Sales:']]"")"),"Loading...")</f>
        <v>Loading...</v>
      </c>
      <c r="O71" s="24"/>
      <c r="P71" s="19" t="str">
        <f t="shared" si="0"/>
        <v/>
      </c>
      <c r="Q71" s="19" t="str">
        <f ca="1">IFERROR(__xludf.DUMMYFUNCTION("IMPORTXML(AI71, ""//li[strong[text()='US Units:']]"")"),"Loading...")</f>
        <v>Loading...</v>
      </c>
      <c r="R71" s="24"/>
      <c r="S71" s="19" t="str">
        <f ca="1">IFERROR(__xludf.DUMMYFUNCTION("IMPORTXML(AI71, ""//li[strong[text()='International Units:']]"")"),"Loading...")</f>
        <v>Loading...</v>
      </c>
      <c r="T71" s="44"/>
      <c r="U71" s="19" t="str">
        <f ca="1">IFERROR(__xludf.DUMMYFUNCTION("IMPORTXML(AI71, ""//li[strong[text()='Percent Franchised:']]"")"),"Loading...")</f>
        <v>Loading...</v>
      </c>
      <c r="V71" s="24"/>
      <c r="W71" s="19" t="str">
        <f ca="1">IFERROR(__xludf.DUMMYFUNCTION("IMPORTXML(AI71, ""//li[strong[text()='% International Units:']]"")"),"Loading...")</f>
        <v>Loading...</v>
      </c>
      <c r="X71" s="24"/>
      <c r="Y71" s="19" t="str">
        <f ca="1">IFERROR(__xludf.DUMMYFUNCTION("IMPORTXML(AI71, ""//li[strong[text()='US Franchised Units:']]"")"),"Loading...")</f>
        <v>Loading...</v>
      </c>
      <c r="Z71" s="24"/>
      <c r="AA71" s="14" t="str">
        <f t="shared" si="1"/>
        <v/>
      </c>
      <c r="AB71" s="19" t="str">
        <f ca="1">IFERROR(__xludf.DUMMYFUNCTION("IMPORTXML(AI71, ""//li[strong[text()='International Franchised Units:']]"")"),"Loading...")</f>
        <v>Loading...</v>
      </c>
      <c r="AC71" s="24"/>
      <c r="AD71" s="14" t="str">
        <f t="shared" si="2"/>
        <v/>
      </c>
      <c r="AE71" s="25" t="str">
        <f ca="1">IFERROR(__xludf.DUMMYFUNCTION("IMPORTXML(AI71, ""//li[strong[text()='Sales Growth %:']]"")"),"Loading...")</f>
        <v>Loading...</v>
      </c>
      <c r="AF71" s="24"/>
      <c r="AG71" s="25" t="str">
        <f ca="1">IFERROR(__xludf.DUMMYFUNCTION("IMPORTXML(AI71, ""//li[strong[text()='Unit Growth %:']]"")"),"Loading...")</f>
        <v>Loading...</v>
      </c>
      <c r="AH71" s="25"/>
      <c r="AI71" s="48" t="s">
        <v>87</v>
      </c>
      <c r="AJ71" s="27"/>
      <c r="AK71" s="27"/>
      <c r="AL71" s="27"/>
      <c r="AM71" s="27"/>
      <c r="AN71" s="27"/>
      <c r="AO71" s="27"/>
      <c r="AP71" s="27"/>
      <c r="AQ71" s="27"/>
    </row>
    <row r="72" spans="1:43" ht="14.25" customHeight="1">
      <c r="A72" s="42">
        <v>24.071000000000002</v>
      </c>
      <c r="B72" s="14">
        <v>2024</v>
      </c>
      <c r="C72" s="36">
        <v>71</v>
      </c>
      <c r="D72" s="16" t="str">
        <f ca="1">IFERROR(__xludf.DUMMYFUNCTION("IMPORTXML(AI72, ""//h1[@itemprop='headline']/span"")"),"71. Qdoba Mexican Eats")</f>
        <v>71. Qdoba Mexican Eats</v>
      </c>
      <c r="E72" s="17" t="str">
        <f ca="1">IFERROR(__xludf.DUMMYFUNCTION("REGEXEXTRACT(D72, ""\.\s*(.+)"")"),"Qdoba Mexican Eats")</f>
        <v>Qdoba Mexican Eats</v>
      </c>
      <c r="F72" s="18" t="str">
        <f ca="1">IFERROR(__xludf.DUMMYFUNCTION("IMPORTXML(AI72, ""//li[strong[text()='Investment Range:']]"")"),"Investment Range:")</f>
        <v>Investment Range:</v>
      </c>
      <c r="G72" s="43" t="str">
        <f ca="1">IFERROR(__xludf.DUMMYFUNCTION("""COMPUTED_VALUE""")," $489,200 - $1,307,000")</f>
        <v xml:space="preserve"> $489,200 - $1,307,000</v>
      </c>
      <c r="H72" s="18" t="str">
        <f ca="1">IFERROR(__xludf.DUMMYFUNCTION("SUBSTITUTE(REGEXEXTRACT(G72, ""\$(\d{1,3}(?:,\d{3})*)""), "","", ""."")
"),"489.200")</f>
        <v>489.200</v>
      </c>
      <c r="I72" s="19" t="str">
        <f ca="1">IFERROR(__xludf.DUMMYFUNCTION("SUBSTITUTE(REGEXEXTRACT(G72, ""-\s*\$(\d{1,3}(?:,\d{3})*)""), "","", ""."")
"),"1.307.000")</f>
        <v>1.307.000</v>
      </c>
      <c r="J72" s="19" t="str">
        <f ca="1">IFERROR(__xludf.DUMMYFUNCTION("IMPORTXML(AI72, ""//li[strong[text()='Initial Investment:']]"")"),"Loading...")</f>
        <v>Loading...</v>
      </c>
      <c r="K72" s="24"/>
      <c r="L72" s="20" t="str">
        <f ca="1">IFERROR(__xludf.DUMMYFUNCTION("IMPORTXML(AI72, ""//li[strong[text()='Category:']]"")"),"Loading...")</f>
        <v>Loading...</v>
      </c>
      <c r="M72" s="24"/>
      <c r="N72" s="19" t="str">
        <f ca="1">IFERROR(__xludf.DUMMYFUNCTION("IMPORTXML(AI72, ""//li[strong[text()='Global Sales:']]"")"),"Loading...")</f>
        <v>Loading...</v>
      </c>
      <c r="O72" s="24"/>
      <c r="P72" s="19" t="str">
        <f t="shared" si="0"/>
        <v/>
      </c>
      <c r="Q72" s="19" t="str">
        <f ca="1">IFERROR(__xludf.DUMMYFUNCTION("IMPORTXML(AI72, ""//li[strong[text()='US Units:']]"")"),"Loading...")</f>
        <v>Loading...</v>
      </c>
      <c r="R72" s="24"/>
      <c r="S72" s="19" t="str">
        <f ca="1">IFERROR(__xludf.DUMMYFUNCTION("IMPORTXML(AI72, ""//li[strong[text()='International Units:']]"")"),"Loading...")</f>
        <v>Loading...</v>
      </c>
      <c r="T72" s="44"/>
      <c r="U72" s="19" t="str">
        <f ca="1">IFERROR(__xludf.DUMMYFUNCTION("IMPORTXML(AI72, ""//li[strong[text()='Percent Franchised:']]"")"),"Loading...")</f>
        <v>Loading...</v>
      </c>
      <c r="V72" s="24"/>
      <c r="W72" s="19" t="str">
        <f ca="1">IFERROR(__xludf.DUMMYFUNCTION("IMPORTXML(AI72, ""//li[strong[text()='% International Units:']]"")"),"Loading...")</f>
        <v>Loading...</v>
      </c>
      <c r="X72" s="24"/>
      <c r="Y72" s="19" t="str">
        <f ca="1">IFERROR(__xludf.DUMMYFUNCTION("IMPORTXML(AI72, ""//li[strong[text()='US Franchised Units:']]"")"),"Loading...")</f>
        <v>Loading...</v>
      </c>
      <c r="Z72" s="24"/>
      <c r="AA72" s="14" t="str">
        <f t="shared" si="1"/>
        <v/>
      </c>
      <c r="AB72" s="19" t="str">
        <f ca="1">IFERROR(__xludf.DUMMYFUNCTION("IMPORTXML(AI72, ""//li[strong[text()='International Franchised Units:']]"")"),"Loading...")</f>
        <v>Loading...</v>
      </c>
      <c r="AC72" s="24"/>
      <c r="AD72" s="14" t="str">
        <f t="shared" si="2"/>
        <v/>
      </c>
      <c r="AE72" s="25" t="str">
        <f ca="1">IFERROR(__xludf.DUMMYFUNCTION("IMPORTXML(AI72, ""//li[strong[text()='Sales Growth %:']]"")"),"Loading...")</f>
        <v>Loading...</v>
      </c>
      <c r="AF72" s="24"/>
      <c r="AG72" s="25" t="str">
        <f ca="1">IFERROR(__xludf.DUMMYFUNCTION("IMPORTXML(AI72, ""//li[strong[text()='Unit Growth %:']]"")"),"Loading...")</f>
        <v>Loading...</v>
      </c>
      <c r="AH72" s="25"/>
      <c r="AI72" s="48" t="s">
        <v>88</v>
      </c>
      <c r="AJ72" s="27"/>
      <c r="AK72" s="27"/>
      <c r="AL72" s="27"/>
      <c r="AM72" s="27"/>
      <c r="AN72" s="27"/>
      <c r="AO72" s="27"/>
      <c r="AP72" s="27"/>
      <c r="AQ72" s="27"/>
    </row>
    <row r="73" spans="1:43" ht="14.25" customHeight="1">
      <c r="A73" s="42">
        <v>24.071999999999999</v>
      </c>
      <c r="B73" s="14">
        <v>2024</v>
      </c>
      <c r="C73" s="15">
        <v>72</v>
      </c>
      <c r="D73" s="16" t="str">
        <f ca="1">IFERROR(__xludf.DUMMYFUNCTION("IMPORTXML(AI73, ""//h1[@itemprop='headline']/span"")"),"468. Ivy Kids Early Learning Center")</f>
        <v>468. Ivy Kids Early Learning Center</v>
      </c>
      <c r="E73" s="17" t="str">
        <f ca="1">IFERROR(__xludf.DUMMYFUNCTION("REGEXEXTRACT(D73, ""\.\s*(.+)"")"),"Ivy Kids Early Learning Center")</f>
        <v>Ivy Kids Early Learning Center</v>
      </c>
      <c r="F73" s="18" t="str">
        <f ca="1">IFERROR(__xludf.DUMMYFUNCTION("IMPORTXML(AI73, ""//li[strong[text()='Investment Range:']]"")"),"#REF!")</f>
        <v>#REF!</v>
      </c>
      <c r="G73" s="43"/>
      <c r="H73" s="18" t="str">
        <f ca="1">IFERROR(__xludf.DUMMYFUNCTION("SUBSTITUTE(REGEXEXTRACT(G73, ""\$(\d{1,3}(?:,\d{3})*)""), "","", ""."")
"),"#N/A")</f>
        <v>#N/A</v>
      </c>
      <c r="I73" s="19" t="str">
        <f ca="1">IFERROR(__xludf.DUMMYFUNCTION("SUBSTITUTE(REGEXEXTRACT(G73, ""-\s*\$(\d{1,3}(?:,\d{3})*)""), "","", ""."")
"),"#N/A")</f>
        <v>#N/A</v>
      </c>
      <c r="J73" s="19" t="str">
        <f ca="1">IFERROR(__xludf.DUMMYFUNCTION("IMPORTXML(AI73, ""//li[strong[text()='Initial Investment:']]"")"),"Loading...")</f>
        <v>Loading...</v>
      </c>
      <c r="K73" s="24"/>
      <c r="L73" s="20" t="str">
        <f ca="1">IFERROR(__xludf.DUMMYFUNCTION("IMPORTXML(AI73, ""//li[strong[text()='Category:']]"")"),"Loading...")</f>
        <v>Loading...</v>
      </c>
      <c r="M73" s="24"/>
      <c r="N73" s="19" t="str">
        <f ca="1">IFERROR(__xludf.DUMMYFUNCTION("IMPORTXML(AI73, ""//li[strong[text()='Global Sales:']]"")"),"Loading...")</f>
        <v>Loading...</v>
      </c>
      <c r="O73" s="24"/>
      <c r="P73" s="19" t="str">
        <f t="shared" si="0"/>
        <v/>
      </c>
      <c r="Q73" s="19" t="str">
        <f ca="1">IFERROR(__xludf.DUMMYFUNCTION("IMPORTXML(AI73, ""//li[strong[text()='US Units:']]"")"),"Loading...")</f>
        <v>Loading...</v>
      </c>
      <c r="R73" s="24"/>
      <c r="S73" s="19" t="str">
        <f ca="1">IFERROR(__xludf.DUMMYFUNCTION("IMPORTXML(AI73, ""//li[strong[text()='International Units:']]"")"),"Loading...")</f>
        <v>Loading...</v>
      </c>
      <c r="T73" s="44"/>
      <c r="U73" s="19" t="str">
        <f ca="1">IFERROR(__xludf.DUMMYFUNCTION("IMPORTXML(AI73, ""//li[strong[text()='Percent Franchised:']]"")"),"Loading...")</f>
        <v>Loading...</v>
      </c>
      <c r="V73" s="24"/>
      <c r="W73" s="19" t="str">
        <f ca="1">IFERROR(__xludf.DUMMYFUNCTION("IMPORTXML(AI73, ""//li[strong[text()='% International Units:']]"")"),"Loading...")</f>
        <v>Loading...</v>
      </c>
      <c r="X73" s="24"/>
      <c r="Y73" s="19" t="str">
        <f ca="1">IFERROR(__xludf.DUMMYFUNCTION("IMPORTXML(AI73, ""//li[strong[text()='US Franchised Units:']]"")"),"Loading...")</f>
        <v>Loading...</v>
      </c>
      <c r="Z73" s="24"/>
      <c r="AA73" s="14" t="str">
        <f t="shared" si="1"/>
        <v/>
      </c>
      <c r="AB73" s="19" t="str">
        <f ca="1">IFERROR(__xludf.DUMMYFUNCTION("IMPORTXML(AI73, ""//li[strong[text()='International Franchised Units:']]"")"),"Loading...")</f>
        <v>Loading...</v>
      </c>
      <c r="AC73" s="24"/>
      <c r="AD73" s="14" t="str">
        <f t="shared" si="2"/>
        <v/>
      </c>
      <c r="AE73" s="25" t="str">
        <f ca="1">IFERROR(__xludf.DUMMYFUNCTION("IMPORTXML(AI73, ""//li[strong[text()='Sales Growth %:']]"")"),"Loading...")</f>
        <v>Loading...</v>
      </c>
      <c r="AF73" s="24"/>
      <c r="AG73" s="25" t="str">
        <f ca="1">IFERROR(__xludf.DUMMYFUNCTION("IMPORTXML(AI73, ""//li[strong[text()='Unit Growth %:']]"")"),"Loading...")</f>
        <v>Loading...</v>
      </c>
      <c r="AH73" s="25"/>
      <c r="AI73" s="48" t="s">
        <v>89</v>
      </c>
      <c r="AJ73" s="27"/>
      <c r="AK73" s="27"/>
      <c r="AL73" s="27"/>
      <c r="AM73" s="27"/>
      <c r="AN73" s="27"/>
      <c r="AO73" s="27"/>
      <c r="AP73" s="27"/>
      <c r="AQ73" s="27"/>
    </row>
    <row r="74" spans="1:43" ht="14.25" customHeight="1">
      <c r="A74" s="42">
        <v>24.073</v>
      </c>
      <c r="B74" s="14">
        <v>2024</v>
      </c>
      <c r="C74" s="32">
        <v>73</v>
      </c>
      <c r="D74" s="16" t="str">
        <f ca="1">IFERROR(__xludf.DUMMYFUNCTION("IMPORTXML(AI74, ""//h1[@itemprop='headline']/span"")"),"73. El Pollo Loco")</f>
        <v>73. El Pollo Loco</v>
      </c>
      <c r="E74" s="17" t="str">
        <f ca="1">IFERROR(__xludf.DUMMYFUNCTION("REGEXEXTRACT(D74, ""\.\s*(.+)"")"),"El Pollo Loco")</f>
        <v>El Pollo Loco</v>
      </c>
      <c r="F74" s="18" t="str">
        <f ca="1">IFERROR(__xludf.DUMMYFUNCTION("IMPORTXML(AI74, ""//li[strong[text()='Investment Range:']]"")"),"Investment Range:")</f>
        <v>Investment Range:</v>
      </c>
      <c r="G74" s="43" t="str">
        <f ca="1">IFERROR(__xludf.DUMMYFUNCTION("""COMPUTED_VALUE""")," $779,750 - $2,655,500")</f>
        <v xml:space="preserve"> $779,750 - $2,655,500</v>
      </c>
      <c r="H74" s="18" t="str">
        <f ca="1">IFERROR(__xludf.DUMMYFUNCTION("SUBSTITUTE(REGEXEXTRACT(G74, ""\$(\d{1,3}(?:,\d{3})*)""), "","", ""."")
"),"779.750")</f>
        <v>779.750</v>
      </c>
      <c r="I74" s="19" t="str">
        <f ca="1">IFERROR(__xludf.DUMMYFUNCTION("SUBSTITUTE(REGEXEXTRACT(G74, ""-\s*\$(\d{1,3}(?:,\d{3})*)""), "","", ""."")
"),"2.655.500")</f>
        <v>2.655.500</v>
      </c>
      <c r="J74" s="19" t="str">
        <f ca="1">IFERROR(__xludf.DUMMYFUNCTION("IMPORTXML(AI74, ""//li[strong[text()='Initial Investment:']]"")"),"Loading...")</f>
        <v>Loading...</v>
      </c>
      <c r="K74" s="24"/>
      <c r="L74" s="20" t="str">
        <f ca="1">IFERROR(__xludf.DUMMYFUNCTION("IMPORTXML(AI74, ""//li[strong[text()='Category:']]"")"),"Loading...")</f>
        <v>Loading...</v>
      </c>
      <c r="M74" s="24"/>
      <c r="N74" s="19" t="str">
        <f ca="1">IFERROR(__xludf.DUMMYFUNCTION("IMPORTXML(AI74, ""//li[strong[text()='Global Sales:']]"")"),"Loading...")</f>
        <v>Loading...</v>
      </c>
      <c r="O74" s="24"/>
      <c r="P74" s="19" t="str">
        <f t="shared" si="0"/>
        <v/>
      </c>
      <c r="Q74" s="19" t="str">
        <f ca="1">IFERROR(__xludf.DUMMYFUNCTION("IMPORTXML(AI74, ""//li[strong[text()='US Units:']]"")"),"Loading...")</f>
        <v>Loading...</v>
      </c>
      <c r="R74" s="24"/>
      <c r="S74" s="19" t="str">
        <f ca="1">IFERROR(__xludf.DUMMYFUNCTION("IMPORTXML(AI74, ""//li[strong[text()='International Units:']]"")"),"Loading...")</f>
        <v>Loading...</v>
      </c>
      <c r="T74" s="44"/>
      <c r="U74" s="19" t="str">
        <f ca="1">IFERROR(__xludf.DUMMYFUNCTION("IMPORTXML(AI74, ""//li[strong[text()='Percent Franchised:']]"")"),"Loading...")</f>
        <v>Loading...</v>
      </c>
      <c r="V74" s="24"/>
      <c r="W74" s="19" t="str">
        <f ca="1">IFERROR(__xludf.DUMMYFUNCTION("IMPORTXML(AI74, ""//li[strong[text()='% International Units:']]"")"),"% International Units:")</f>
        <v>% International Units:</v>
      </c>
      <c r="X74" s="45">
        <f ca="1">IFERROR(__xludf.DUMMYFUNCTION("""COMPUTED_VALUE"""),0.02)</f>
        <v>0.02</v>
      </c>
      <c r="Y74" s="19" t="str">
        <f ca="1">IFERROR(__xludf.DUMMYFUNCTION("IMPORTXML(AI74, ""//li[strong[text()='US Franchised Units:']]"")"),"Loading...")</f>
        <v>Loading...</v>
      </c>
      <c r="Z74" s="24"/>
      <c r="AA74" s="14" t="str">
        <f t="shared" si="1"/>
        <v/>
      </c>
      <c r="AB74" s="19" t="str">
        <f ca="1">IFERROR(__xludf.DUMMYFUNCTION("IMPORTXML(AI74, ""//li[strong[text()='International Franchised Units:']]"")"),"Loading...")</f>
        <v>Loading...</v>
      </c>
      <c r="AC74" s="24"/>
      <c r="AD74" s="14" t="str">
        <f t="shared" si="2"/>
        <v/>
      </c>
      <c r="AE74" s="25" t="str">
        <f ca="1">IFERROR(__xludf.DUMMYFUNCTION("IMPORTXML(AI74, ""//li[strong[text()='Sales Growth %:']]"")"),"Loading...")</f>
        <v>Loading...</v>
      </c>
      <c r="AF74" s="24"/>
      <c r="AG74" s="25" t="str">
        <f ca="1">IFERROR(__xludf.DUMMYFUNCTION("IMPORTXML(AI74, ""//li[strong[text()='Unit Growth %:']]"")"),"Loading...")</f>
        <v>Loading...</v>
      </c>
      <c r="AH74" s="25"/>
      <c r="AI74" s="48" t="s">
        <v>90</v>
      </c>
      <c r="AJ74" s="27"/>
      <c r="AK74" s="27"/>
      <c r="AL74" s="27"/>
      <c r="AM74" s="27"/>
      <c r="AN74" s="27"/>
      <c r="AO74" s="27"/>
      <c r="AP74" s="27"/>
      <c r="AQ74" s="27"/>
    </row>
    <row r="75" spans="1:43" ht="14.25" customHeight="1">
      <c r="A75" s="42">
        <v>24.074000000000002</v>
      </c>
      <c r="B75" s="14">
        <v>2024</v>
      </c>
      <c r="C75" s="36">
        <v>74</v>
      </c>
      <c r="D75" s="16" t="str">
        <f ca="1">IFERROR(__xludf.DUMMYFUNCTION("IMPORTXML(AI75, ""//h1[@itemprop='headline']/span"")"),"74. McAlister’s Deli")</f>
        <v>74. McAlister’s Deli</v>
      </c>
      <c r="E75" s="17" t="str">
        <f ca="1">IFERROR(__xludf.DUMMYFUNCTION("REGEXEXTRACT(D75, ""\.\s*(.+)"")"),"McAlister’s Deli")</f>
        <v>McAlister’s Deli</v>
      </c>
      <c r="F75" s="18" t="str">
        <f ca="1">IFERROR(__xludf.DUMMYFUNCTION("IMPORTXML(AI75, ""//li[strong[text()='Investment Range:']]"")"),"Investment Range:")</f>
        <v>Investment Range:</v>
      </c>
      <c r="G75" s="43" t="str">
        <f ca="1">IFERROR(__xludf.DUMMYFUNCTION("""COMPUTED_VALUE""")," $1,053,925 - $2,448,500 Estimated Initial Investment for a Traditional 
Restaurant")</f>
        <v xml:space="preserve"> $1,053,925 - $2,448,500 Estimated Initial Investment for a Traditional 
Restaurant</v>
      </c>
      <c r="H75" s="18" t="str">
        <f ca="1">IFERROR(__xludf.DUMMYFUNCTION("SUBSTITUTE(REGEXEXTRACT(G75, ""\$(\d{1,3}(?:,\d{3})*)""), "","", ""."")
"),"1.053.925")</f>
        <v>1.053.925</v>
      </c>
      <c r="I75" s="19" t="str">
        <f ca="1">IFERROR(__xludf.DUMMYFUNCTION("SUBSTITUTE(REGEXEXTRACT(G75, ""-\s*\$(\d{1,3}(?:,\d{3})*)""), "","", ""."")
"),"2.448.500")</f>
        <v>2.448.500</v>
      </c>
      <c r="J75" s="19" t="str">
        <f ca="1">IFERROR(__xludf.DUMMYFUNCTION("IMPORTXML(AI75, ""//li[strong[text()='Initial Investment:']]"")"),"Loading...")</f>
        <v>Loading...</v>
      </c>
      <c r="K75" s="24"/>
      <c r="L75" s="20" t="str">
        <f ca="1">IFERROR(__xludf.DUMMYFUNCTION("IMPORTXML(AI75, ""//li[strong[text()='Category:']]"")"),"Loading...")</f>
        <v>Loading...</v>
      </c>
      <c r="M75" s="24"/>
      <c r="N75" s="19" t="str">
        <f ca="1">IFERROR(__xludf.DUMMYFUNCTION("IMPORTXML(AI75, ""//li[strong[text()='Global Sales:']]"")"),"Loading...")</f>
        <v>Loading...</v>
      </c>
      <c r="O75" s="24"/>
      <c r="P75" s="19" t="str">
        <f t="shared" si="0"/>
        <v/>
      </c>
      <c r="Q75" s="19" t="str">
        <f ca="1">IFERROR(__xludf.DUMMYFUNCTION("IMPORTXML(AI75, ""//li[strong[text()='US Units:']]"")"),"Loading...")</f>
        <v>Loading...</v>
      </c>
      <c r="R75" s="24"/>
      <c r="S75" s="19" t="str">
        <f ca="1">IFERROR(__xludf.DUMMYFUNCTION("IMPORTXML(AI75, ""//li[strong[text()='International Units:']]"")"),"Loading...")</f>
        <v>Loading...</v>
      </c>
      <c r="T75" s="44"/>
      <c r="U75" s="19" t="str">
        <f ca="1">IFERROR(__xludf.DUMMYFUNCTION("IMPORTXML(AI75, ""//li[strong[text()='Percent Franchised:']]"")"),"Loading...")</f>
        <v>Loading...</v>
      </c>
      <c r="V75" s="24"/>
      <c r="W75" s="19" t="str">
        <f ca="1">IFERROR(__xludf.DUMMYFUNCTION("IMPORTXML(AI75, ""//li[strong[text()='% International Units:']]"")"),"Loading...")</f>
        <v>Loading...</v>
      </c>
      <c r="X75" s="24"/>
      <c r="Y75" s="19" t="str">
        <f ca="1">IFERROR(__xludf.DUMMYFUNCTION("IMPORTXML(AI75, ""//li[strong[text()='US Franchised Units:']]"")"),"Loading...")</f>
        <v>Loading...</v>
      </c>
      <c r="Z75" s="24"/>
      <c r="AA75" s="14" t="str">
        <f t="shared" si="1"/>
        <v/>
      </c>
      <c r="AB75" s="19" t="str">
        <f ca="1">IFERROR(__xludf.DUMMYFUNCTION("IMPORTXML(AI75, ""//li[strong[text()='International Franchised Units:']]"")"),"Loading...")</f>
        <v>Loading...</v>
      </c>
      <c r="AC75" s="24"/>
      <c r="AD75" s="14" t="str">
        <f t="shared" si="2"/>
        <v/>
      </c>
      <c r="AE75" s="25" t="str">
        <f ca="1">IFERROR(__xludf.DUMMYFUNCTION("IMPORTXML(AI75, ""//li[strong[text()='Sales Growth %:']]"")"),"Loading...")</f>
        <v>Loading...</v>
      </c>
      <c r="AF75" s="24"/>
      <c r="AG75" s="25" t="str">
        <f ca="1">IFERROR(__xludf.DUMMYFUNCTION("IMPORTXML(AI75, ""//li[strong[text()='Unit Growth %:']]"")"),"Loading...")</f>
        <v>Loading...</v>
      </c>
      <c r="AH75" s="25"/>
      <c r="AI75" s="48" t="s">
        <v>91</v>
      </c>
      <c r="AJ75" s="27"/>
      <c r="AK75" s="27"/>
      <c r="AL75" s="27"/>
      <c r="AM75" s="27"/>
      <c r="AN75" s="27"/>
      <c r="AO75" s="27"/>
      <c r="AP75" s="27"/>
      <c r="AQ75" s="27"/>
    </row>
    <row r="76" spans="1:43" ht="14.25" customHeight="1">
      <c r="A76" s="42">
        <v>24.074999999999999</v>
      </c>
      <c r="B76" s="14">
        <v>2024</v>
      </c>
      <c r="C76" s="36">
        <v>75</v>
      </c>
      <c r="D76" s="16" t="str">
        <f ca="1">IFERROR(__xludf.DUMMYFUNCTION("IMPORTXML(AI76, ""//h1[@itemprop='headline']/span"")"),"75. Tous les Jours")</f>
        <v>75. Tous les Jours</v>
      </c>
      <c r="E76" s="17" t="str">
        <f ca="1">IFERROR(__xludf.DUMMYFUNCTION("REGEXEXTRACT(D76, ""\.\s*(.+)"")"),"Tous les Jours")</f>
        <v>Tous les Jours</v>
      </c>
      <c r="F76" s="18" t="str">
        <f ca="1">IFERROR(__xludf.DUMMYFUNCTION("IMPORTXML(AI76, ""//li[strong[text()='Investment Range:']]"")"),"#N/A")</f>
        <v>#N/A</v>
      </c>
      <c r="G76" s="43"/>
      <c r="H76" s="18" t="str">
        <f ca="1">IFERROR(__xludf.DUMMYFUNCTION("SUBSTITUTE(REGEXEXTRACT(G76, ""\$(\d{1,3}(?:,\d{3})*)""), "","", ""."")
"),"#N/A")</f>
        <v>#N/A</v>
      </c>
      <c r="I76" s="19" t="str">
        <f ca="1">IFERROR(__xludf.DUMMYFUNCTION("SUBSTITUTE(REGEXEXTRACT(G76, ""-\s*\$(\d{1,3}(?:,\d{3})*)""), "","", ""."")
"),"#N/A")</f>
        <v>#N/A</v>
      </c>
      <c r="J76" s="19" t="str">
        <f ca="1">IFERROR(__xludf.DUMMYFUNCTION("IMPORTXML(AI76, ""//li[strong[text()='Initial Investment:']]"")"),"Loading...")</f>
        <v>Loading...</v>
      </c>
      <c r="K76" s="24"/>
      <c r="L76" s="20" t="str">
        <f ca="1">IFERROR(__xludf.DUMMYFUNCTION("IMPORTXML(AI76, ""//li[strong[text()='Category:']]"")"),"Loading...")</f>
        <v>Loading...</v>
      </c>
      <c r="M76" s="24"/>
      <c r="N76" s="19" t="str">
        <f ca="1">IFERROR(__xludf.DUMMYFUNCTION("IMPORTXML(AI76, ""//li[strong[text()='Global Sales:']]"")"),"Loading...")</f>
        <v>Loading...</v>
      </c>
      <c r="O76" s="24"/>
      <c r="P76" s="19" t="str">
        <f t="shared" si="0"/>
        <v/>
      </c>
      <c r="Q76" s="19" t="str">
        <f ca="1">IFERROR(__xludf.DUMMYFUNCTION("IMPORTXML(AI76, ""//li[strong[text()='US Units:']]"")"),"Loading...")</f>
        <v>Loading...</v>
      </c>
      <c r="R76" s="24"/>
      <c r="S76" s="19" t="str">
        <f ca="1">IFERROR(__xludf.DUMMYFUNCTION("IMPORTXML(AI76, ""//li[strong[text()='International Units:']]"")"),"Loading...")</f>
        <v>Loading...</v>
      </c>
      <c r="T76" s="44"/>
      <c r="U76" s="19" t="str">
        <f ca="1">IFERROR(__xludf.DUMMYFUNCTION("IMPORTXML(AI76, ""//li[strong[text()='Percent Franchised:']]"")"),"Loading...")</f>
        <v>Loading...</v>
      </c>
      <c r="V76" s="24"/>
      <c r="W76" s="19" t="str">
        <f ca="1">IFERROR(__xludf.DUMMYFUNCTION("IMPORTXML(AI76, ""//li[strong[text()='% International Units:']]"")"),"Loading...")</f>
        <v>Loading...</v>
      </c>
      <c r="X76" s="24"/>
      <c r="Y76" s="19" t="str">
        <f ca="1">IFERROR(__xludf.DUMMYFUNCTION("IMPORTXML(AI76, ""//li[strong[text()='US Franchised Units:']]"")"),"Loading...")</f>
        <v>Loading...</v>
      </c>
      <c r="Z76" s="24"/>
      <c r="AA76" s="14" t="str">
        <f t="shared" si="1"/>
        <v/>
      </c>
      <c r="AB76" s="19" t="str">
        <f ca="1">IFERROR(__xludf.DUMMYFUNCTION("IMPORTXML(AI76, ""//li[strong[text()='International Franchised Units:']]"")"),"Loading...")</f>
        <v>Loading...</v>
      </c>
      <c r="AC76" s="24"/>
      <c r="AD76" s="14" t="str">
        <f t="shared" si="2"/>
        <v/>
      </c>
      <c r="AE76" s="25" t="str">
        <f ca="1">IFERROR(__xludf.DUMMYFUNCTION("IMPORTXML(AI76, ""//li[strong[text()='Sales Growth %:']]"")"),"Loading...")</f>
        <v>Loading...</v>
      </c>
      <c r="AF76" s="24"/>
      <c r="AG76" s="25" t="str">
        <f ca="1">IFERROR(__xludf.DUMMYFUNCTION("IMPORTXML(AI76, ""//li[strong[text()='Unit Growth %:']]"")"),"Loading...")</f>
        <v>Loading...</v>
      </c>
      <c r="AH76" s="25"/>
      <c r="AI76" s="48" t="s">
        <v>92</v>
      </c>
      <c r="AJ76" s="27"/>
      <c r="AK76" s="27"/>
      <c r="AL76" s="27"/>
      <c r="AM76" s="27"/>
      <c r="AN76" s="27"/>
      <c r="AO76" s="27"/>
      <c r="AP76" s="27"/>
      <c r="AQ76" s="27"/>
    </row>
    <row r="77" spans="1:43" ht="14.25" customHeight="1">
      <c r="A77" s="42">
        <v>24.076000000000001</v>
      </c>
      <c r="B77" s="14">
        <v>2024</v>
      </c>
      <c r="C77" s="15">
        <v>76</v>
      </c>
      <c r="D77" s="16" t="str">
        <f ca="1">IFERROR(__xludf.DUMMYFUNCTION("IMPORTXML(AI77, ""//h1[@itemprop='headline']/span"")"),"76. Boston's Pizza")</f>
        <v>76. Boston's Pizza</v>
      </c>
      <c r="E77" s="17" t="str">
        <f ca="1">IFERROR(__xludf.DUMMYFUNCTION("REGEXEXTRACT(D77, ""\.\s*(.+)"")"),"Boston's Pizza")</f>
        <v>Boston's Pizza</v>
      </c>
      <c r="F77" s="18" t="str">
        <f ca="1">IFERROR(__xludf.DUMMYFUNCTION("IMPORTXML(AI77, ""//li[strong[text()='Investment Range:']]"")"),"Investment Range:")</f>
        <v>Investment Range:</v>
      </c>
      <c r="G77" s="43" t="str">
        <f ca="1">IFERROR(__xludf.DUMMYFUNCTION("""COMPUTED_VALUE""")," $1,040,500 - $2,887,025")</f>
        <v xml:space="preserve"> $1,040,500 - $2,887,025</v>
      </c>
      <c r="H77" s="18" t="str">
        <f ca="1">IFERROR(__xludf.DUMMYFUNCTION("SUBSTITUTE(REGEXEXTRACT(G77, ""\$(\d{1,3}(?:,\d{3})*)""), "","", ""."")
"),"1.040.500")</f>
        <v>1.040.500</v>
      </c>
      <c r="I77" s="19" t="str">
        <f ca="1">IFERROR(__xludf.DUMMYFUNCTION("SUBSTITUTE(REGEXEXTRACT(G77, ""-\s*\$(\d{1,3}(?:,\d{3})*)""), "","", ""."")
"),"2.887.025")</f>
        <v>2.887.025</v>
      </c>
      <c r="J77" s="19" t="str">
        <f ca="1">IFERROR(__xludf.DUMMYFUNCTION("IMPORTXML(AI77, ""//li[strong[text()='Initial Investment:']]"")"),"Initial Investment:")</f>
        <v>Initial Investment:</v>
      </c>
      <c r="K77" s="24" t="str">
        <f ca="1">IFERROR(__xludf.DUMMYFUNCTION("""COMPUTED_VALUE""")," $50,000")</f>
        <v xml:space="preserve"> $50,000</v>
      </c>
      <c r="L77" s="20" t="str">
        <f ca="1">IFERROR(__xludf.DUMMYFUNCTION("IMPORTXML(AI77, ""//li[strong[text()='Category:']]"")"),"Loading...")</f>
        <v>Loading...</v>
      </c>
      <c r="M77" s="24"/>
      <c r="N77" s="19" t="str">
        <f ca="1">IFERROR(__xludf.DUMMYFUNCTION("IMPORTXML(AI77, ""//li[strong[text()='Global Sales:']]"")"),"Loading...")</f>
        <v>Loading...</v>
      </c>
      <c r="O77" s="24"/>
      <c r="P77" s="19" t="str">
        <f t="shared" si="0"/>
        <v/>
      </c>
      <c r="Q77" s="19" t="str">
        <f ca="1">IFERROR(__xludf.DUMMYFUNCTION("IMPORTXML(AI77, ""//li[strong[text()='US Units:']]"")"),"Loading...")</f>
        <v>Loading...</v>
      </c>
      <c r="R77" s="24"/>
      <c r="S77" s="19" t="str">
        <f ca="1">IFERROR(__xludf.DUMMYFUNCTION("IMPORTXML(AI77, ""//li[strong[text()='International Units:']]"")"),"Loading...")</f>
        <v>Loading...</v>
      </c>
      <c r="T77" s="44"/>
      <c r="U77" s="19" t="str">
        <f ca="1">IFERROR(__xludf.DUMMYFUNCTION("IMPORTXML(AI77, ""//li[strong[text()='Percent Franchised:']]"")"),"Loading...")</f>
        <v>Loading...</v>
      </c>
      <c r="V77" s="24"/>
      <c r="W77" s="19" t="str">
        <f ca="1">IFERROR(__xludf.DUMMYFUNCTION("IMPORTXML(AI77, ""//li[strong[text()='% International Units:']]"")"),"Loading...")</f>
        <v>Loading...</v>
      </c>
      <c r="X77" s="24"/>
      <c r="Y77" s="19" t="str">
        <f ca="1">IFERROR(__xludf.DUMMYFUNCTION("IMPORTXML(AI77, ""//li[strong[text()='US Franchised Units:']]"")"),"Loading...")</f>
        <v>Loading...</v>
      </c>
      <c r="Z77" s="24"/>
      <c r="AA77" s="14" t="str">
        <f t="shared" si="1"/>
        <v/>
      </c>
      <c r="AB77" s="19" t="str">
        <f ca="1">IFERROR(__xludf.DUMMYFUNCTION("IMPORTXML(AI77, ""//li[strong[text()='International Franchised Units:']]"")"),"Loading...")</f>
        <v>Loading...</v>
      </c>
      <c r="AC77" s="24"/>
      <c r="AD77" s="14" t="str">
        <f t="shared" si="2"/>
        <v/>
      </c>
      <c r="AE77" s="25" t="str">
        <f ca="1">IFERROR(__xludf.DUMMYFUNCTION("IMPORTXML(AI77, ""//li[strong[text()='Sales Growth %:']]"")"),"Sales Growth %:")</f>
        <v>Sales Growth %:</v>
      </c>
      <c r="AF77" s="24" t="str">
        <f ca="1">IFERROR(__xludf.DUMMYFUNCTION("""COMPUTED_VALUE""")," 10.7%")</f>
        <v xml:space="preserve"> 10.7%</v>
      </c>
      <c r="AG77" s="25" t="str">
        <f ca="1">IFERROR(__xludf.DUMMYFUNCTION("IMPORTXML(AI77, ""//li[strong[text()='Unit Growth %:']]"")"),"Loading...")</f>
        <v>Loading...</v>
      </c>
      <c r="AH77" s="25"/>
      <c r="AI77" s="48" t="s">
        <v>93</v>
      </c>
      <c r="AJ77" s="27"/>
      <c r="AK77" s="27"/>
      <c r="AL77" s="27"/>
      <c r="AM77" s="27"/>
      <c r="AN77" s="27"/>
      <c r="AO77" s="27"/>
      <c r="AP77" s="27"/>
      <c r="AQ77" s="27"/>
    </row>
    <row r="78" spans="1:43" ht="14.25" customHeight="1">
      <c r="A78" s="42">
        <v>24.077000000000002</v>
      </c>
      <c r="B78" s="14">
        <v>2024</v>
      </c>
      <c r="C78" s="32">
        <v>77</v>
      </c>
      <c r="D78" s="16" t="str">
        <f ca="1">IFERROR(__xludf.DUMMYFUNCTION("IMPORTXML(AI78, ""//h1[@itemprop='headline']/span"")"),"77. Visiting Angels")</f>
        <v>77. Visiting Angels</v>
      </c>
      <c r="E78" s="17" t="str">
        <f ca="1">IFERROR(__xludf.DUMMYFUNCTION("REGEXEXTRACT(D78, ""\.\s*(.+)"")"),"Visiting Angels")</f>
        <v>Visiting Angels</v>
      </c>
      <c r="F78" s="18" t="str">
        <f ca="1">IFERROR(__xludf.DUMMYFUNCTION("IMPORTXML(AI78, ""//li[strong[text()='Investment Range:']]"")"),"Investment Range:")</f>
        <v>Investment Range:</v>
      </c>
      <c r="G78" s="43" t="str">
        <f ca="1">IFERROR(__xludf.DUMMYFUNCTION("""COMPUTED_VALUE""")," $125,460 - $171,150")</f>
        <v xml:space="preserve"> $125,460 - $171,150</v>
      </c>
      <c r="H78" s="18" t="str">
        <f ca="1">IFERROR(__xludf.DUMMYFUNCTION("SUBSTITUTE(REGEXEXTRACT(G78, ""\$(\d{1,3}(?:,\d{3})*)""), "","", ""."")
"),"125.460")</f>
        <v>125.460</v>
      </c>
      <c r="I78" s="19" t="str">
        <f ca="1">IFERROR(__xludf.DUMMYFUNCTION("SUBSTITUTE(REGEXEXTRACT(G78, ""-\s*\$(\d{1,3}(?:,\d{3})*)""), "","", ""."")
"),"171.150")</f>
        <v>171.150</v>
      </c>
      <c r="J78" s="19" t="str">
        <f ca="1">IFERROR(__xludf.DUMMYFUNCTION("IMPORTXML(AI78, ""//li[strong[text()='Initial Investment:']]"")"),"Loading...")</f>
        <v>Loading...</v>
      </c>
      <c r="K78" s="24"/>
      <c r="L78" s="20" t="str">
        <f ca="1">IFERROR(__xludf.DUMMYFUNCTION("IMPORTXML(AI78, ""//li[strong[text()='Category:']]"")"),"Loading...")</f>
        <v>Loading...</v>
      </c>
      <c r="M78" s="24"/>
      <c r="N78" s="19" t="str">
        <f ca="1">IFERROR(__xludf.DUMMYFUNCTION("IMPORTXML(AI78, ""//li[strong[text()='Global Sales:']]"")"),"Loading...")</f>
        <v>Loading...</v>
      </c>
      <c r="O78" s="24"/>
      <c r="P78" s="19" t="str">
        <f t="shared" si="0"/>
        <v/>
      </c>
      <c r="Q78" s="19" t="str">
        <f ca="1">IFERROR(__xludf.DUMMYFUNCTION("IMPORTXML(AI78, ""//li[strong[text()='US Units:']]"")"),"Loading...")</f>
        <v>Loading...</v>
      </c>
      <c r="R78" s="24"/>
      <c r="S78" s="19" t="str">
        <f ca="1">IFERROR(__xludf.DUMMYFUNCTION("IMPORTXML(AI78, ""//li[strong[text()='International Units:']]"")"),"Loading...")</f>
        <v>Loading...</v>
      </c>
      <c r="T78" s="44"/>
      <c r="U78" s="19" t="str">
        <f ca="1">IFERROR(__xludf.DUMMYFUNCTION("IMPORTXML(AI78, ""//li[strong[text()='Percent Franchised:']]"")"),"Loading...")</f>
        <v>Loading...</v>
      </c>
      <c r="V78" s="24"/>
      <c r="W78" s="19" t="str">
        <f ca="1">IFERROR(__xludf.DUMMYFUNCTION("IMPORTXML(AI78, ""//li[strong[text()='% International Units:']]"")"),"Loading...")</f>
        <v>Loading...</v>
      </c>
      <c r="X78" s="24"/>
      <c r="Y78" s="19" t="str">
        <f ca="1">IFERROR(__xludf.DUMMYFUNCTION("IMPORTXML(AI78, ""//li[strong[text()='US Franchised Units:']]"")"),"Loading...")</f>
        <v>Loading...</v>
      </c>
      <c r="Z78" s="24"/>
      <c r="AA78" s="14" t="str">
        <f t="shared" si="1"/>
        <v/>
      </c>
      <c r="AB78" s="19" t="str">
        <f ca="1">IFERROR(__xludf.DUMMYFUNCTION("IMPORTXML(AI78, ""//li[strong[text()='International Franchised Units:']]"")"),"Loading...")</f>
        <v>Loading...</v>
      </c>
      <c r="AC78" s="24"/>
      <c r="AD78" s="14" t="str">
        <f t="shared" si="2"/>
        <v/>
      </c>
      <c r="AE78" s="25" t="str">
        <f ca="1">IFERROR(__xludf.DUMMYFUNCTION("IMPORTXML(AI78, ""//li[strong[text()='Sales Growth %:']]"")"),"Loading...")</f>
        <v>Loading...</v>
      </c>
      <c r="AF78" s="24"/>
      <c r="AG78" s="25" t="str">
        <f ca="1">IFERROR(__xludf.DUMMYFUNCTION("IMPORTXML(AI78, ""//li[strong[text()='Unit Growth %:']]"")"),"Loading...")</f>
        <v>Loading...</v>
      </c>
      <c r="AH78" s="25"/>
      <c r="AI78" s="48" t="s">
        <v>94</v>
      </c>
      <c r="AJ78" s="27"/>
      <c r="AK78" s="27"/>
      <c r="AL78" s="27"/>
      <c r="AM78" s="27"/>
      <c r="AN78" s="27"/>
      <c r="AO78" s="27"/>
      <c r="AP78" s="27"/>
      <c r="AQ78" s="27"/>
    </row>
    <row r="79" spans="1:43" ht="14.25" customHeight="1">
      <c r="A79" s="42">
        <v>24.077999999999999</v>
      </c>
      <c r="B79" s="14">
        <v>2024</v>
      </c>
      <c r="C79" s="36">
        <v>78</v>
      </c>
      <c r="D79" s="16" t="str">
        <f ca="1">IFERROR(__xludf.DUMMYFUNCTION("IMPORTXML(AI79, ""//h1[@itemprop='headline']/span"")"),"78. Del Taco")</f>
        <v>78. Del Taco</v>
      </c>
      <c r="E79" s="17" t="str">
        <f ca="1">IFERROR(__xludf.DUMMYFUNCTION("REGEXEXTRACT(D79, ""\.\s*(.+)"")"),"Del Taco")</f>
        <v>Del Taco</v>
      </c>
      <c r="F79" s="18" t="str">
        <f ca="1">IFERROR(__xludf.DUMMYFUNCTION("IMPORTXML(AI79, ""//li[strong[text()='Investment Range:']]"")"),"Investment Range:")</f>
        <v>Investment Range:</v>
      </c>
      <c r="G79" s="43" t="str">
        <f ca="1">IFERROR(__xludf.DUMMYFUNCTION("""COMPUTED_VALUE""")," $813,700 - $1,900,500")</f>
        <v xml:space="preserve"> $813,700 - $1,900,500</v>
      </c>
      <c r="H79" s="18" t="str">
        <f ca="1">IFERROR(__xludf.DUMMYFUNCTION("SUBSTITUTE(REGEXEXTRACT(G79, ""\$(\d{1,3}(?:,\d{3})*)""), "","", ""."")
"),"813.700")</f>
        <v>813.700</v>
      </c>
      <c r="I79" s="19" t="str">
        <f ca="1">IFERROR(__xludf.DUMMYFUNCTION("SUBSTITUTE(REGEXEXTRACT(G79, ""-\s*\$(\d{1,3}(?:,\d{3})*)""), "","", ""."")
"),"1.900.500")</f>
        <v>1.900.500</v>
      </c>
      <c r="J79" s="19" t="str">
        <f ca="1">IFERROR(__xludf.DUMMYFUNCTION("IMPORTXML(AI79, ""//li[strong[text()='Initial Investment:']]"")"),"Loading...")</f>
        <v>Loading...</v>
      </c>
      <c r="K79" s="24"/>
      <c r="L79" s="20" t="str">
        <f ca="1">IFERROR(__xludf.DUMMYFUNCTION("IMPORTXML(AI79, ""//li[strong[text()='Category:']]"")"),"Loading...")</f>
        <v>Loading...</v>
      </c>
      <c r="M79" s="24"/>
      <c r="N79" s="19" t="str">
        <f ca="1">IFERROR(__xludf.DUMMYFUNCTION("IMPORTXML(AI79, ""//li[strong[text()='Global Sales:']]"")"),"Loading...")</f>
        <v>Loading...</v>
      </c>
      <c r="O79" s="24"/>
      <c r="P79" s="19" t="str">
        <f t="shared" si="0"/>
        <v/>
      </c>
      <c r="Q79" s="19" t="str">
        <f ca="1">IFERROR(__xludf.DUMMYFUNCTION("IMPORTXML(AI79, ""//li[strong[text()='US Units:']]"")"),"Loading...")</f>
        <v>Loading...</v>
      </c>
      <c r="R79" s="24"/>
      <c r="S79" s="19" t="str">
        <f ca="1">IFERROR(__xludf.DUMMYFUNCTION("IMPORTXML(AI79, ""//li[strong[text()='International Units:']]"")"),"Loading...")</f>
        <v>Loading...</v>
      </c>
      <c r="T79" s="44"/>
      <c r="U79" s="19" t="str">
        <f ca="1">IFERROR(__xludf.DUMMYFUNCTION("IMPORTXML(AI79, ""//li[strong[text()='Percent Franchised:']]"")"),"Loading...")</f>
        <v>Loading...</v>
      </c>
      <c r="V79" s="24"/>
      <c r="W79" s="19" t="str">
        <f ca="1">IFERROR(__xludf.DUMMYFUNCTION("IMPORTXML(AI79, ""//li[strong[text()='% International Units:']]"")"),"Loading...")</f>
        <v>Loading...</v>
      </c>
      <c r="X79" s="24"/>
      <c r="Y79" s="19" t="str">
        <f ca="1">IFERROR(__xludf.DUMMYFUNCTION("IMPORTXML(AI79, ""//li[strong[text()='US Franchised Units:']]"")"),"Loading...")</f>
        <v>Loading...</v>
      </c>
      <c r="Z79" s="24"/>
      <c r="AA79" s="14" t="str">
        <f t="shared" si="1"/>
        <v/>
      </c>
      <c r="AB79" s="19" t="str">
        <f ca="1">IFERROR(__xludf.DUMMYFUNCTION("IMPORTXML(AI79, ""//li[strong[text()='International Franchised Units:']]"")"),"Loading...")</f>
        <v>Loading...</v>
      </c>
      <c r="AC79" s="24"/>
      <c r="AD79" s="14" t="str">
        <f t="shared" si="2"/>
        <v/>
      </c>
      <c r="AE79" s="25" t="str">
        <f ca="1">IFERROR(__xludf.DUMMYFUNCTION("IMPORTXML(AI79, ""//li[strong[text()='Sales Growth %:']]"")"),"Loading...")</f>
        <v>Loading...</v>
      </c>
      <c r="AF79" s="24"/>
      <c r="AG79" s="25" t="str">
        <f ca="1">IFERROR(__xludf.DUMMYFUNCTION("IMPORTXML(AI79, ""//li[strong[text()='Unit Growth %:']]"")"),"Loading...")</f>
        <v>Loading...</v>
      </c>
      <c r="AH79" s="25"/>
      <c r="AI79" s="48" t="s">
        <v>95</v>
      </c>
      <c r="AJ79" s="27"/>
      <c r="AK79" s="27"/>
      <c r="AL79" s="27"/>
      <c r="AM79" s="27"/>
      <c r="AN79" s="27"/>
      <c r="AO79" s="27"/>
      <c r="AP79" s="27"/>
      <c r="AQ79" s="27"/>
    </row>
    <row r="80" spans="1:43" ht="14.25" customHeight="1">
      <c r="A80" s="42">
        <v>24.079000000000001</v>
      </c>
      <c r="B80" s="14">
        <v>2024</v>
      </c>
      <c r="C80" s="36">
        <v>79</v>
      </c>
      <c r="D80" s="16" t="str">
        <f ca="1">IFERROR(__xludf.DUMMYFUNCTION("IMPORTXML(AI80, ""//h1[@itemprop='headline']/span"")"),"79. Crunch Fitness")</f>
        <v>79. Crunch Fitness</v>
      </c>
      <c r="E80" s="17" t="str">
        <f ca="1">IFERROR(__xludf.DUMMYFUNCTION("REGEXEXTRACT(D80, ""\.\s*(.+)"")"),"Crunch Fitness")</f>
        <v>Crunch Fitness</v>
      </c>
      <c r="F80" s="18" t="str">
        <f ca="1">IFERROR(__xludf.DUMMYFUNCTION("IMPORTXML(AI80, ""//li[strong[text()='Investment Range:']]"")"),"#N/A")</f>
        <v>#N/A</v>
      </c>
      <c r="G80" s="43"/>
      <c r="H80" s="18" t="str">
        <f ca="1">IFERROR(__xludf.DUMMYFUNCTION("SUBSTITUTE(REGEXEXTRACT(G80, ""\$(\d{1,3}(?:,\d{3})*)""), "","", ""."")
"),"#N/A")</f>
        <v>#N/A</v>
      </c>
      <c r="I80" s="19" t="str">
        <f ca="1">IFERROR(__xludf.DUMMYFUNCTION("SUBSTITUTE(REGEXEXTRACT(G80, ""-\s*\$(\d{1,3}(?:,\d{3})*)""), "","", ""."")
"),"#N/A")</f>
        <v>#N/A</v>
      </c>
      <c r="J80" s="19" t="str">
        <f ca="1">IFERROR(__xludf.DUMMYFUNCTION("IMPORTXML(AI80, ""//li[strong[text()='Initial Investment:']]"")"),"Loading...")</f>
        <v>Loading...</v>
      </c>
      <c r="K80" s="24"/>
      <c r="L80" s="20" t="str">
        <f ca="1">IFERROR(__xludf.DUMMYFUNCTION("IMPORTXML(AI80, ""//li[strong[text()='Category:']]"")"),"Loading...")</f>
        <v>Loading...</v>
      </c>
      <c r="M80" s="24"/>
      <c r="N80" s="19" t="str">
        <f ca="1">IFERROR(__xludf.DUMMYFUNCTION("IMPORTXML(AI80, ""//li[strong[text()='Global Sales:']]"")"),"Loading...")</f>
        <v>Loading...</v>
      </c>
      <c r="O80" s="24"/>
      <c r="P80" s="19" t="str">
        <f t="shared" si="0"/>
        <v/>
      </c>
      <c r="Q80" s="19" t="str">
        <f ca="1">IFERROR(__xludf.DUMMYFUNCTION("IMPORTXML(AI80, ""//li[strong[text()='US Units:']]"")"),"Loading...")</f>
        <v>Loading...</v>
      </c>
      <c r="R80" s="24"/>
      <c r="S80" s="19" t="str">
        <f ca="1">IFERROR(__xludf.DUMMYFUNCTION("IMPORTXML(AI80, ""//li[strong[text()='International Units:']]"")"),"Loading...")</f>
        <v>Loading...</v>
      </c>
      <c r="T80" s="44"/>
      <c r="U80" s="19" t="str">
        <f ca="1">IFERROR(__xludf.DUMMYFUNCTION("IMPORTXML(AI80, ""//li[strong[text()='Percent Franchised:']]"")"),"Loading...")</f>
        <v>Loading...</v>
      </c>
      <c r="V80" s="24"/>
      <c r="W80" s="19" t="str">
        <f ca="1">IFERROR(__xludf.DUMMYFUNCTION("IMPORTXML(AI80, ""//li[strong[text()='% International Units:']]"")"),"Loading...")</f>
        <v>Loading...</v>
      </c>
      <c r="X80" s="24"/>
      <c r="Y80" s="19" t="str">
        <f ca="1">IFERROR(__xludf.DUMMYFUNCTION("IMPORTXML(AI80, ""//li[strong[text()='US Franchised Units:']]"")"),"Loading...")</f>
        <v>Loading...</v>
      </c>
      <c r="Z80" s="24"/>
      <c r="AA80" s="14" t="str">
        <f t="shared" si="1"/>
        <v/>
      </c>
      <c r="AB80" s="19" t="str">
        <f ca="1">IFERROR(__xludf.DUMMYFUNCTION("IMPORTXML(AI80, ""//li[strong[text()='International Franchised Units:']]"")"),"Loading...")</f>
        <v>Loading...</v>
      </c>
      <c r="AC80" s="24"/>
      <c r="AD80" s="14" t="str">
        <f t="shared" si="2"/>
        <v/>
      </c>
      <c r="AE80" s="25" t="str">
        <f ca="1">IFERROR(__xludf.DUMMYFUNCTION("IMPORTXML(AI80, ""//li[strong[text()='Sales Growth %:']]"")"),"Loading...")</f>
        <v>Loading...</v>
      </c>
      <c r="AF80" s="24"/>
      <c r="AG80" s="25" t="str">
        <f ca="1">IFERROR(__xludf.DUMMYFUNCTION("IMPORTXML(AI80, ""//li[strong[text()='Unit Growth %:']]"")"),"Loading...")</f>
        <v>Loading...</v>
      </c>
      <c r="AH80" s="25"/>
      <c r="AI80" s="48" t="s">
        <v>96</v>
      </c>
      <c r="AJ80" s="27"/>
      <c r="AK80" s="27"/>
      <c r="AL80" s="27"/>
      <c r="AM80" s="27"/>
      <c r="AN80" s="27"/>
      <c r="AO80" s="27"/>
      <c r="AP80" s="27"/>
      <c r="AQ80" s="27"/>
    </row>
    <row r="81" spans="1:43" ht="14.25" customHeight="1">
      <c r="A81" s="42">
        <v>24.08</v>
      </c>
      <c r="B81" s="14">
        <v>2024</v>
      </c>
      <c r="C81" s="15">
        <v>80</v>
      </c>
      <c r="D81" s="16" t="str">
        <f ca="1">IFERROR(__xludf.DUMMYFUNCTION("IMPORTXML(AI81, ""//h1[@itemprop='headline']/span"")"),"80. European Wax Center")</f>
        <v>80. European Wax Center</v>
      </c>
      <c r="E81" s="17" t="str">
        <f ca="1">IFERROR(__xludf.DUMMYFUNCTION("REGEXEXTRACT(D81, ""\.\s*(.+)"")"),"European Wax Center")</f>
        <v>European Wax Center</v>
      </c>
      <c r="F81" s="18" t="str">
        <f ca="1">IFERROR(__xludf.DUMMYFUNCTION("IMPORTXML(AI81, ""//li[strong[text()='Investment Range:']]"")"),"Investment Range:")</f>
        <v>Investment Range:</v>
      </c>
      <c r="G81" s="43" t="str">
        <f ca="1">IFERROR(__xludf.DUMMYFUNCTION("""COMPUTED_VALUE""")," $363,600 - $641,950")</f>
        <v xml:space="preserve"> $363,600 - $641,950</v>
      </c>
      <c r="H81" s="18" t="str">
        <f ca="1">IFERROR(__xludf.DUMMYFUNCTION("SUBSTITUTE(REGEXEXTRACT(G81, ""\$(\d{1,3}(?:,\d{3})*)""), "","", ""."")
"),"363.600")</f>
        <v>363.600</v>
      </c>
      <c r="I81" s="19" t="str">
        <f ca="1">IFERROR(__xludf.DUMMYFUNCTION("SUBSTITUTE(REGEXEXTRACT(G81, ""-\s*\$(\d{1,3}(?:,\d{3})*)""), "","", ""."")
"),"641.950")</f>
        <v>641.950</v>
      </c>
      <c r="J81" s="19" t="str">
        <f ca="1">IFERROR(__xludf.DUMMYFUNCTION("IMPORTXML(AI81, ""//li[strong[text()='Initial Investment:']]"")"),"Loading...")</f>
        <v>Loading...</v>
      </c>
      <c r="K81" s="24"/>
      <c r="L81" s="20" t="str">
        <f ca="1">IFERROR(__xludf.DUMMYFUNCTION("IMPORTXML(AI81, ""//li[strong[text()='Category:']]"")"),"Loading...")</f>
        <v>Loading...</v>
      </c>
      <c r="M81" s="24"/>
      <c r="N81" s="19" t="str">
        <f ca="1">IFERROR(__xludf.DUMMYFUNCTION("IMPORTXML(AI81, ""//li[strong[text()='Global Sales:']]"")"),"Loading...")</f>
        <v>Loading...</v>
      </c>
      <c r="O81" s="24"/>
      <c r="P81" s="19" t="str">
        <f t="shared" si="0"/>
        <v/>
      </c>
      <c r="Q81" s="19" t="str">
        <f ca="1">IFERROR(__xludf.DUMMYFUNCTION("IMPORTXML(AI81, ""//li[strong[text()='US Units:']]"")"),"Loading...")</f>
        <v>Loading...</v>
      </c>
      <c r="R81" s="24"/>
      <c r="S81" s="19" t="str">
        <f ca="1">IFERROR(__xludf.DUMMYFUNCTION("IMPORTXML(AI81, ""//li[strong[text()='International Units:']]"")"),"Loading...")</f>
        <v>Loading...</v>
      </c>
      <c r="T81" s="44"/>
      <c r="U81" s="19" t="str">
        <f ca="1">IFERROR(__xludf.DUMMYFUNCTION("IMPORTXML(AI81, ""//li[strong[text()='Percent Franchised:']]"")"),"Loading...")</f>
        <v>Loading...</v>
      </c>
      <c r="V81" s="24"/>
      <c r="W81" s="19" t="str">
        <f ca="1">IFERROR(__xludf.DUMMYFUNCTION("IMPORTXML(AI81, ""//li[strong[text()='% International Units:']]"")"),"Loading...")</f>
        <v>Loading...</v>
      </c>
      <c r="X81" s="24"/>
      <c r="Y81" s="19" t="str">
        <f ca="1">IFERROR(__xludf.DUMMYFUNCTION("IMPORTXML(AI81, ""//li[strong[text()='US Franchised Units:']]"")"),"Loading...")</f>
        <v>Loading...</v>
      </c>
      <c r="Z81" s="24"/>
      <c r="AA81" s="14" t="str">
        <f t="shared" si="1"/>
        <v/>
      </c>
      <c r="AB81" s="19" t="str">
        <f ca="1">IFERROR(__xludf.DUMMYFUNCTION("IMPORTXML(AI81, ""//li[strong[text()='International Franchised Units:']]"")"),"Loading...")</f>
        <v>Loading...</v>
      </c>
      <c r="AC81" s="24"/>
      <c r="AD81" s="14" t="str">
        <f t="shared" si="2"/>
        <v/>
      </c>
      <c r="AE81" s="25" t="str">
        <f ca="1">IFERROR(__xludf.DUMMYFUNCTION("IMPORTXML(AI81, ""//li[strong[text()='Sales Growth %:']]"")"),"Loading...")</f>
        <v>Loading...</v>
      </c>
      <c r="AF81" s="24"/>
      <c r="AG81" s="25" t="str">
        <f ca="1">IFERROR(__xludf.DUMMYFUNCTION("IMPORTXML(AI81, ""//li[strong[text()='Unit Growth %:']]"")"),"Loading...")</f>
        <v>Loading...</v>
      </c>
      <c r="AH81" s="25"/>
      <c r="AI81" s="48" t="s">
        <v>97</v>
      </c>
      <c r="AJ81" s="27"/>
      <c r="AK81" s="27"/>
      <c r="AL81" s="27"/>
      <c r="AM81" s="27"/>
      <c r="AN81" s="27"/>
      <c r="AO81" s="27"/>
      <c r="AP81" s="27"/>
      <c r="AQ81" s="27"/>
    </row>
    <row r="82" spans="1:43" ht="14.25" customHeight="1">
      <c r="A82" s="42">
        <v>24.081</v>
      </c>
      <c r="B82" s="14">
        <v>2024</v>
      </c>
      <c r="C82" s="32">
        <v>81</v>
      </c>
      <c r="D82" s="16" t="str">
        <f ca="1">IFERROR(__xludf.DUMMYFUNCTION("IMPORTXML(AI82, ""//h1[@itemprop='headline']/span"")"),"81. Jani-King")</f>
        <v>81. Jani-King</v>
      </c>
      <c r="E82" s="17" t="str">
        <f ca="1">IFERROR(__xludf.DUMMYFUNCTION("REGEXEXTRACT(D82, ""\.\s*(.+)"")"),"Jani-King")</f>
        <v>Jani-King</v>
      </c>
      <c r="F82" s="18" t="str">
        <f ca="1">IFERROR(__xludf.DUMMYFUNCTION("IMPORTXML(AI82, ""//li[strong[text()='Investment Range:']]"")"),"Investment Range:")</f>
        <v>Investment Range:</v>
      </c>
      <c r="G82" s="43" t="str">
        <f ca="1">IFERROR(__xludf.DUMMYFUNCTION("""COMPUTED_VALUE""")," $25,196 - $119,562")</f>
        <v xml:space="preserve"> $25,196 - $119,562</v>
      </c>
      <c r="H82" s="18" t="str">
        <f ca="1">IFERROR(__xludf.DUMMYFUNCTION("SUBSTITUTE(REGEXEXTRACT(G82, ""\$(\d{1,3}(?:,\d{3})*)""), "","", ""."")
"),"25.196")</f>
        <v>25.196</v>
      </c>
      <c r="I82" s="19" t="str">
        <f ca="1">IFERROR(__xludf.DUMMYFUNCTION("SUBSTITUTE(REGEXEXTRACT(G82, ""-\s*\$(\d{1,3}(?:,\d{3})*)""), "","", ""."")
"),"119.562")</f>
        <v>119.562</v>
      </c>
      <c r="J82" s="19" t="str">
        <f ca="1">IFERROR(__xludf.DUMMYFUNCTION("IMPORTXML(AI82, ""//li[strong[text()='Initial Investment:']]"")"),"Loading...")</f>
        <v>Loading...</v>
      </c>
      <c r="K82" s="24"/>
      <c r="L82" s="20" t="str">
        <f ca="1">IFERROR(__xludf.DUMMYFUNCTION("IMPORTXML(AI82, ""//li[strong[text()='Category:']]"")"),"Loading...")</f>
        <v>Loading...</v>
      </c>
      <c r="M82" s="24"/>
      <c r="N82" s="19" t="str">
        <f ca="1">IFERROR(__xludf.DUMMYFUNCTION("IMPORTXML(AI82, ""//li[strong[text()='Global Sales:']]"")"),"Loading...")</f>
        <v>Loading...</v>
      </c>
      <c r="O82" s="24"/>
      <c r="P82" s="19" t="str">
        <f t="shared" si="0"/>
        <v/>
      </c>
      <c r="Q82" s="19" t="str">
        <f ca="1">IFERROR(__xludf.DUMMYFUNCTION("IMPORTXML(AI82, ""//li[strong[text()='US Units:']]"")"),"Loading...")</f>
        <v>Loading...</v>
      </c>
      <c r="R82" s="24"/>
      <c r="S82" s="19" t="str">
        <f ca="1">IFERROR(__xludf.DUMMYFUNCTION("IMPORTXML(AI82, ""//li[strong[text()='International Units:']]"")"),"International Units:")</f>
        <v>International Units:</v>
      </c>
      <c r="T82" s="44">
        <f ca="1">IFERROR(__xludf.DUMMYFUNCTION("""COMPUTED_VALUE"""),2.02)</f>
        <v>2.02</v>
      </c>
      <c r="U82" s="19" t="str">
        <f ca="1">IFERROR(__xludf.DUMMYFUNCTION("IMPORTXML(AI82, ""//li[strong[text()='Percent Franchised:']]"")"),"Loading...")</f>
        <v>Loading...</v>
      </c>
      <c r="V82" s="24"/>
      <c r="W82" s="19" t="str">
        <f ca="1">IFERROR(__xludf.DUMMYFUNCTION("IMPORTXML(AI82, ""//li[strong[text()='% International Units:']]"")"),"Loading...")</f>
        <v>Loading...</v>
      </c>
      <c r="X82" s="24"/>
      <c r="Y82" s="19" t="str">
        <f ca="1">IFERROR(__xludf.DUMMYFUNCTION("IMPORTXML(AI82, ""//li[strong[text()='US Franchised Units:']]"")"),"Loading...")</f>
        <v>Loading...</v>
      </c>
      <c r="Z82" s="24"/>
      <c r="AA82" s="14" t="str">
        <f t="shared" si="1"/>
        <v/>
      </c>
      <c r="AB82" s="19" t="str">
        <f ca="1">IFERROR(__xludf.DUMMYFUNCTION("IMPORTXML(AI82, ""//li[strong[text()='International Franchised Units:']]"")"),"Loading...")</f>
        <v>Loading...</v>
      </c>
      <c r="AC82" s="24"/>
      <c r="AD82" s="14" t="str">
        <f t="shared" si="2"/>
        <v/>
      </c>
      <c r="AE82" s="25" t="str">
        <f ca="1">IFERROR(__xludf.DUMMYFUNCTION("IMPORTXML(AI82, ""//li[strong[text()='Sales Growth %:']]"")"),"Loading...")</f>
        <v>Loading...</v>
      </c>
      <c r="AF82" s="24"/>
      <c r="AG82" s="25" t="str">
        <f ca="1">IFERROR(__xludf.DUMMYFUNCTION("IMPORTXML(AI82, ""//li[strong[text()='Unit Growth %:']]"")"),"Loading...")</f>
        <v>Loading...</v>
      </c>
      <c r="AH82" s="25"/>
      <c r="AI82" s="48" t="s">
        <v>98</v>
      </c>
      <c r="AJ82" s="27"/>
      <c r="AK82" s="27"/>
      <c r="AL82" s="27"/>
      <c r="AM82" s="27"/>
      <c r="AN82" s="27"/>
      <c r="AO82" s="27"/>
      <c r="AP82" s="27"/>
      <c r="AQ82" s="27"/>
    </row>
    <row r="83" spans="1:43" ht="14.25" customHeight="1">
      <c r="A83" s="42">
        <v>24.082000000000001</v>
      </c>
      <c r="B83" s="14">
        <v>2024</v>
      </c>
      <c r="C83" s="36">
        <v>82</v>
      </c>
      <c r="D83" s="16" t="str">
        <f ca="1">IFERROR(__xludf.DUMMYFUNCTION("IMPORTXML(AI83, ""//h1[@itemprop='headline']/span"")"),"82. Freddy’s Frozen Custard &amp; Steakburgers")</f>
        <v>82. Freddy’s Frozen Custard &amp; Steakburgers</v>
      </c>
      <c r="E83" s="17" t="str">
        <f ca="1">IFERROR(__xludf.DUMMYFUNCTION("REGEXEXTRACT(D83, ""\.\s*(.+)"")"),"Freddy’s Frozen Custard &amp; Steakburgers")</f>
        <v>Freddy’s Frozen Custard &amp; Steakburgers</v>
      </c>
      <c r="F83" s="18" t="str">
        <f ca="1">IFERROR(__xludf.DUMMYFUNCTION("IMPORTXML(AI83, ""//li[strong[text()='Investment Range:']]"")"),"Investment Range:")</f>
        <v>Investment Range:</v>
      </c>
      <c r="G83" s="43" t="str">
        <f ca="1">IFERROR(__xludf.DUMMYFUNCTION("""COMPUTED_VALUE""")," $794,254 - $2,327,329")</f>
        <v xml:space="preserve"> $794,254 - $2,327,329</v>
      </c>
      <c r="H83" s="18" t="str">
        <f ca="1">IFERROR(__xludf.DUMMYFUNCTION("SUBSTITUTE(REGEXEXTRACT(G83, ""\$(\d{1,3}(?:,\d{3})*)""), "","", ""."")
"),"794.254")</f>
        <v>794.254</v>
      </c>
      <c r="I83" s="19" t="str">
        <f ca="1">IFERROR(__xludf.DUMMYFUNCTION("SUBSTITUTE(REGEXEXTRACT(G83, ""-\s*\$(\d{1,3}(?:,\d{3})*)""), "","", ""."")
"),"2.327.329")</f>
        <v>2.327.329</v>
      </c>
      <c r="J83" s="19" t="str">
        <f ca="1">IFERROR(__xludf.DUMMYFUNCTION("IMPORTXML(AI83, ""//li[strong[text()='Initial Investment:']]"")"),"Loading...")</f>
        <v>Loading...</v>
      </c>
      <c r="K83" s="24"/>
      <c r="L83" s="20" t="str">
        <f ca="1">IFERROR(__xludf.DUMMYFUNCTION("IMPORTXML(AI83, ""//li[strong[text()='Category:']]"")"),"Loading...")</f>
        <v>Loading...</v>
      </c>
      <c r="M83" s="24"/>
      <c r="N83" s="19" t="str">
        <f ca="1">IFERROR(__xludf.DUMMYFUNCTION("IMPORTXML(AI83, ""//li[strong[text()='Global Sales:']]"")"),"Loading...")</f>
        <v>Loading...</v>
      </c>
      <c r="O83" s="24"/>
      <c r="P83" s="19" t="str">
        <f t="shared" si="0"/>
        <v/>
      </c>
      <c r="Q83" s="19" t="str">
        <f ca="1">IFERROR(__xludf.DUMMYFUNCTION("IMPORTXML(AI83, ""//li[strong[text()='US Units:']]"")"),"Loading...")</f>
        <v>Loading...</v>
      </c>
      <c r="R83" s="24"/>
      <c r="S83" s="19" t="str">
        <f ca="1">IFERROR(__xludf.DUMMYFUNCTION("IMPORTXML(AI83, ""//li[strong[text()='International Units:']]"")"),"Loading...")</f>
        <v>Loading...</v>
      </c>
      <c r="T83" s="44"/>
      <c r="U83" s="19" t="str">
        <f ca="1">IFERROR(__xludf.DUMMYFUNCTION("IMPORTXML(AI83, ""//li[strong[text()='Percent Franchised:']]"")"),"Loading...")</f>
        <v>Loading...</v>
      </c>
      <c r="V83" s="24"/>
      <c r="W83" s="19" t="str">
        <f ca="1">IFERROR(__xludf.DUMMYFUNCTION("IMPORTXML(AI83, ""//li[strong[text()='% International Units:']]"")"),"Loading...")</f>
        <v>Loading...</v>
      </c>
      <c r="X83" s="24"/>
      <c r="Y83" s="19" t="str">
        <f ca="1">IFERROR(__xludf.DUMMYFUNCTION("IMPORTXML(AI83, ""//li[strong[text()='US Franchised Units:']]"")"),"Loading...")</f>
        <v>Loading...</v>
      </c>
      <c r="Z83" s="24"/>
      <c r="AA83" s="14" t="str">
        <f t="shared" si="1"/>
        <v/>
      </c>
      <c r="AB83" s="19" t="str">
        <f ca="1">IFERROR(__xludf.DUMMYFUNCTION("IMPORTXML(AI83, ""//li[strong[text()='International Franchised Units:']]"")"),"Loading...")</f>
        <v>Loading...</v>
      </c>
      <c r="AC83" s="24"/>
      <c r="AD83" s="14" t="str">
        <f t="shared" si="2"/>
        <v/>
      </c>
      <c r="AE83" s="25" t="str">
        <f ca="1">IFERROR(__xludf.DUMMYFUNCTION("IMPORTXML(AI83, ""//li[strong[text()='Sales Growth %:']]"")"),"Loading...")</f>
        <v>Loading...</v>
      </c>
      <c r="AF83" s="24"/>
      <c r="AG83" s="25" t="str">
        <f ca="1">IFERROR(__xludf.DUMMYFUNCTION("IMPORTXML(AI83, ""//li[strong[text()='Unit Growth %:']]"")"),"Loading...")</f>
        <v>Loading...</v>
      </c>
      <c r="AH83" s="25"/>
      <c r="AI83" s="48" t="s">
        <v>99</v>
      </c>
      <c r="AJ83" s="27"/>
      <c r="AK83" s="27"/>
      <c r="AL83" s="27"/>
      <c r="AM83" s="27"/>
      <c r="AN83" s="27"/>
      <c r="AO83" s="27"/>
      <c r="AP83" s="27"/>
      <c r="AQ83" s="27"/>
    </row>
    <row r="84" spans="1:43" ht="14.25" customHeight="1">
      <c r="A84" s="42">
        <v>24.082999999999998</v>
      </c>
      <c r="B84" s="14">
        <v>2024</v>
      </c>
      <c r="C84" s="36">
        <v>83</v>
      </c>
      <c r="D84" s="16" t="str">
        <f ca="1">IFERROR(__xludf.DUMMYFUNCTION("IMPORTXML(AI84, ""//h1[@itemprop='headline']/span"")"),"83. Keystone Insurers Group")</f>
        <v>83. Keystone Insurers Group</v>
      </c>
      <c r="E84" s="17" t="str">
        <f ca="1">IFERROR(__xludf.DUMMYFUNCTION("REGEXEXTRACT(D84, ""\.\s*(.+)"")"),"Keystone Insurers Group")</f>
        <v>Keystone Insurers Group</v>
      </c>
      <c r="F84" s="18" t="str">
        <f ca="1">IFERROR(__xludf.DUMMYFUNCTION("IMPORTXML(AI84, ""//li[strong[text()='Investment Range:']]"")"),"#N/A")</f>
        <v>#N/A</v>
      </c>
      <c r="G84" s="43"/>
      <c r="H84" s="18" t="str">
        <f ca="1">IFERROR(__xludf.DUMMYFUNCTION("SUBSTITUTE(REGEXEXTRACT(G84, ""\$(\d{1,3}(?:,\d{3})*)""), "","", ""."")
"),"#N/A")</f>
        <v>#N/A</v>
      </c>
      <c r="I84" s="19" t="str">
        <f ca="1">IFERROR(__xludf.DUMMYFUNCTION("SUBSTITUTE(REGEXEXTRACT(G84, ""-\s*\$(\d{1,3}(?:,\d{3})*)""), "","", ""."")
"),"#N/A")</f>
        <v>#N/A</v>
      </c>
      <c r="J84" s="19" t="str">
        <f ca="1">IFERROR(__xludf.DUMMYFUNCTION("IMPORTXML(AI84, ""//li[strong[text()='Initial Investment:']]"")"),"Loading...")</f>
        <v>Loading...</v>
      </c>
      <c r="K84" s="24"/>
      <c r="L84" s="20" t="str">
        <f ca="1">IFERROR(__xludf.DUMMYFUNCTION("IMPORTXML(AI84, ""//li[strong[text()='Category:']]"")"),"Loading...")</f>
        <v>Loading...</v>
      </c>
      <c r="M84" s="24"/>
      <c r="N84" s="19" t="str">
        <f ca="1">IFERROR(__xludf.DUMMYFUNCTION("IMPORTXML(AI84, ""//li[strong[text()='Global Sales:']]"")"),"Loading...")</f>
        <v>Loading...</v>
      </c>
      <c r="O84" s="24"/>
      <c r="P84" s="19" t="str">
        <f t="shared" si="0"/>
        <v/>
      </c>
      <c r="Q84" s="19" t="str">
        <f ca="1">IFERROR(__xludf.DUMMYFUNCTION("IMPORTXML(AI84, ""//li[strong[text()='US Units:']]"")"),"#N/A")</f>
        <v>#N/A</v>
      </c>
      <c r="R84" s="24"/>
      <c r="S84" s="19" t="str">
        <f ca="1">IFERROR(__xludf.DUMMYFUNCTION("IMPORTXML(AI84, ""//li[strong[text()='International Units:']]"")"),"Loading...")</f>
        <v>Loading...</v>
      </c>
      <c r="T84" s="44"/>
      <c r="U84" s="19" t="str">
        <f ca="1">IFERROR(__xludf.DUMMYFUNCTION("IMPORTXML(AI84, ""//li[strong[text()='Percent Franchised:']]"")"),"Loading...")</f>
        <v>Loading...</v>
      </c>
      <c r="V84" s="24"/>
      <c r="W84" s="19" t="str">
        <f ca="1">IFERROR(__xludf.DUMMYFUNCTION("IMPORTXML(AI84, ""//li[strong[text()='% International Units:']]"")"),"Loading...")</f>
        <v>Loading...</v>
      </c>
      <c r="X84" s="24"/>
      <c r="Y84" s="19" t="str">
        <f ca="1">IFERROR(__xludf.DUMMYFUNCTION("IMPORTXML(AI84, ""//li[strong[text()='US Franchised Units:']]"")"),"Loading...")</f>
        <v>Loading...</v>
      </c>
      <c r="Z84" s="24"/>
      <c r="AA84" s="14" t="str">
        <f t="shared" si="1"/>
        <v/>
      </c>
      <c r="AB84" s="19" t="str">
        <f ca="1">IFERROR(__xludf.DUMMYFUNCTION("IMPORTXML(AI84, ""//li[strong[text()='International Franchised Units:']]"")"),"Loading...")</f>
        <v>Loading...</v>
      </c>
      <c r="AC84" s="24"/>
      <c r="AD84" s="14" t="str">
        <f t="shared" si="2"/>
        <v/>
      </c>
      <c r="AE84" s="25" t="str">
        <f ca="1">IFERROR(__xludf.DUMMYFUNCTION("IMPORTXML(AI84, ""//li[strong[text()='Sales Growth %:']]"")"),"Loading...")</f>
        <v>Loading...</v>
      </c>
      <c r="AF84" s="24"/>
      <c r="AG84" s="25" t="str">
        <f ca="1">IFERROR(__xludf.DUMMYFUNCTION("IMPORTXML(AI84, ""//li[strong[text()='Unit Growth %:']]"")"),"Loading...")</f>
        <v>Loading...</v>
      </c>
      <c r="AH84" s="25"/>
      <c r="AI84" s="48" t="s">
        <v>100</v>
      </c>
      <c r="AJ84" s="27"/>
      <c r="AK84" s="27"/>
      <c r="AL84" s="27"/>
      <c r="AM84" s="27"/>
      <c r="AN84" s="27"/>
      <c r="AO84" s="27"/>
      <c r="AP84" s="27"/>
      <c r="AQ84" s="27"/>
    </row>
    <row r="85" spans="1:43" ht="14.25" customHeight="1">
      <c r="A85" s="42">
        <v>24.084</v>
      </c>
      <c r="B85" s="14">
        <v>2024</v>
      </c>
      <c r="C85" s="15">
        <v>84</v>
      </c>
      <c r="D85" s="16" t="str">
        <f ca="1">IFERROR(__xludf.DUMMYFUNCTION("IMPORTXML(AI85, ""//h1[@itemprop='headline']/span"")"),"#VALUE!")</f>
        <v>#VALUE!</v>
      </c>
      <c r="E85" s="17" t="str">
        <f ca="1">IFERROR(__xludf.DUMMYFUNCTION("REGEXEXTRACT(D85, ""\.\s*(.+)"")"),"#VALUE!")</f>
        <v>#VALUE!</v>
      </c>
      <c r="F85" s="18" t="str">
        <f ca="1">IFERROR(__xludf.DUMMYFUNCTION("IMPORTXML(AI85, ""//li[strong[text()='Investment Range:']]"")"),"#VALUE!")</f>
        <v>#VALUE!</v>
      </c>
      <c r="G85" s="43"/>
      <c r="H85" s="18" t="str">
        <f ca="1">IFERROR(__xludf.DUMMYFUNCTION("SUBSTITUTE(REGEXEXTRACT(G85, ""\$(\d{1,3}(?:,\d{3})*)""), "","", ""."")
"),"#N/A")</f>
        <v>#N/A</v>
      </c>
      <c r="I85" s="19" t="str">
        <f ca="1">IFERROR(__xludf.DUMMYFUNCTION("SUBSTITUTE(REGEXEXTRACT(G85, ""-\s*\$(\d{1,3}(?:,\d{3})*)""), "","", ""."")
"),"#N/A")</f>
        <v>#N/A</v>
      </c>
      <c r="J85" s="19" t="str">
        <f ca="1">IFERROR(__xludf.DUMMYFUNCTION("IMPORTXML(AI85, ""//li[strong[text()='Initial Investment:']]"")"),"#VALUE!")</f>
        <v>#VALUE!</v>
      </c>
      <c r="K85" s="24"/>
      <c r="L85" s="20" t="str">
        <f ca="1">IFERROR(__xludf.DUMMYFUNCTION("IMPORTXML(AI85, ""//li[strong[text()='Category:']]"")"),"#VALUE!")</f>
        <v>#VALUE!</v>
      </c>
      <c r="M85" s="24"/>
      <c r="N85" s="19" t="str">
        <f ca="1">IFERROR(__xludf.DUMMYFUNCTION("IMPORTXML(AI85, ""//li[strong[text()='Global Sales:']]"")"),"#VALUE!")</f>
        <v>#VALUE!</v>
      </c>
      <c r="O85" s="24"/>
      <c r="P85" s="19" t="str">
        <f t="shared" si="0"/>
        <v/>
      </c>
      <c r="Q85" s="19" t="str">
        <f ca="1">IFERROR(__xludf.DUMMYFUNCTION("IMPORTXML(AI85, ""//li[strong[text()='US Units:']]"")"),"#VALUE!")</f>
        <v>#VALUE!</v>
      </c>
      <c r="R85" s="24"/>
      <c r="S85" s="19" t="str">
        <f ca="1">IFERROR(__xludf.DUMMYFUNCTION("IMPORTXML(AI85, ""//li[strong[text()='International Units:']]"")"),"#VALUE!")</f>
        <v>#VALUE!</v>
      </c>
      <c r="T85" s="44"/>
      <c r="U85" s="19" t="str">
        <f ca="1">IFERROR(__xludf.DUMMYFUNCTION("IMPORTXML(AI85, ""//li[strong[text()='Percent Franchised:']]"")"),"#VALUE!")</f>
        <v>#VALUE!</v>
      </c>
      <c r="V85" s="24"/>
      <c r="W85" s="19" t="str">
        <f ca="1">IFERROR(__xludf.DUMMYFUNCTION("IMPORTXML(AI85, ""//li[strong[text()='% International Units:']]"")"),"#VALUE!")</f>
        <v>#VALUE!</v>
      </c>
      <c r="X85" s="24"/>
      <c r="Y85" s="19" t="str">
        <f ca="1">IFERROR(__xludf.DUMMYFUNCTION("IMPORTXML(AI85, ""//li[strong[text()='US Franchised Units:']]"")"),"#VALUE!")</f>
        <v>#VALUE!</v>
      </c>
      <c r="Z85" s="24"/>
      <c r="AA85" s="14" t="str">
        <f t="shared" si="1"/>
        <v/>
      </c>
      <c r="AB85" s="19" t="str">
        <f ca="1">IFERROR(__xludf.DUMMYFUNCTION("IMPORTXML(AI85, ""//li[strong[text()='International Franchised Units:']]"")"),"#VALUE!")</f>
        <v>#VALUE!</v>
      </c>
      <c r="AC85" s="24"/>
      <c r="AD85" s="14" t="str">
        <f t="shared" si="2"/>
        <v/>
      </c>
      <c r="AE85" s="25" t="str">
        <f ca="1">IFERROR(__xludf.DUMMYFUNCTION("IMPORTXML(AI85, ""//li[strong[text()='Sales Growth %:']]"")"),"#VALUE!")</f>
        <v>#VALUE!</v>
      </c>
      <c r="AF85" s="24"/>
      <c r="AG85" s="25" t="str">
        <f ca="1">IFERROR(__xludf.DUMMYFUNCTION("IMPORTXML(AI85, ""//li[strong[text()='Unit Growth %:']]"")"),"#VALUE!")</f>
        <v>#VALUE!</v>
      </c>
      <c r="AH85" s="25"/>
      <c r="AI85" s="48"/>
      <c r="AJ85" s="27"/>
      <c r="AK85" s="27"/>
      <c r="AL85" s="27"/>
      <c r="AM85" s="27"/>
      <c r="AN85" s="27"/>
      <c r="AO85" s="27"/>
      <c r="AP85" s="27"/>
      <c r="AQ85" s="27"/>
    </row>
    <row r="86" spans="1:43" ht="14.25" customHeight="1">
      <c r="A86" s="42">
        <v>24.085000000000001</v>
      </c>
      <c r="B86" s="14">
        <v>2024</v>
      </c>
      <c r="C86" s="32">
        <v>85</v>
      </c>
      <c r="D86" s="16" t="str">
        <f ca="1">IFERROR(__xludf.DUMMYFUNCTION("IMPORTXML(AI86, ""//h1[@itemprop='headline']/span"")"),"85. Auntie Anne’s")</f>
        <v>85. Auntie Anne’s</v>
      </c>
      <c r="E86" s="17" t="str">
        <f ca="1">IFERROR(__xludf.DUMMYFUNCTION("REGEXEXTRACT(D86, ""\.\s*(.+)"")"),"Auntie Anne’s")</f>
        <v>Auntie Anne’s</v>
      </c>
      <c r="F86" s="18" t="str">
        <f ca="1">IFERROR(__xludf.DUMMYFUNCTION("IMPORTXML(AI86, ""//li[strong[text()='Investment Range:']]"")"),"Investment Range:")</f>
        <v>Investment Range:</v>
      </c>
      <c r="G86" s="43" t="str">
        <f ca="1">IFERROR(__xludf.DUMMYFUNCTION("""COMPUTED_VALUE""")," $149,625 – $624,800 Estimated Initial Investment for a Full Shoppe")</f>
        <v xml:space="preserve"> $149,625 – $624,800 Estimated Initial Investment for a Full Shoppe</v>
      </c>
      <c r="H86" s="18" t="str">
        <f ca="1">IFERROR(__xludf.DUMMYFUNCTION("SUBSTITUTE(REGEXEXTRACT(G86, ""\$(\d{1,3}(?:,\d{3})*)""), "","", ""."")
"),"149.625")</f>
        <v>149.625</v>
      </c>
      <c r="I86" s="19" t="str">
        <f ca="1">IFERROR(__xludf.DUMMYFUNCTION("SUBSTITUTE(REGEXEXTRACT(G86, ""-\s*\$(\d{1,3}(?:,\d{3})*)""), "","", ""."")
"),"#N/A")</f>
        <v>#N/A</v>
      </c>
      <c r="J86" s="19" t="str">
        <f ca="1">IFERROR(__xludf.DUMMYFUNCTION("IMPORTXML(AI86, ""//li[strong[text()='Initial Investment:']]"")"),"Loading...")</f>
        <v>Loading...</v>
      </c>
      <c r="K86" s="24"/>
      <c r="L86" s="20" t="str">
        <f ca="1">IFERROR(__xludf.DUMMYFUNCTION("IMPORTXML(AI86, ""//li[strong[text()='Category:']]"")"),"Loading...")</f>
        <v>Loading...</v>
      </c>
      <c r="M86" s="24"/>
      <c r="N86" s="19" t="str">
        <f ca="1">IFERROR(__xludf.DUMMYFUNCTION("IMPORTXML(AI86, ""//li[strong[text()='Global Sales:']]"")"),"Loading...")</f>
        <v>Loading...</v>
      </c>
      <c r="O86" s="24"/>
      <c r="P86" s="19" t="str">
        <f t="shared" si="0"/>
        <v/>
      </c>
      <c r="Q86" s="19" t="str">
        <f ca="1">IFERROR(__xludf.DUMMYFUNCTION("IMPORTXML(AI86, ""//li[strong[text()='US Units:']]"")"),"Loading...")</f>
        <v>Loading...</v>
      </c>
      <c r="R86" s="24"/>
      <c r="S86" s="19" t="str">
        <f ca="1">IFERROR(__xludf.DUMMYFUNCTION("IMPORTXML(AI86, ""//li[strong[text()='International Units:']]"")"),"Loading...")</f>
        <v>Loading...</v>
      </c>
      <c r="T86" s="44"/>
      <c r="U86" s="19" t="str">
        <f ca="1">IFERROR(__xludf.DUMMYFUNCTION("IMPORTXML(AI86, ""//li[strong[text()='Percent Franchised:']]"")"),"Loading...")</f>
        <v>Loading...</v>
      </c>
      <c r="V86" s="24"/>
      <c r="W86" s="19" t="str">
        <f ca="1">IFERROR(__xludf.DUMMYFUNCTION("IMPORTXML(AI86, ""//li[strong[text()='% International Units:']]"")"),"Loading...")</f>
        <v>Loading...</v>
      </c>
      <c r="X86" s="24"/>
      <c r="Y86" s="19" t="str">
        <f ca="1">IFERROR(__xludf.DUMMYFUNCTION("IMPORTXML(AI86, ""//li[strong[text()='US Franchised Units:']]"")"),"Loading...")</f>
        <v>Loading...</v>
      </c>
      <c r="Z86" s="24"/>
      <c r="AA86" s="14" t="str">
        <f t="shared" si="1"/>
        <v/>
      </c>
      <c r="AB86" s="19" t="str">
        <f ca="1">IFERROR(__xludf.DUMMYFUNCTION("IMPORTXML(AI86, ""//li[strong[text()='International Franchised Units:']]"")"),"Loading...")</f>
        <v>Loading...</v>
      </c>
      <c r="AC86" s="24"/>
      <c r="AD86" s="14" t="str">
        <f t="shared" si="2"/>
        <v/>
      </c>
      <c r="AE86" s="25" t="str">
        <f ca="1">IFERROR(__xludf.DUMMYFUNCTION("IMPORTXML(AI86, ""//li[strong[text()='Sales Growth %:']]"")"),"Loading...")</f>
        <v>Loading...</v>
      </c>
      <c r="AF86" s="24"/>
      <c r="AG86" s="25" t="str">
        <f ca="1">IFERROR(__xludf.DUMMYFUNCTION("IMPORTXML(AI86, ""//li[strong[text()='Unit Growth %:']]"")"),"Loading...")</f>
        <v>Loading...</v>
      </c>
      <c r="AH86" s="25"/>
      <c r="AI86" s="48" t="s">
        <v>101</v>
      </c>
      <c r="AJ86" s="27"/>
      <c r="AK86" s="27"/>
      <c r="AL86" s="27"/>
      <c r="AM86" s="27"/>
      <c r="AN86" s="27"/>
      <c r="AO86" s="27"/>
      <c r="AP86" s="27"/>
      <c r="AQ86" s="27"/>
    </row>
    <row r="87" spans="1:43" ht="14.25" customHeight="1">
      <c r="A87" s="42">
        <v>24.085999999999999</v>
      </c>
      <c r="B87" s="14">
        <v>2024</v>
      </c>
      <c r="C87" s="36">
        <v>86</v>
      </c>
      <c r="D87" s="16" t="str">
        <f ca="1">IFERROR(__xludf.DUMMYFUNCTION("IMPORTXML(AI87, ""//h1[@itemprop='headline']/span"")"),"475. AdvantaClean")</f>
        <v>475. AdvantaClean</v>
      </c>
      <c r="E87" s="17" t="str">
        <f ca="1">IFERROR(__xludf.DUMMYFUNCTION("REGEXEXTRACT(D87, ""\.\s*(.+)"")"),"AdvantaClean")</f>
        <v>AdvantaClean</v>
      </c>
      <c r="F87" s="18" t="str">
        <f ca="1">IFERROR(__xludf.DUMMYFUNCTION("IMPORTXML(AI87, ""//li[strong[text()='Investment Range:']]"")"),"Investment Range:")</f>
        <v>Investment Range:</v>
      </c>
      <c r="G87" s="43" t="str">
        <f ca="1">IFERROR(__xludf.DUMMYFUNCTION("""COMPUTED_VALUE""")," $116,880 - $197,400")</f>
        <v xml:space="preserve"> $116,880 - $197,400</v>
      </c>
      <c r="H87" s="18" t="str">
        <f ca="1">IFERROR(__xludf.DUMMYFUNCTION("SUBSTITUTE(REGEXEXTRACT(G87, ""\$(\d{1,3}(?:,\d{3})*)""), "","", ""."")
"),"116.880")</f>
        <v>116.880</v>
      </c>
      <c r="I87" s="19" t="str">
        <f ca="1">IFERROR(__xludf.DUMMYFUNCTION("SUBSTITUTE(REGEXEXTRACT(G87, ""-\s*\$(\d{1,3}(?:,\d{3})*)""), "","", ""."")
"),"197.400")</f>
        <v>197.400</v>
      </c>
      <c r="J87" s="19" t="str">
        <f ca="1">IFERROR(__xludf.DUMMYFUNCTION("IMPORTXML(AI87, ""//li[strong[text()='Initial Investment:']]"")"),"Loading...")</f>
        <v>Loading...</v>
      </c>
      <c r="K87" s="24"/>
      <c r="L87" s="20" t="str">
        <f ca="1">IFERROR(__xludf.DUMMYFUNCTION("IMPORTXML(AI87, ""//li[strong[text()='Category:']]"")"),"Loading...")</f>
        <v>Loading...</v>
      </c>
      <c r="M87" s="24"/>
      <c r="N87" s="19" t="str">
        <f ca="1">IFERROR(__xludf.DUMMYFUNCTION("IMPORTXML(AI87, ""//li[strong[text()='Global Sales:']]"")"),"Loading...")</f>
        <v>Loading...</v>
      </c>
      <c r="O87" s="24"/>
      <c r="P87" s="19" t="str">
        <f t="shared" si="0"/>
        <v/>
      </c>
      <c r="Q87" s="19" t="str">
        <f ca="1">IFERROR(__xludf.DUMMYFUNCTION("IMPORTXML(AI87, ""//li[strong[text()='US Units:']]"")"),"Loading...")</f>
        <v>Loading...</v>
      </c>
      <c r="R87" s="24"/>
      <c r="S87" s="19" t="str">
        <f ca="1">IFERROR(__xludf.DUMMYFUNCTION("IMPORTXML(AI87, ""//li[strong[text()='International Units:']]"")"),"Loading...")</f>
        <v>Loading...</v>
      </c>
      <c r="T87" s="44"/>
      <c r="U87" s="19" t="str">
        <f ca="1">IFERROR(__xludf.DUMMYFUNCTION("IMPORTXML(AI87, ""//li[strong[text()='Percent Franchised:']]"")"),"Loading...")</f>
        <v>Loading...</v>
      </c>
      <c r="V87" s="24"/>
      <c r="W87" s="19" t="str">
        <f ca="1">IFERROR(__xludf.DUMMYFUNCTION("IMPORTXML(AI87, ""//li[strong[text()='% International Units:']]"")"),"Loading...")</f>
        <v>Loading...</v>
      </c>
      <c r="X87" s="24"/>
      <c r="Y87" s="19" t="str">
        <f ca="1">IFERROR(__xludf.DUMMYFUNCTION("IMPORTXML(AI87, ""//li[strong[text()='US Franchised Units:']]"")"),"Loading...")</f>
        <v>Loading...</v>
      </c>
      <c r="Z87" s="24"/>
      <c r="AA87" s="14" t="str">
        <f t="shared" si="1"/>
        <v/>
      </c>
      <c r="AB87" s="19" t="str">
        <f ca="1">IFERROR(__xludf.DUMMYFUNCTION("IMPORTXML(AI87, ""//li[strong[text()='International Franchised Units:']]"")"),"Loading...")</f>
        <v>Loading...</v>
      </c>
      <c r="AC87" s="24"/>
      <c r="AD87" s="14" t="str">
        <f t="shared" si="2"/>
        <v/>
      </c>
      <c r="AE87" s="25" t="str">
        <f ca="1">IFERROR(__xludf.DUMMYFUNCTION("IMPORTXML(AI87, ""//li[strong[text()='Sales Growth %:']]"")"),"Loading...")</f>
        <v>Loading...</v>
      </c>
      <c r="AF87" s="24"/>
      <c r="AG87" s="25" t="str">
        <f ca="1">IFERROR(__xludf.DUMMYFUNCTION("IMPORTXML(AI87, ""//li[strong[text()='Unit Growth %:']]"")"),"Loading...")</f>
        <v>Loading...</v>
      </c>
      <c r="AH87" s="25"/>
      <c r="AI87" s="48" t="s">
        <v>102</v>
      </c>
      <c r="AJ87" s="27"/>
      <c r="AK87" s="27"/>
      <c r="AL87" s="27"/>
      <c r="AM87" s="27"/>
      <c r="AN87" s="27"/>
      <c r="AO87" s="27"/>
      <c r="AP87" s="27"/>
      <c r="AQ87" s="27"/>
    </row>
    <row r="88" spans="1:43" ht="14.25" customHeight="1">
      <c r="A88" s="42">
        <v>24.087</v>
      </c>
      <c r="B88" s="14">
        <v>2024</v>
      </c>
      <c r="C88" s="36">
        <v>87</v>
      </c>
      <c r="D88" s="16" t="str">
        <f ca="1">IFERROR(__xludf.DUMMYFUNCTION("IMPORTXML(AI88, ""//h1[@itemprop='headline']/span"")"),"87. Linc Service")</f>
        <v>87. Linc Service</v>
      </c>
      <c r="E88" s="17" t="str">
        <f ca="1">IFERROR(__xludf.DUMMYFUNCTION("REGEXEXTRACT(D88, ""\.\s*(.+)"")"),"Linc Service")</f>
        <v>Linc Service</v>
      </c>
      <c r="F88" s="18" t="str">
        <f ca="1">IFERROR(__xludf.DUMMYFUNCTION("IMPORTXML(AI88, ""//li[strong[text()='Investment Range:']]"")"),"Investment Range:")</f>
        <v>Investment Range:</v>
      </c>
      <c r="G88" s="43" t="str">
        <f ca="1">IFERROR(__xludf.DUMMYFUNCTION("""COMPUTED_VALUE""")," $66,530 - $136,000")</f>
        <v xml:space="preserve"> $66,530 - $136,000</v>
      </c>
      <c r="H88" s="18" t="str">
        <f ca="1">IFERROR(__xludf.DUMMYFUNCTION("SUBSTITUTE(REGEXEXTRACT(G88, ""\$(\d{1,3}(?:,\d{3})*)""), "","", ""."")
"),"66.530")</f>
        <v>66.530</v>
      </c>
      <c r="I88" s="19" t="str">
        <f ca="1">IFERROR(__xludf.DUMMYFUNCTION("SUBSTITUTE(REGEXEXTRACT(G88, ""-\s*\$(\d{1,3}(?:,\d{3})*)""), "","", ""."")
"),"136.000")</f>
        <v>136.000</v>
      </c>
      <c r="J88" s="19" t="str">
        <f ca="1">IFERROR(__xludf.DUMMYFUNCTION("IMPORTXML(AI88, ""//li[strong[text()='Initial Investment:']]"")"),"Loading...")</f>
        <v>Loading...</v>
      </c>
      <c r="K88" s="24"/>
      <c r="L88" s="20" t="str">
        <f ca="1">IFERROR(__xludf.DUMMYFUNCTION("IMPORTXML(AI88, ""//li[strong[text()='Category:']]"")"),"Loading...")</f>
        <v>Loading...</v>
      </c>
      <c r="M88" s="24"/>
      <c r="N88" s="19" t="str">
        <f ca="1">IFERROR(__xludf.DUMMYFUNCTION("IMPORTXML(AI88, ""//li[strong[text()='Global Sales:']]"")"),"Loading...")</f>
        <v>Loading...</v>
      </c>
      <c r="O88" s="24"/>
      <c r="P88" s="19" t="str">
        <f t="shared" si="0"/>
        <v/>
      </c>
      <c r="Q88" s="19" t="str">
        <f ca="1">IFERROR(__xludf.DUMMYFUNCTION("IMPORTXML(AI88, ""//li[strong[text()='US Units:']]"")"),"Loading...")</f>
        <v>Loading...</v>
      </c>
      <c r="R88" s="24"/>
      <c r="S88" s="19" t="str">
        <f ca="1">IFERROR(__xludf.DUMMYFUNCTION("IMPORTXML(AI88, ""//li[strong[text()='International Units:']]"")"),"Loading...")</f>
        <v>Loading...</v>
      </c>
      <c r="T88" s="44"/>
      <c r="U88" s="19" t="str">
        <f ca="1">IFERROR(__xludf.DUMMYFUNCTION("IMPORTXML(AI88, ""//li[strong[text()='Percent Franchised:']]"")"),"Loading...")</f>
        <v>Loading...</v>
      </c>
      <c r="V88" s="24"/>
      <c r="W88" s="19" t="str">
        <f ca="1">IFERROR(__xludf.DUMMYFUNCTION("IMPORTXML(AI88, ""//li[strong[text()='% International Units:']]"")"),"Loading...")</f>
        <v>Loading...</v>
      </c>
      <c r="X88" s="24"/>
      <c r="Y88" s="19" t="str">
        <f ca="1">IFERROR(__xludf.DUMMYFUNCTION("IMPORTXML(AI88, ""//li[strong[text()='US Franchised Units:']]"")"),"Loading...")</f>
        <v>Loading...</v>
      </c>
      <c r="Z88" s="24"/>
      <c r="AA88" s="14" t="str">
        <f t="shared" si="1"/>
        <v/>
      </c>
      <c r="AB88" s="19" t="str">
        <f ca="1">IFERROR(__xludf.DUMMYFUNCTION("IMPORTXML(AI88, ""//li[strong[text()='International Franchised Units:']]"")"),"Loading...")</f>
        <v>Loading...</v>
      </c>
      <c r="AC88" s="24"/>
      <c r="AD88" s="14" t="str">
        <f t="shared" si="2"/>
        <v/>
      </c>
      <c r="AE88" s="25" t="str">
        <f ca="1">IFERROR(__xludf.DUMMYFUNCTION("IMPORTXML(AI88, ""//li[strong[text()='Sales Growth %:']]"")"),"Loading...")</f>
        <v>Loading...</v>
      </c>
      <c r="AF88" s="24"/>
      <c r="AG88" s="25" t="str">
        <f ca="1">IFERROR(__xludf.DUMMYFUNCTION("IMPORTXML(AI88, ""//li[strong[text()='Unit Growth %:']]"")"),"Loading...")</f>
        <v>Loading...</v>
      </c>
      <c r="AH88" s="25"/>
      <c r="AI88" s="48" t="s">
        <v>103</v>
      </c>
      <c r="AJ88" s="27"/>
      <c r="AK88" s="27"/>
      <c r="AL88" s="27"/>
      <c r="AM88" s="27"/>
      <c r="AN88" s="27"/>
      <c r="AO88" s="27"/>
      <c r="AP88" s="27"/>
      <c r="AQ88" s="27"/>
    </row>
    <row r="89" spans="1:43" ht="14.25" customHeight="1">
      <c r="A89" s="42">
        <v>24.088000000000001</v>
      </c>
      <c r="B89" s="14">
        <v>2024</v>
      </c>
      <c r="C89" s="15">
        <v>88</v>
      </c>
      <c r="D89" s="16" t="str">
        <f ca="1">IFERROR(__xludf.DUMMYFUNCTION("IMPORTXML(AI89, ""//h1[@itemprop='headline']/span"")"),"88. Wireless Zone")</f>
        <v>88. Wireless Zone</v>
      </c>
      <c r="E89" s="17" t="str">
        <f ca="1">IFERROR(__xludf.DUMMYFUNCTION("REGEXEXTRACT(D89, ""\.\s*(.+)"")"),"Wireless Zone")</f>
        <v>Wireless Zone</v>
      </c>
      <c r="F89" s="18" t="str">
        <f ca="1">IFERROR(__xludf.DUMMYFUNCTION("IMPORTXML(AI89, ""//li[strong[text()='Investment Range:']]"")"),"#N/A")</f>
        <v>#N/A</v>
      </c>
      <c r="G89" s="43"/>
      <c r="H89" s="18" t="str">
        <f ca="1">IFERROR(__xludf.DUMMYFUNCTION("SUBSTITUTE(REGEXEXTRACT(G89, ""\$(\d{1,3}(?:,\d{3})*)""), "","", ""."")
"),"#N/A")</f>
        <v>#N/A</v>
      </c>
      <c r="I89" s="19" t="str">
        <f ca="1">IFERROR(__xludf.DUMMYFUNCTION("SUBSTITUTE(REGEXEXTRACT(G89, ""-\s*\$(\d{1,3}(?:,\d{3})*)""), "","", ""."")
"),"#N/A")</f>
        <v>#N/A</v>
      </c>
      <c r="J89" s="19" t="str">
        <f ca="1">IFERROR(__xludf.DUMMYFUNCTION("IMPORTXML(AI89, ""//li[strong[text()='Initial Investment:']]"")"),"Loading...")</f>
        <v>Loading...</v>
      </c>
      <c r="K89" s="24"/>
      <c r="L89" s="20" t="str">
        <f ca="1">IFERROR(__xludf.DUMMYFUNCTION("IMPORTXML(AI89, ""//li[strong[text()='Category:']]"")"),"Loading...")</f>
        <v>Loading...</v>
      </c>
      <c r="M89" s="24"/>
      <c r="N89" s="19" t="str">
        <f ca="1">IFERROR(__xludf.DUMMYFUNCTION("IMPORTXML(AI89, ""//li[strong[text()='Global Sales:']]"")"),"Loading...")</f>
        <v>Loading...</v>
      </c>
      <c r="O89" s="24"/>
      <c r="P89" s="19" t="str">
        <f t="shared" si="0"/>
        <v/>
      </c>
      <c r="Q89" s="19" t="str">
        <f ca="1">IFERROR(__xludf.DUMMYFUNCTION("IMPORTXML(AI89, ""//li[strong[text()='US Units:']]"")"),"Loading...")</f>
        <v>Loading...</v>
      </c>
      <c r="R89" s="24"/>
      <c r="S89" s="19" t="str">
        <f ca="1">IFERROR(__xludf.DUMMYFUNCTION("IMPORTXML(AI89, ""//li[strong[text()='International Units:']]"")"),"Loading...")</f>
        <v>Loading...</v>
      </c>
      <c r="T89" s="44"/>
      <c r="U89" s="19" t="str">
        <f ca="1">IFERROR(__xludf.DUMMYFUNCTION("IMPORTXML(AI89, ""//li[strong[text()='Percent Franchised:']]"")"),"Loading...")</f>
        <v>Loading...</v>
      </c>
      <c r="V89" s="24"/>
      <c r="W89" s="19" t="str">
        <f ca="1">IFERROR(__xludf.DUMMYFUNCTION("IMPORTXML(AI89, ""//li[strong[text()='% International Units:']]"")"),"Loading...")</f>
        <v>Loading...</v>
      </c>
      <c r="X89" s="24"/>
      <c r="Y89" s="19" t="str">
        <f ca="1">IFERROR(__xludf.DUMMYFUNCTION("IMPORTXML(AI89, ""//li[strong[text()='US Franchised Units:']]"")"),"Loading...")</f>
        <v>Loading...</v>
      </c>
      <c r="Z89" s="24"/>
      <c r="AA89" s="14" t="str">
        <f t="shared" si="1"/>
        <v/>
      </c>
      <c r="AB89" s="19" t="str">
        <f ca="1">IFERROR(__xludf.DUMMYFUNCTION("IMPORTXML(AI89, ""//li[strong[text()='International Franchised Units:']]"")"),"Loading...")</f>
        <v>Loading...</v>
      </c>
      <c r="AC89" s="24"/>
      <c r="AD89" s="14" t="str">
        <f t="shared" si="2"/>
        <v/>
      </c>
      <c r="AE89" s="25" t="str">
        <f ca="1">IFERROR(__xludf.DUMMYFUNCTION("IMPORTXML(AI89, ""//li[strong[text()='Sales Growth %:']]"")"),"Loading...")</f>
        <v>Loading...</v>
      </c>
      <c r="AF89" s="24"/>
      <c r="AG89" s="25" t="str">
        <f ca="1">IFERROR(__xludf.DUMMYFUNCTION("IMPORTXML(AI89, ""//li[strong[text()='Unit Growth %:']]"")"),"Loading...")</f>
        <v>Loading...</v>
      </c>
      <c r="AH89" s="25"/>
      <c r="AI89" s="48" t="s">
        <v>104</v>
      </c>
      <c r="AJ89" s="27"/>
      <c r="AK89" s="27"/>
      <c r="AL89" s="27"/>
      <c r="AM89" s="27"/>
      <c r="AN89" s="27"/>
      <c r="AO89" s="27"/>
      <c r="AP89" s="27"/>
      <c r="AQ89" s="27"/>
    </row>
    <row r="90" spans="1:43" ht="14.25" customHeight="1">
      <c r="A90" s="42">
        <v>24.088999999999999</v>
      </c>
      <c r="B90" s="14">
        <v>2024</v>
      </c>
      <c r="C90" s="32">
        <v>89</v>
      </c>
      <c r="D90" s="16" t="str">
        <f ca="1">IFERROR(__xludf.DUMMYFUNCTION("IMPORTXML(AI90, ""//h1[@itemprop='headline']/span"")"),"89. Right at Home")</f>
        <v>89. Right at Home</v>
      </c>
      <c r="E90" s="17" t="str">
        <f ca="1">IFERROR(__xludf.DUMMYFUNCTION("REGEXEXTRACT(D90, ""\.\s*(.+)"")"),"Right at Home")</f>
        <v>Right at Home</v>
      </c>
      <c r="F90" s="18" t="str">
        <f ca="1">IFERROR(__xludf.DUMMYFUNCTION("IMPORTXML(AI90, ""//li[strong[text()='Investment Range:']]"")"),"#N/A")</f>
        <v>#N/A</v>
      </c>
      <c r="G90" s="43"/>
      <c r="H90" s="18" t="str">
        <f ca="1">IFERROR(__xludf.DUMMYFUNCTION("SUBSTITUTE(REGEXEXTRACT(G90, ""\$(\d{1,3}(?:,\d{3})*)""), "","", ""."")
"),"#N/A")</f>
        <v>#N/A</v>
      </c>
      <c r="I90" s="19" t="str">
        <f ca="1">IFERROR(__xludf.DUMMYFUNCTION("SUBSTITUTE(REGEXEXTRACT(G90, ""-\s*\$(\d{1,3}(?:,\d{3})*)""), "","", ""."")
"),"#N/A")</f>
        <v>#N/A</v>
      </c>
      <c r="J90" s="19" t="str">
        <f ca="1">IFERROR(__xludf.DUMMYFUNCTION("IMPORTXML(AI90, ""//li[strong[text()='Initial Investment:']]"")"),"Loading...")</f>
        <v>Loading...</v>
      </c>
      <c r="K90" s="24"/>
      <c r="L90" s="20" t="str">
        <f ca="1">IFERROR(__xludf.DUMMYFUNCTION("IMPORTXML(AI90, ""//li[strong[text()='Category:']]"")"),"#N/A")</f>
        <v>#N/A</v>
      </c>
      <c r="M90" s="24"/>
      <c r="N90" s="19" t="str">
        <f ca="1">IFERROR(__xludf.DUMMYFUNCTION("IMPORTXML(AI90, ""//li[strong[text()='Global Sales:']]"")"),"Loading...")</f>
        <v>Loading...</v>
      </c>
      <c r="O90" s="24"/>
      <c r="P90" s="19" t="str">
        <f t="shared" si="0"/>
        <v/>
      </c>
      <c r="Q90" s="19" t="str">
        <f ca="1">IFERROR(__xludf.DUMMYFUNCTION("IMPORTXML(AI90, ""//li[strong[text()='US Units:']]"")"),"Loading...")</f>
        <v>Loading...</v>
      </c>
      <c r="R90" s="24"/>
      <c r="S90" s="19" t="str">
        <f ca="1">IFERROR(__xludf.DUMMYFUNCTION("IMPORTXML(AI90, ""//li[strong[text()='International Units:']]"")"),"Loading...")</f>
        <v>Loading...</v>
      </c>
      <c r="T90" s="44"/>
      <c r="U90" s="19" t="str">
        <f ca="1">IFERROR(__xludf.DUMMYFUNCTION("IMPORTXML(AI90, ""//li[strong[text()='Percent Franchised:']]"")"),"Loading...")</f>
        <v>Loading...</v>
      </c>
      <c r="V90" s="24"/>
      <c r="W90" s="19" t="str">
        <f ca="1">IFERROR(__xludf.DUMMYFUNCTION("IMPORTXML(AI90, ""//li[strong[text()='% International Units:']]"")"),"Loading...")</f>
        <v>Loading...</v>
      </c>
      <c r="X90" s="24"/>
      <c r="Y90" s="19" t="str">
        <f ca="1">IFERROR(__xludf.DUMMYFUNCTION("IMPORTXML(AI90, ""//li[strong[text()='US Franchised Units:']]"")"),"Loading...")</f>
        <v>Loading...</v>
      </c>
      <c r="Z90" s="24"/>
      <c r="AA90" s="14" t="str">
        <f t="shared" si="1"/>
        <v/>
      </c>
      <c r="AB90" s="19" t="str">
        <f ca="1">IFERROR(__xludf.DUMMYFUNCTION("IMPORTXML(AI90, ""//li[strong[text()='International Franchised Units:']]"")"),"Loading...")</f>
        <v>Loading...</v>
      </c>
      <c r="AC90" s="24"/>
      <c r="AD90" s="14" t="str">
        <f t="shared" si="2"/>
        <v/>
      </c>
      <c r="AE90" s="25" t="str">
        <f ca="1">IFERROR(__xludf.DUMMYFUNCTION("IMPORTXML(AI90, ""//li[strong[text()='Sales Growth %:']]"")"),"Loading...")</f>
        <v>Loading...</v>
      </c>
      <c r="AF90" s="24"/>
      <c r="AG90" s="25" t="str">
        <f ca="1">IFERROR(__xludf.DUMMYFUNCTION("IMPORTXML(AI90, ""//li[strong[text()='Unit Growth %:']]"")"),"Loading...")</f>
        <v>Loading...</v>
      </c>
      <c r="AH90" s="25"/>
      <c r="AI90" s="48" t="s">
        <v>105</v>
      </c>
      <c r="AJ90" s="27"/>
      <c r="AK90" s="27"/>
      <c r="AL90" s="27"/>
      <c r="AM90" s="27"/>
      <c r="AN90" s="27"/>
      <c r="AO90" s="27"/>
      <c r="AP90" s="27"/>
      <c r="AQ90" s="27"/>
    </row>
    <row r="91" spans="1:43" ht="14.25" customHeight="1">
      <c r="A91" s="42">
        <v>24.09</v>
      </c>
      <c r="B91" s="14">
        <v>2024</v>
      </c>
      <c r="C91" s="36">
        <v>90</v>
      </c>
      <c r="D91" s="16" t="str">
        <f ca="1">IFERROR(__xludf.DUMMYFUNCTION("IMPORTXML(AI91, ""//h1[@itemprop='headline']/span"")"),"90. Vital Care Infusion")</f>
        <v>90. Vital Care Infusion</v>
      </c>
      <c r="E91" s="17" t="str">
        <f ca="1">IFERROR(__xludf.DUMMYFUNCTION("REGEXEXTRACT(D91, ""\.\s*(.+)"")"),"Vital Care Infusion")</f>
        <v>Vital Care Infusion</v>
      </c>
      <c r="F91" s="18" t="str">
        <f ca="1">IFERROR(__xludf.DUMMYFUNCTION("IMPORTXML(AI91, ""//li[strong[text()='Investment Range:']]"")"),"#N/A")</f>
        <v>#N/A</v>
      </c>
      <c r="G91" s="43"/>
      <c r="H91" s="18" t="str">
        <f ca="1">IFERROR(__xludf.DUMMYFUNCTION("SUBSTITUTE(REGEXEXTRACT(G91, ""\$(\d{1,3}(?:,\d{3})*)""), "","", ""."")
"),"#N/A")</f>
        <v>#N/A</v>
      </c>
      <c r="I91" s="19" t="str">
        <f ca="1">IFERROR(__xludf.DUMMYFUNCTION("SUBSTITUTE(REGEXEXTRACT(G91, ""-\s*\$(\d{1,3}(?:,\d{3})*)""), "","", ""."")
"),"#N/A")</f>
        <v>#N/A</v>
      </c>
      <c r="J91" s="19" t="str">
        <f ca="1">IFERROR(__xludf.DUMMYFUNCTION("IMPORTXML(AI91, ""//li[strong[text()='Initial Investment:']]"")"),"Loading...")</f>
        <v>Loading...</v>
      </c>
      <c r="K91" s="24"/>
      <c r="L91" s="20" t="str">
        <f ca="1">IFERROR(__xludf.DUMMYFUNCTION("IMPORTXML(AI91, ""//li[strong[text()='Category:']]"")"),"Loading...")</f>
        <v>Loading...</v>
      </c>
      <c r="M91" s="24"/>
      <c r="N91" s="19" t="str">
        <f ca="1">IFERROR(__xludf.DUMMYFUNCTION("IMPORTXML(AI91, ""//li[strong[text()='Global Sales:']]"")"),"Loading...")</f>
        <v>Loading...</v>
      </c>
      <c r="O91" s="24"/>
      <c r="P91" s="19" t="str">
        <f t="shared" si="0"/>
        <v/>
      </c>
      <c r="Q91" s="19" t="str">
        <f ca="1">IFERROR(__xludf.DUMMYFUNCTION("IMPORTXML(AI91, ""//li[strong[text()='US Units:']]"")"),"Loading...")</f>
        <v>Loading...</v>
      </c>
      <c r="R91" s="24"/>
      <c r="S91" s="19" t="str">
        <f ca="1">IFERROR(__xludf.DUMMYFUNCTION("IMPORTXML(AI91, ""//li[strong[text()='International Units:']]"")"),"Loading...")</f>
        <v>Loading...</v>
      </c>
      <c r="T91" s="44"/>
      <c r="U91" s="19" t="str">
        <f ca="1">IFERROR(__xludf.DUMMYFUNCTION("IMPORTXML(AI91, ""//li[strong[text()='Percent Franchised:']]"")"),"Loading...")</f>
        <v>Loading...</v>
      </c>
      <c r="V91" s="24"/>
      <c r="W91" s="19" t="str">
        <f ca="1">IFERROR(__xludf.DUMMYFUNCTION("IMPORTXML(AI91, ""//li[strong[text()='% International Units:']]"")"),"Loading...")</f>
        <v>Loading...</v>
      </c>
      <c r="X91" s="24"/>
      <c r="Y91" s="19" t="str">
        <f ca="1">IFERROR(__xludf.DUMMYFUNCTION("IMPORTXML(AI91, ""//li[strong[text()='US Franchised Units:']]"")"),"#N/A")</f>
        <v>#N/A</v>
      </c>
      <c r="Z91" s="24"/>
      <c r="AA91" s="14" t="str">
        <f t="shared" si="1"/>
        <v/>
      </c>
      <c r="AB91" s="19" t="str">
        <f ca="1">IFERROR(__xludf.DUMMYFUNCTION("IMPORTXML(AI91, ""//li[strong[text()='International Franchised Units:']]"")"),"Loading...")</f>
        <v>Loading...</v>
      </c>
      <c r="AC91" s="24"/>
      <c r="AD91" s="14" t="str">
        <f t="shared" si="2"/>
        <v/>
      </c>
      <c r="AE91" s="25" t="str">
        <f ca="1">IFERROR(__xludf.DUMMYFUNCTION("IMPORTXML(AI91, ""//li[strong[text()='Sales Growth %:']]"")"),"Loading...")</f>
        <v>Loading...</v>
      </c>
      <c r="AF91" s="24"/>
      <c r="AG91" s="25" t="str">
        <f ca="1">IFERROR(__xludf.DUMMYFUNCTION("IMPORTXML(AI91, ""//li[strong[text()='Unit Growth %:']]"")"),"Loading...")</f>
        <v>Loading...</v>
      </c>
      <c r="AH91" s="25"/>
      <c r="AI91" s="48" t="s">
        <v>106</v>
      </c>
      <c r="AJ91" s="27"/>
      <c r="AK91" s="27"/>
      <c r="AL91" s="27"/>
      <c r="AM91" s="27"/>
      <c r="AN91" s="27"/>
      <c r="AO91" s="27"/>
      <c r="AP91" s="27"/>
      <c r="AQ91" s="27"/>
    </row>
    <row r="92" spans="1:43" ht="14.25" customHeight="1">
      <c r="A92" s="42">
        <v>24.091000000000001</v>
      </c>
      <c r="B92" s="14">
        <v>2024</v>
      </c>
      <c r="C92" s="36">
        <v>91</v>
      </c>
      <c r="D92" s="16" t="str">
        <f ca="1">IFERROR(__xludf.DUMMYFUNCTION("IMPORTXML(AI92, ""//h1[@itemprop='headline']/span"")"),"91. Color Glo International")</f>
        <v>91. Color Glo International</v>
      </c>
      <c r="E92" s="17" t="str">
        <f ca="1">IFERROR(__xludf.DUMMYFUNCTION("REGEXEXTRACT(D92, ""\.\s*(.+)"")"),"Color Glo International")</f>
        <v>Color Glo International</v>
      </c>
      <c r="F92" s="18" t="str">
        <f ca="1">IFERROR(__xludf.DUMMYFUNCTION("IMPORTXML(AI92, ""//li[strong[text()='Investment Range:']]"")"),"Investment Range:")</f>
        <v>Investment Range:</v>
      </c>
      <c r="G92" s="43" t="str">
        <f ca="1">IFERROR(__xludf.DUMMYFUNCTION("""COMPUTED_VALUE""")," $63,300 - $68,375")</f>
        <v xml:space="preserve"> $63,300 - $68,375</v>
      </c>
      <c r="H92" s="18" t="str">
        <f ca="1">IFERROR(__xludf.DUMMYFUNCTION("SUBSTITUTE(REGEXEXTRACT(G92, ""\$(\d{1,3}(?:,\d{3})*)""), "","", ""."")
"),"63.300")</f>
        <v>63.300</v>
      </c>
      <c r="I92" s="19" t="str">
        <f ca="1">IFERROR(__xludf.DUMMYFUNCTION("SUBSTITUTE(REGEXEXTRACT(G92, ""-\s*\$(\d{1,3}(?:,\d{3})*)""), "","", ""."")
"),"68.375")</f>
        <v>68.375</v>
      </c>
      <c r="J92" s="19" t="str">
        <f ca="1">IFERROR(__xludf.DUMMYFUNCTION("IMPORTXML(AI92, ""//li[strong[text()='Initial Investment:']]"")"),"Loading...")</f>
        <v>Loading...</v>
      </c>
      <c r="K92" s="24"/>
      <c r="L92" s="20" t="str">
        <f ca="1">IFERROR(__xludf.DUMMYFUNCTION("IMPORTXML(AI92, ""//li[strong[text()='Category:']]"")"),"Loading...")</f>
        <v>Loading...</v>
      </c>
      <c r="M92" s="24"/>
      <c r="N92" s="19" t="str">
        <f ca="1">IFERROR(__xludf.DUMMYFUNCTION("IMPORTXML(AI92, ""//li[strong[text()='Global Sales:']]"")"),"Loading...")</f>
        <v>Loading...</v>
      </c>
      <c r="O92" s="24"/>
      <c r="P92" s="19" t="str">
        <f t="shared" si="0"/>
        <v/>
      </c>
      <c r="Q92" s="19" t="str">
        <f ca="1">IFERROR(__xludf.DUMMYFUNCTION("IMPORTXML(AI92, ""//li[strong[text()='US Units:']]"")"),"US Units:")</f>
        <v>US Units:</v>
      </c>
      <c r="R92" s="24">
        <f ca="1">IFERROR(__xludf.DUMMYFUNCTION("""COMPUTED_VALUE"""),138)</f>
        <v>138</v>
      </c>
      <c r="S92" s="19" t="str">
        <f ca="1">IFERROR(__xludf.DUMMYFUNCTION("IMPORTXML(AI92, ""//li[strong[text()='International Units:']]"")"),"Loading...")</f>
        <v>Loading...</v>
      </c>
      <c r="T92" s="44"/>
      <c r="U92" s="19" t="str">
        <f ca="1">IFERROR(__xludf.DUMMYFUNCTION("IMPORTXML(AI92, ""//li[strong[text()='Percent Franchised:']]"")"),"Loading...")</f>
        <v>Loading...</v>
      </c>
      <c r="V92" s="24"/>
      <c r="W92" s="19" t="str">
        <f ca="1">IFERROR(__xludf.DUMMYFUNCTION("IMPORTXML(AI92, ""//li[strong[text()='% International Units:']]"")"),"Loading...")</f>
        <v>Loading...</v>
      </c>
      <c r="X92" s="24"/>
      <c r="Y92" s="19" t="str">
        <f ca="1">IFERROR(__xludf.DUMMYFUNCTION("IMPORTXML(AI92, ""//li[strong[text()='US Franchised Units:']]"")"),"Loading...")</f>
        <v>Loading...</v>
      </c>
      <c r="Z92" s="24"/>
      <c r="AA92" s="14" t="str">
        <f t="shared" si="1"/>
        <v/>
      </c>
      <c r="AB92" s="19" t="str">
        <f ca="1">IFERROR(__xludf.DUMMYFUNCTION("IMPORTXML(AI92, ""//li[strong[text()='International Franchised Units:']]"")"),"Loading...")</f>
        <v>Loading...</v>
      </c>
      <c r="AC92" s="24"/>
      <c r="AD92" s="14" t="str">
        <f t="shared" si="2"/>
        <v/>
      </c>
      <c r="AE92" s="25" t="str">
        <f ca="1">IFERROR(__xludf.DUMMYFUNCTION("IMPORTXML(AI92, ""//li[strong[text()='Sales Growth %:']]"")"),"Loading...")</f>
        <v>Loading...</v>
      </c>
      <c r="AF92" s="24"/>
      <c r="AG92" s="25" t="str">
        <f ca="1">IFERROR(__xludf.DUMMYFUNCTION("IMPORTXML(AI92, ""//li[strong[text()='Unit Growth %:']]"")"),"Loading...")</f>
        <v>Loading...</v>
      </c>
      <c r="AH92" s="25"/>
      <c r="AI92" s="48" t="s">
        <v>107</v>
      </c>
      <c r="AJ92" s="27"/>
      <c r="AK92" s="27"/>
      <c r="AL92" s="27"/>
      <c r="AM92" s="27"/>
      <c r="AN92" s="27"/>
      <c r="AO92" s="27"/>
      <c r="AP92" s="27"/>
      <c r="AQ92" s="27"/>
    </row>
    <row r="93" spans="1:43" ht="14.25" customHeight="1">
      <c r="A93" s="42">
        <v>24.091999999999999</v>
      </c>
      <c r="B93" s="14">
        <v>2024</v>
      </c>
      <c r="C93" s="15">
        <v>92</v>
      </c>
      <c r="D93" s="16" t="str">
        <f ca="1">IFERROR(__xludf.DUMMYFUNCTION("IMPORTXML(AI93, ""//h1[@itemprop='headline']/span"")"),"92. Realty One Group")</f>
        <v>92. Realty One Group</v>
      </c>
      <c r="E93" s="17" t="str">
        <f ca="1">IFERROR(__xludf.DUMMYFUNCTION("REGEXEXTRACT(D93, ""\.\s*(.+)"")"),"Realty One Group")</f>
        <v>Realty One Group</v>
      </c>
      <c r="F93" s="18" t="str">
        <f ca="1">IFERROR(__xludf.DUMMYFUNCTION("IMPORTXML(AI93, ""//li[strong[text()='Investment Range:']]"")"),"Investment Range:")</f>
        <v>Investment Range:</v>
      </c>
      <c r="G93" s="43" t="str">
        <f ca="1">IFERROR(__xludf.DUMMYFUNCTION("""COMPUTED_VALUE""")," $47,250 - $227,500")</f>
        <v xml:space="preserve"> $47,250 - $227,500</v>
      </c>
      <c r="H93" s="18" t="str">
        <f ca="1">IFERROR(__xludf.DUMMYFUNCTION("SUBSTITUTE(REGEXEXTRACT(G93, ""\$(\d{1,3}(?:,\d{3})*)""), "","", ""."")
"),"47.250")</f>
        <v>47.250</v>
      </c>
      <c r="I93" s="19" t="str">
        <f ca="1">IFERROR(__xludf.DUMMYFUNCTION("SUBSTITUTE(REGEXEXTRACT(G93, ""-\s*\$(\d{1,3}(?:,\d{3})*)""), "","", ""."")
"),"227.500")</f>
        <v>227.500</v>
      </c>
      <c r="J93" s="19" t="str">
        <f ca="1">IFERROR(__xludf.DUMMYFUNCTION("IMPORTXML(AI93, ""//li[strong[text()='Initial Investment:']]"")"),"Loading...")</f>
        <v>Loading...</v>
      </c>
      <c r="K93" s="24"/>
      <c r="L93" s="20" t="str">
        <f ca="1">IFERROR(__xludf.DUMMYFUNCTION("IMPORTXML(AI93, ""//li[strong[text()='Category:']]"")"),"Loading...")</f>
        <v>Loading...</v>
      </c>
      <c r="M93" s="24"/>
      <c r="N93" s="19" t="str">
        <f ca="1">IFERROR(__xludf.DUMMYFUNCTION("IMPORTXML(AI93, ""//li[strong[text()='Global Sales:']]"")"),"Loading...")</f>
        <v>Loading...</v>
      </c>
      <c r="O93" s="24"/>
      <c r="P93" s="19" t="str">
        <f t="shared" si="0"/>
        <v/>
      </c>
      <c r="Q93" s="19" t="str">
        <f ca="1">IFERROR(__xludf.DUMMYFUNCTION("IMPORTXML(AI93, ""//li[strong[text()='US Units:']]"")"),"Loading...")</f>
        <v>Loading...</v>
      </c>
      <c r="R93" s="24"/>
      <c r="S93" s="19" t="str">
        <f ca="1">IFERROR(__xludf.DUMMYFUNCTION("IMPORTXML(AI93, ""//li[strong[text()='International Units:']]"")"),"Loading...")</f>
        <v>Loading...</v>
      </c>
      <c r="T93" s="44"/>
      <c r="U93" s="19" t="str">
        <f ca="1">IFERROR(__xludf.DUMMYFUNCTION("IMPORTXML(AI93, ""//li[strong[text()='Percent Franchised:']]"")"),"Loading...")</f>
        <v>Loading...</v>
      </c>
      <c r="V93" s="24"/>
      <c r="W93" s="19" t="str">
        <f ca="1">IFERROR(__xludf.DUMMYFUNCTION("IMPORTXML(AI93, ""//li[strong[text()='% International Units:']]"")"),"Loading...")</f>
        <v>Loading...</v>
      </c>
      <c r="X93" s="24"/>
      <c r="Y93" s="19" t="str">
        <f ca="1">IFERROR(__xludf.DUMMYFUNCTION("IMPORTXML(AI93, ""//li[strong[text()='US Franchised Units:']]"")"),"Loading...")</f>
        <v>Loading...</v>
      </c>
      <c r="Z93" s="24"/>
      <c r="AA93" s="14" t="str">
        <f t="shared" si="1"/>
        <v/>
      </c>
      <c r="AB93" s="19" t="str">
        <f ca="1">IFERROR(__xludf.DUMMYFUNCTION("IMPORTXML(AI93, ""//li[strong[text()='International Franchised Units:']]"")"),"Loading...")</f>
        <v>Loading...</v>
      </c>
      <c r="AC93" s="24"/>
      <c r="AD93" s="14" t="str">
        <f t="shared" si="2"/>
        <v/>
      </c>
      <c r="AE93" s="25" t="str">
        <f ca="1">IFERROR(__xludf.DUMMYFUNCTION("IMPORTXML(AI93, ""//li[strong[text()='Sales Growth %:']]"")"),"Loading...")</f>
        <v>Loading...</v>
      </c>
      <c r="AF93" s="24"/>
      <c r="AG93" s="25" t="str">
        <f ca="1">IFERROR(__xludf.DUMMYFUNCTION("IMPORTXML(AI93, ""//li[strong[text()='Unit Growth %:']]"")"),"Loading...")</f>
        <v>Loading...</v>
      </c>
      <c r="AH93" s="25"/>
      <c r="AI93" s="48" t="s">
        <v>108</v>
      </c>
      <c r="AJ93" s="27"/>
      <c r="AK93" s="27"/>
      <c r="AL93" s="27"/>
      <c r="AM93" s="27"/>
      <c r="AN93" s="27"/>
      <c r="AO93" s="27"/>
      <c r="AP93" s="27"/>
      <c r="AQ93" s="27"/>
    </row>
    <row r="94" spans="1:43" ht="14.25" customHeight="1">
      <c r="A94" s="42">
        <v>24.093</v>
      </c>
      <c r="B94" s="14">
        <v>2024</v>
      </c>
      <c r="C94" s="32">
        <v>93</v>
      </c>
      <c r="D94" s="16" t="str">
        <f ca="1">IFERROR(__xludf.DUMMYFUNCTION("IMPORTXML(AI94, ""//h1[@itemprop='headline']/span"")"),"93. Pollo Campero")</f>
        <v>93. Pollo Campero</v>
      </c>
      <c r="E94" s="17" t="str">
        <f ca="1">IFERROR(__xludf.DUMMYFUNCTION("REGEXEXTRACT(D94, ""\.\s*(.+)"")"),"Pollo Campero")</f>
        <v>Pollo Campero</v>
      </c>
      <c r="F94" s="18" t="str">
        <f ca="1">IFERROR(__xludf.DUMMYFUNCTION("IMPORTXML(AI94, ""//li[strong[text()='Investment Range:']]"")"),"Investment Range:")</f>
        <v>Investment Range:</v>
      </c>
      <c r="G94" s="43" t="str">
        <f ca="1">IFERROR(__xludf.DUMMYFUNCTION("""COMPUTED_VALUE""")," $1,503,850 - $3,098,800")</f>
        <v xml:space="preserve"> $1,503,850 - $3,098,800</v>
      </c>
      <c r="H94" s="18" t="str">
        <f ca="1">IFERROR(__xludf.DUMMYFUNCTION("SUBSTITUTE(REGEXEXTRACT(G94, ""\$(\d{1,3}(?:,\d{3})*)""), "","", ""."")
"),"1.503.850")</f>
        <v>1.503.850</v>
      </c>
      <c r="I94" s="19" t="str">
        <f ca="1">IFERROR(__xludf.DUMMYFUNCTION("SUBSTITUTE(REGEXEXTRACT(G94, ""-\s*\$(\d{1,3}(?:,\d{3})*)""), "","", ""."")
"),"3.098.800")</f>
        <v>3.098.800</v>
      </c>
      <c r="J94" s="19" t="str">
        <f ca="1">IFERROR(__xludf.DUMMYFUNCTION("IMPORTXML(AI94, ""//li[strong[text()='Initial Investment:']]"")"),"Loading...")</f>
        <v>Loading...</v>
      </c>
      <c r="K94" s="24"/>
      <c r="L94" s="20" t="str">
        <f ca="1">IFERROR(__xludf.DUMMYFUNCTION("IMPORTXML(AI94, ""//li[strong[text()='Category:']]"")"),"Loading...")</f>
        <v>Loading...</v>
      </c>
      <c r="M94" s="24"/>
      <c r="N94" s="19" t="str">
        <f ca="1">IFERROR(__xludf.DUMMYFUNCTION("IMPORTXML(AI94, ""//li[strong[text()='Global Sales:']]"")"),"Loading...")</f>
        <v>Loading...</v>
      </c>
      <c r="O94" s="24"/>
      <c r="P94" s="19" t="str">
        <f t="shared" si="0"/>
        <v/>
      </c>
      <c r="Q94" s="19" t="str">
        <f ca="1">IFERROR(__xludf.DUMMYFUNCTION("IMPORTXML(AI94, ""//li[strong[text()='US Units:']]"")"),"Loading...")</f>
        <v>Loading...</v>
      </c>
      <c r="R94" s="24"/>
      <c r="S94" s="19" t="str">
        <f ca="1">IFERROR(__xludf.DUMMYFUNCTION("IMPORTXML(AI94, ""//li[strong[text()='International Units:']]"")"),"Loading...")</f>
        <v>Loading...</v>
      </c>
      <c r="T94" s="44"/>
      <c r="U94" s="19" t="str">
        <f ca="1">IFERROR(__xludf.DUMMYFUNCTION("IMPORTXML(AI94, ""//li[strong[text()='Percent Franchised:']]"")"),"Loading...")</f>
        <v>Loading...</v>
      </c>
      <c r="V94" s="24"/>
      <c r="W94" s="19" t="str">
        <f ca="1">IFERROR(__xludf.DUMMYFUNCTION("IMPORTXML(AI94, ""//li[strong[text()='% International Units:']]"")"),"Loading...")</f>
        <v>Loading...</v>
      </c>
      <c r="X94" s="24"/>
      <c r="Y94" s="19" t="str">
        <f ca="1">IFERROR(__xludf.DUMMYFUNCTION("IMPORTXML(AI94, ""//li[strong[text()='US Franchised Units:']]"")"),"Loading...")</f>
        <v>Loading...</v>
      </c>
      <c r="Z94" s="24"/>
      <c r="AA94" s="14" t="str">
        <f t="shared" si="1"/>
        <v/>
      </c>
      <c r="AB94" s="19" t="str">
        <f ca="1">IFERROR(__xludf.DUMMYFUNCTION("IMPORTXML(AI94, ""//li[strong[text()='International Franchised Units:']]"")"),"Loading...")</f>
        <v>Loading...</v>
      </c>
      <c r="AC94" s="24"/>
      <c r="AD94" s="14" t="str">
        <f t="shared" si="2"/>
        <v/>
      </c>
      <c r="AE94" s="25" t="str">
        <f ca="1">IFERROR(__xludf.DUMMYFUNCTION("IMPORTXML(AI94, ""//li[strong[text()='Sales Growth %:']]"")"),"Loading...")</f>
        <v>Loading...</v>
      </c>
      <c r="AF94" s="24"/>
      <c r="AG94" s="25" t="str">
        <f ca="1">IFERROR(__xludf.DUMMYFUNCTION("IMPORTXML(AI94, ""//li[strong[text()='Unit Growth %:']]"")"),"Loading...")</f>
        <v>Loading...</v>
      </c>
      <c r="AH94" s="25"/>
      <c r="AI94" s="48" t="s">
        <v>109</v>
      </c>
      <c r="AJ94" s="27"/>
      <c r="AK94" s="27"/>
      <c r="AL94" s="27"/>
      <c r="AM94" s="27"/>
      <c r="AN94" s="27"/>
      <c r="AO94" s="27"/>
      <c r="AP94" s="27"/>
      <c r="AQ94" s="27"/>
    </row>
    <row r="95" spans="1:43" ht="14.25" customHeight="1">
      <c r="A95" s="42">
        <v>24.094000000000001</v>
      </c>
      <c r="B95" s="14">
        <v>2024</v>
      </c>
      <c r="C95" s="36">
        <v>94</v>
      </c>
      <c r="D95" s="16" t="str">
        <f ca="1">IFERROR(__xludf.DUMMYFUNCTION("IMPORTXML(AI95, ""//h1[@itemprop='headline']/span"")"),"94. FASTSIGNS")</f>
        <v>94. FASTSIGNS</v>
      </c>
      <c r="E95" s="17" t="str">
        <f ca="1">IFERROR(__xludf.DUMMYFUNCTION("REGEXEXTRACT(D95, ""\.\s*(.+)"")"),"FASTSIGNS")</f>
        <v>FASTSIGNS</v>
      </c>
      <c r="F95" s="18" t="str">
        <f ca="1">IFERROR(__xludf.DUMMYFUNCTION("IMPORTXML(AI95, ""//li[strong[text()='Investment Range:']]"")"),"Investment Range:")</f>
        <v>Investment Range:</v>
      </c>
      <c r="G95" s="43" t="str">
        <f ca="1">IFERROR(__xludf.DUMMYFUNCTION("""COMPUTED_VALUE""")," $248,083 - $344,624")</f>
        <v xml:space="preserve"> $248,083 - $344,624</v>
      </c>
      <c r="H95" s="18" t="str">
        <f ca="1">IFERROR(__xludf.DUMMYFUNCTION("SUBSTITUTE(REGEXEXTRACT(G95, ""\$(\d{1,3}(?:,\d{3})*)""), "","", ""."")
"),"248.083")</f>
        <v>248.083</v>
      </c>
      <c r="I95" s="19" t="str">
        <f ca="1">IFERROR(__xludf.DUMMYFUNCTION("SUBSTITUTE(REGEXEXTRACT(G95, ""-\s*\$(\d{1,3}(?:,\d{3})*)""), "","", ""."")
"),"344.624")</f>
        <v>344.624</v>
      </c>
      <c r="J95" s="19" t="str">
        <f ca="1">IFERROR(__xludf.DUMMYFUNCTION("IMPORTXML(AI95, ""//li[strong[text()='Initial Investment:']]"")"),"Loading...")</f>
        <v>Loading...</v>
      </c>
      <c r="K95" s="24"/>
      <c r="L95" s="20" t="str">
        <f ca="1">IFERROR(__xludf.DUMMYFUNCTION("IMPORTXML(AI95, ""//li[strong[text()='Category:']]"")"),"Loading...")</f>
        <v>Loading...</v>
      </c>
      <c r="M95" s="24"/>
      <c r="N95" s="19" t="str">
        <f ca="1">IFERROR(__xludf.DUMMYFUNCTION("IMPORTXML(AI95, ""//li[strong[text()='Global Sales:']]"")"),"Loading...")</f>
        <v>Loading...</v>
      </c>
      <c r="O95" s="24"/>
      <c r="P95" s="19" t="str">
        <f t="shared" si="0"/>
        <v/>
      </c>
      <c r="Q95" s="19" t="str">
        <f ca="1">IFERROR(__xludf.DUMMYFUNCTION("IMPORTXML(AI95, ""//li[strong[text()='US Units:']]"")"),"Loading...")</f>
        <v>Loading...</v>
      </c>
      <c r="R95" s="24"/>
      <c r="S95" s="19" t="str">
        <f ca="1">IFERROR(__xludf.DUMMYFUNCTION("IMPORTXML(AI95, ""//li[strong[text()='International Units:']]"")"),"Loading...")</f>
        <v>Loading...</v>
      </c>
      <c r="T95" s="44"/>
      <c r="U95" s="19" t="str">
        <f ca="1">IFERROR(__xludf.DUMMYFUNCTION("IMPORTXML(AI95, ""//li[strong[text()='Percent Franchised:']]"")"),"Loading...")</f>
        <v>Loading...</v>
      </c>
      <c r="V95" s="24"/>
      <c r="W95" s="19" t="str">
        <f ca="1">IFERROR(__xludf.DUMMYFUNCTION("IMPORTXML(AI95, ""//li[strong[text()='% International Units:']]"")"),"Loading...")</f>
        <v>Loading...</v>
      </c>
      <c r="X95" s="24"/>
      <c r="Y95" s="19" t="str">
        <f ca="1">IFERROR(__xludf.DUMMYFUNCTION("IMPORTXML(AI95, ""//li[strong[text()='US Franchised Units:']]"")"),"Loading...")</f>
        <v>Loading...</v>
      </c>
      <c r="Z95" s="24"/>
      <c r="AA95" s="14" t="str">
        <f t="shared" si="1"/>
        <v/>
      </c>
      <c r="AB95" s="19" t="str">
        <f ca="1">IFERROR(__xludf.DUMMYFUNCTION("IMPORTXML(AI95, ""//li[strong[text()='International Franchised Units:']]"")"),"Loading...")</f>
        <v>Loading...</v>
      </c>
      <c r="AC95" s="24"/>
      <c r="AD95" s="14" t="str">
        <f t="shared" si="2"/>
        <v/>
      </c>
      <c r="AE95" s="25" t="str">
        <f ca="1">IFERROR(__xludf.DUMMYFUNCTION("IMPORTXML(AI95, ""//li[strong[text()='Sales Growth %:']]"")"),"Loading...")</f>
        <v>Loading...</v>
      </c>
      <c r="AF95" s="24"/>
      <c r="AG95" s="25" t="str">
        <f ca="1">IFERROR(__xludf.DUMMYFUNCTION("IMPORTXML(AI95, ""//li[strong[text()='Unit Growth %:']]"")"),"Loading...")</f>
        <v>Loading...</v>
      </c>
      <c r="AH95" s="25"/>
      <c r="AI95" s="48" t="s">
        <v>110</v>
      </c>
      <c r="AJ95" s="27"/>
      <c r="AK95" s="27"/>
      <c r="AL95" s="27"/>
      <c r="AM95" s="27"/>
      <c r="AN95" s="27"/>
      <c r="AO95" s="27"/>
      <c r="AP95" s="27"/>
      <c r="AQ95" s="27"/>
    </row>
    <row r="96" spans="1:43" ht="14.25" customHeight="1">
      <c r="A96" s="42">
        <v>24.094999999999999</v>
      </c>
      <c r="B96" s="14">
        <v>2024</v>
      </c>
      <c r="C96" s="36">
        <v>95</v>
      </c>
      <c r="D96" s="16" t="str">
        <f ca="1">IFERROR(__xludf.DUMMYFUNCTION("IMPORTXML(AI96, ""//h1[@itemprop='headline']/span"")"),"95. Sport Clips")</f>
        <v>95. Sport Clips</v>
      </c>
      <c r="E96" s="17" t="str">
        <f ca="1">IFERROR(__xludf.DUMMYFUNCTION("REGEXEXTRACT(D96, ""\.\s*(.+)"")"),"Sport Clips")</f>
        <v>Sport Clips</v>
      </c>
      <c r="F96" s="18" t="str">
        <f ca="1">IFERROR(__xludf.DUMMYFUNCTION("IMPORTXML(AI96, ""//li[strong[text()='Investment Range:']]"")"),"Investment Range:")</f>
        <v>Investment Range:</v>
      </c>
      <c r="G96" s="43" t="str">
        <f ca="1">IFERROR(__xludf.DUMMYFUNCTION("""COMPUTED_VALUE""")," $276,800 - $463,000")</f>
        <v xml:space="preserve"> $276,800 - $463,000</v>
      </c>
      <c r="H96" s="18" t="str">
        <f ca="1">IFERROR(__xludf.DUMMYFUNCTION("SUBSTITUTE(REGEXEXTRACT(G96, ""\$(\d{1,3}(?:,\d{3})*)""), "","", ""."")
"),"276.800")</f>
        <v>276.800</v>
      </c>
      <c r="I96" s="19" t="str">
        <f ca="1">IFERROR(__xludf.DUMMYFUNCTION("SUBSTITUTE(REGEXEXTRACT(G96, ""-\s*\$(\d{1,3}(?:,\d{3})*)""), "","", ""."")
"),"463.000")</f>
        <v>463.000</v>
      </c>
      <c r="J96" s="19" t="str">
        <f ca="1">IFERROR(__xludf.DUMMYFUNCTION("IMPORTXML(AI96, ""//li[strong[text()='Initial Investment:']]"")"),"Loading...")</f>
        <v>Loading...</v>
      </c>
      <c r="K96" s="24"/>
      <c r="L96" s="20" t="str">
        <f ca="1">IFERROR(__xludf.DUMMYFUNCTION("IMPORTXML(AI96, ""//li[strong[text()='Category:']]"")"),"Loading...")</f>
        <v>Loading...</v>
      </c>
      <c r="M96" s="24"/>
      <c r="N96" s="19" t="str">
        <f ca="1">IFERROR(__xludf.DUMMYFUNCTION("IMPORTXML(AI96, ""//li[strong[text()='Global Sales:']]"")"),"Loading...")</f>
        <v>Loading...</v>
      </c>
      <c r="O96" s="24"/>
      <c r="P96" s="19" t="str">
        <f t="shared" si="0"/>
        <v/>
      </c>
      <c r="Q96" s="19" t="str">
        <f ca="1">IFERROR(__xludf.DUMMYFUNCTION("IMPORTXML(AI96, ""//li[strong[text()='US Units:']]"")"),"Loading...")</f>
        <v>Loading...</v>
      </c>
      <c r="R96" s="24"/>
      <c r="S96" s="19" t="str">
        <f ca="1">IFERROR(__xludf.DUMMYFUNCTION("IMPORTXML(AI96, ""//li[strong[text()='International Units:']]"")"),"Loading...")</f>
        <v>Loading...</v>
      </c>
      <c r="T96" s="44"/>
      <c r="U96" s="19" t="str">
        <f ca="1">IFERROR(__xludf.DUMMYFUNCTION("IMPORTXML(AI96, ""//li[strong[text()='Percent Franchised:']]"")"),"Loading...")</f>
        <v>Loading...</v>
      </c>
      <c r="V96" s="24"/>
      <c r="W96" s="19" t="str">
        <f ca="1">IFERROR(__xludf.DUMMYFUNCTION("IMPORTXML(AI96, ""//li[strong[text()='% International Units:']]"")"),"Loading...")</f>
        <v>Loading...</v>
      </c>
      <c r="X96" s="24"/>
      <c r="Y96" s="19" t="str">
        <f ca="1">IFERROR(__xludf.DUMMYFUNCTION("IMPORTXML(AI96, ""//li[strong[text()='US Franchised Units:']]"")"),"Loading...")</f>
        <v>Loading...</v>
      </c>
      <c r="Z96" s="24"/>
      <c r="AA96" s="14" t="str">
        <f t="shared" si="1"/>
        <v/>
      </c>
      <c r="AB96" s="19" t="str">
        <f ca="1">IFERROR(__xludf.DUMMYFUNCTION("IMPORTXML(AI96, ""//li[strong[text()='International Franchised Units:']]"")"),"Loading...")</f>
        <v>Loading...</v>
      </c>
      <c r="AC96" s="24"/>
      <c r="AD96" s="14" t="str">
        <f t="shared" si="2"/>
        <v/>
      </c>
      <c r="AE96" s="25" t="str">
        <f ca="1">IFERROR(__xludf.DUMMYFUNCTION("IMPORTXML(AI96, ""//li[strong[text()='Sales Growth %:']]"")"),"Loading...")</f>
        <v>Loading...</v>
      </c>
      <c r="AF96" s="24"/>
      <c r="AG96" s="25" t="str">
        <f ca="1">IFERROR(__xludf.DUMMYFUNCTION("IMPORTXML(AI96, ""//li[strong[text()='Unit Growth %:']]"")"),"Loading...")</f>
        <v>Loading...</v>
      </c>
      <c r="AH96" s="25"/>
      <c r="AI96" s="48" t="s">
        <v>111</v>
      </c>
      <c r="AJ96" s="27"/>
      <c r="AK96" s="27"/>
      <c r="AL96" s="27"/>
      <c r="AM96" s="27"/>
      <c r="AN96" s="27"/>
      <c r="AO96" s="27"/>
      <c r="AP96" s="27"/>
      <c r="AQ96" s="27"/>
    </row>
    <row r="97" spans="1:43" ht="14.25" customHeight="1">
      <c r="A97" s="42">
        <v>24.096</v>
      </c>
      <c r="B97" s="14">
        <v>2024</v>
      </c>
      <c r="C97" s="15">
        <v>96</v>
      </c>
      <c r="D97" s="16" t="str">
        <f ca="1">IFERROR(__xludf.DUMMYFUNCTION("IMPORTXML(AI97, ""//h1[@itemprop='headline']/span"")"),"96. CertaPro Painters")</f>
        <v>96. CertaPro Painters</v>
      </c>
      <c r="E97" s="17" t="str">
        <f ca="1">IFERROR(__xludf.DUMMYFUNCTION("REGEXEXTRACT(D97, ""\.\s*(.+)"")"),"CertaPro Painters")</f>
        <v>CertaPro Painters</v>
      </c>
      <c r="F97" s="18" t="str">
        <f ca="1">IFERROR(__xludf.DUMMYFUNCTION("IMPORTXML(AI97, ""//li[strong[text()='Investment Range:']]"")"),"#N/A")</f>
        <v>#N/A</v>
      </c>
      <c r="G97" s="43"/>
      <c r="H97" s="18" t="str">
        <f ca="1">IFERROR(__xludf.DUMMYFUNCTION("SUBSTITUTE(REGEXEXTRACT(G97, ""\$(\d{1,3}(?:,\d{3})*)""), "","", ""."")
"),"#N/A")</f>
        <v>#N/A</v>
      </c>
      <c r="I97" s="19" t="str">
        <f ca="1">IFERROR(__xludf.DUMMYFUNCTION("SUBSTITUTE(REGEXEXTRACT(G97, ""-\s*\$(\d{1,3}(?:,\d{3})*)""), "","", ""."")
"),"#N/A")</f>
        <v>#N/A</v>
      </c>
      <c r="J97" s="19" t="str">
        <f ca="1">IFERROR(__xludf.DUMMYFUNCTION("IMPORTXML(AI97, ""//li[strong[text()='Initial Investment:']]"")"),"Loading...")</f>
        <v>Loading...</v>
      </c>
      <c r="K97" s="24"/>
      <c r="L97" s="20" t="str">
        <f ca="1">IFERROR(__xludf.DUMMYFUNCTION("IMPORTXML(AI97, ""//li[strong[text()='Category:']]"")"),"Loading...")</f>
        <v>Loading...</v>
      </c>
      <c r="M97" s="24"/>
      <c r="N97" s="19" t="str">
        <f ca="1">IFERROR(__xludf.DUMMYFUNCTION("IMPORTXML(AI97, ""//li[strong[text()='Global Sales:']]"")"),"Loading...")</f>
        <v>Loading...</v>
      </c>
      <c r="O97" s="24"/>
      <c r="P97" s="19" t="str">
        <f t="shared" si="0"/>
        <v/>
      </c>
      <c r="Q97" s="19" t="str">
        <f ca="1">IFERROR(__xludf.DUMMYFUNCTION("IMPORTXML(AI97, ""//li[strong[text()='US Units:']]"")"),"Loading...")</f>
        <v>Loading...</v>
      </c>
      <c r="R97" s="24"/>
      <c r="S97" s="19" t="str">
        <f ca="1">IFERROR(__xludf.DUMMYFUNCTION("IMPORTXML(AI97, ""//li[strong[text()='International Units:']]"")"),"Loading...")</f>
        <v>Loading...</v>
      </c>
      <c r="T97" s="44"/>
      <c r="U97" s="19" t="str">
        <f ca="1">IFERROR(__xludf.DUMMYFUNCTION("IMPORTXML(AI97, ""//li[strong[text()='Percent Franchised:']]"")"),"Loading...")</f>
        <v>Loading...</v>
      </c>
      <c r="V97" s="24"/>
      <c r="W97" s="19" t="str">
        <f ca="1">IFERROR(__xludf.DUMMYFUNCTION("IMPORTXML(AI97, ""//li[strong[text()='% International Units:']]"")"),"Loading...")</f>
        <v>Loading...</v>
      </c>
      <c r="X97" s="24"/>
      <c r="Y97" s="19" t="str">
        <f ca="1">IFERROR(__xludf.DUMMYFUNCTION("IMPORTXML(AI97, ""//li[strong[text()='US Franchised Units:']]"")"),"Loading...")</f>
        <v>Loading...</v>
      </c>
      <c r="Z97" s="24"/>
      <c r="AA97" s="14" t="str">
        <f t="shared" si="1"/>
        <v/>
      </c>
      <c r="AB97" s="19" t="str">
        <f ca="1">IFERROR(__xludf.DUMMYFUNCTION("IMPORTXML(AI97, ""//li[strong[text()='International Franchised Units:']]"")"),"Loading...")</f>
        <v>Loading...</v>
      </c>
      <c r="AC97" s="24"/>
      <c r="AD97" s="14" t="str">
        <f t="shared" si="2"/>
        <v/>
      </c>
      <c r="AE97" s="25" t="str">
        <f ca="1">IFERROR(__xludf.DUMMYFUNCTION("IMPORTXML(AI97, ""//li[strong[text()='Sales Growth %:']]"")"),"Loading...")</f>
        <v>Loading...</v>
      </c>
      <c r="AF97" s="24"/>
      <c r="AG97" s="25" t="str">
        <f ca="1">IFERROR(__xludf.DUMMYFUNCTION("IMPORTXML(AI97, ""//li[strong[text()='Unit Growth %:']]"")"),"Loading...")</f>
        <v>Loading...</v>
      </c>
      <c r="AH97" s="25"/>
      <c r="AI97" s="48" t="s">
        <v>112</v>
      </c>
      <c r="AJ97" s="27"/>
      <c r="AK97" s="27"/>
      <c r="AL97" s="27"/>
      <c r="AM97" s="27"/>
      <c r="AN97" s="27"/>
      <c r="AO97" s="27"/>
      <c r="AP97" s="27"/>
      <c r="AQ97" s="27"/>
    </row>
    <row r="98" spans="1:43" ht="14.25" customHeight="1">
      <c r="A98" s="42">
        <v>24.097000000000001</v>
      </c>
      <c r="B98" s="14">
        <v>2024</v>
      </c>
      <c r="C98" s="32">
        <v>97</v>
      </c>
      <c r="D98" s="16" t="str">
        <f ca="1">IFERROR(__xludf.DUMMYFUNCTION("IMPORTXML(AI98, ""//h1[@itemprop='headline']/span"")"),"97. Papa Murphy's")</f>
        <v>97. Papa Murphy's</v>
      </c>
      <c r="E98" s="17" t="str">
        <f ca="1">IFERROR(__xludf.DUMMYFUNCTION("REGEXEXTRACT(D98, ""\.\s*(.+)"")"),"Papa Murphy's")</f>
        <v>Papa Murphy's</v>
      </c>
      <c r="F98" s="18" t="str">
        <f ca="1">IFERROR(__xludf.DUMMYFUNCTION("IMPORTXML(AI98, ""//li[strong[text()='Investment Range:']]"")"),"Investment Range:")</f>
        <v>Investment Range:</v>
      </c>
      <c r="G98" s="43" t="str">
        <f ca="1">IFERROR(__xludf.DUMMYFUNCTION("""COMPUTED_VALUE""")," $367,244 - $670,498")</f>
        <v xml:space="preserve"> $367,244 - $670,498</v>
      </c>
      <c r="H98" s="18" t="str">
        <f ca="1">IFERROR(__xludf.DUMMYFUNCTION("SUBSTITUTE(REGEXEXTRACT(G98, ""\$(\d{1,3}(?:,\d{3})*)""), "","", ""."")
"),"367.244")</f>
        <v>367.244</v>
      </c>
      <c r="I98" s="19" t="str">
        <f ca="1">IFERROR(__xludf.DUMMYFUNCTION("SUBSTITUTE(REGEXEXTRACT(G98, ""-\s*\$(\d{1,3}(?:,\d{3})*)""), "","", ""."")
"),"670.498")</f>
        <v>670.498</v>
      </c>
      <c r="J98" s="19" t="str">
        <f ca="1">IFERROR(__xludf.DUMMYFUNCTION("IMPORTXML(AI98, ""//li[strong[text()='Initial Investment:']]"")"),"Loading...")</f>
        <v>Loading...</v>
      </c>
      <c r="K98" s="24"/>
      <c r="L98" s="20" t="str">
        <f ca="1">IFERROR(__xludf.DUMMYFUNCTION("IMPORTXML(AI98, ""//li[strong[text()='Category:']]"")"),"Loading...")</f>
        <v>Loading...</v>
      </c>
      <c r="M98" s="24"/>
      <c r="N98" s="19" t="str">
        <f ca="1">IFERROR(__xludf.DUMMYFUNCTION("IMPORTXML(AI98, ""//li[strong[text()='Global Sales:']]"")"),"Loading...")</f>
        <v>Loading...</v>
      </c>
      <c r="O98" s="24"/>
      <c r="P98" s="19" t="str">
        <f t="shared" si="0"/>
        <v/>
      </c>
      <c r="Q98" s="19" t="str">
        <f ca="1">IFERROR(__xludf.DUMMYFUNCTION("IMPORTXML(AI98, ""//li[strong[text()='US Units:']]"")"),"Loading...")</f>
        <v>Loading...</v>
      </c>
      <c r="R98" s="24"/>
      <c r="S98" s="19" t="str">
        <f ca="1">IFERROR(__xludf.DUMMYFUNCTION("IMPORTXML(AI98, ""//li[strong[text()='International Units:']]"")"),"Loading...")</f>
        <v>Loading...</v>
      </c>
      <c r="T98" s="44"/>
      <c r="U98" s="19" t="str">
        <f ca="1">IFERROR(__xludf.DUMMYFUNCTION("IMPORTXML(AI98, ""//li[strong[text()='Percent Franchised:']]"")"),"Loading...")</f>
        <v>Loading...</v>
      </c>
      <c r="V98" s="24"/>
      <c r="W98" s="19" t="str">
        <f ca="1">IFERROR(__xludf.DUMMYFUNCTION("IMPORTXML(AI98, ""//li[strong[text()='% International Units:']]"")"),"Loading...")</f>
        <v>Loading...</v>
      </c>
      <c r="X98" s="24"/>
      <c r="Y98" s="19" t="str">
        <f ca="1">IFERROR(__xludf.DUMMYFUNCTION("IMPORTXML(AI98, ""//li[strong[text()='US Franchised Units:']]"")"),"Loading...")</f>
        <v>Loading...</v>
      </c>
      <c r="Z98" s="24"/>
      <c r="AA98" s="14" t="str">
        <f t="shared" si="1"/>
        <v/>
      </c>
      <c r="AB98" s="19" t="str">
        <f ca="1">IFERROR(__xludf.DUMMYFUNCTION("IMPORTXML(AI98, ""//li[strong[text()='International Franchised Units:']]"")"),"Loading...")</f>
        <v>Loading...</v>
      </c>
      <c r="AC98" s="24"/>
      <c r="AD98" s="14" t="str">
        <f t="shared" si="2"/>
        <v/>
      </c>
      <c r="AE98" s="25" t="str">
        <f ca="1">IFERROR(__xludf.DUMMYFUNCTION("IMPORTXML(AI98, ""//li[strong[text()='Sales Growth %:']]"")"),"Loading...")</f>
        <v>Loading...</v>
      </c>
      <c r="AF98" s="24"/>
      <c r="AG98" s="25" t="str">
        <f ca="1">IFERROR(__xludf.DUMMYFUNCTION("IMPORTXML(AI98, ""//li[strong[text()='Unit Growth %:']]"")"),"Loading...")</f>
        <v>Loading...</v>
      </c>
      <c r="AH98" s="25"/>
      <c r="AI98" s="48" t="s">
        <v>113</v>
      </c>
      <c r="AJ98" s="27"/>
      <c r="AK98" s="27"/>
      <c r="AL98" s="27"/>
      <c r="AM98" s="27"/>
      <c r="AN98" s="27"/>
      <c r="AO98" s="27"/>
      <c r="AP98" s="27"/>
      <c r="AQ98" s="27"/>
    </row>
    <row r="99" spans="1:43" ht="14.25" customHeight="1">
      <c r="A99" s="42">
        <v>24.097999999999999</v>
      </c>
      <c r="B99" s="14">
        <v>2024</v>
      </c>
      <c r="C99" s="36">
        <v>98</v>
      </c>
      <c r="D99" s="16" t="str">
        <f ca="1">IFERROR(__xludf.DUMMYFUNCTION("IMPORTXML(AI99, ""//h1[@itemprop='headline']/span"")"),"98. Christian Brothers Automotive")</f>
        <v>98. Christian Brothers Automotive</v>
      </c>
      <c r="E99" s="17" t="str">
        <f ca="1">IFERROR(__xludf.DUMMYFUNCTION("REGEXEXTRACT(D99, ""\.\s*(.+)"")"),"Christian Brothers Automotive")</f>
        <v>Christian Brothers Automotive</v>
      </c>
      <c r="F99" s="18" t="str">
        <f ca="1">IFERROR(__xludf.DUMMYFUNCTION("IMPORTXML(AI99, ""//li[strong[text()='Investment Range:']]"")"),"#N/A")</f>
        <v>#N/A</v>
      </c>
      <c r="G99" s="43"/>
      <c r="H99" s="18" t="str">
        <f ca="1">IFERROR(__xludf.DUMMYFUNCTION("SUBSTITUTE(REGEXEXTRACT(G99, ""\$(\d{1,3}(?:,\d{3})*)""), "","", ""."")
"),"#N/A")</f>
        <v>#N/A</v>
      </c>
      <c r="I99" s="19" t="str">
        <f ca="1">IFERROR(__xludf.DUMMYFUNCTION("SUBSTITUTE(REGEXEXTRACT(G99, ""-\s*\$(\d{1,3}(?:,\d{3})*)""), "","", ""."")
"),"#N/A")</f>
        <v>#N/A</v>
      </c>
      <c r="J99" s="19" t="str">
        <f ca="1">IFERROR(__xludf.DUMMYFUNCTION("IMPORTXML(AI99, ""//li[strong[text()='Initial Investment:']]"")"),"Loading...")</f>
        <v>Loading...</v>
      </c>
      <c r="K99" s="24"/>
      <c r="L99" s="20" t="str">
        <f ca="1">IFERROR(__xludf.DUMMYFUNCTION("IMPORTXML(AI99, ""//li[strong[text()='Category:']]"")"),"Loading...")</f>
        <v>Loading...</v>
      </c>
      <c r="M99" s="24"/>
      <c r="N99" s="19" t="str">
        <f ca="1">IFERROR(__xludf.DUMMYFUNCTION("IMPORTXML(AI99, ""//li[strong[text()='Global Sales:']]"")"),"Loading...")</f>
        <v>Loading...</v>
      </c>
      <c r="O99" s="24"/>
      <c r="P99" s="19" t="str">
        <f t="shared" si="0"/>
        <v/>
      </c>
      <c r="Q99" s="19" t="str">
        <f ca="1">IFERROR(__xludf.DUMMYFUNCTION("IMPORTXML(AI99, ""//li[strong[text()='US Units:']]"")"),"Loading...")</f>
        <v>Loading...</v>
      </c>
      <c r="R99" s="24"/>
      <c r="S99" s="19" t="str">
        <f ca="1">IFERROR(__xludf.DUMMYFUNCTION("IMPORTXML(AI99, ""//li[strong[text()='International Units:']]"")"),"Loading...")</f>
        <v>Loading...</v>
      </c>
      <c r="T99" s="44"/>
      <c r="U99" s="19" t="str">
        <f ca="1">IFERROR(__xludf.DUMMYFUNCTION("IMPORTXML(AI99, ""//li[strong[text()='Percent Franchised:']]"")"),"Loading...")</f>
        <v>Loading...</v>
      </c>
      <c r="V99" s="24"/>
      <c r="W99" s="19" t="str">
        <f ca="1">IFERROR(__xludf.DUMMYFUNCTION("IMPORTXML(AI99, ""//li[strong[text()='% International Units:']]"")"),"Loading...")</f>
        <v>Loading...</v>
      </c>
      <c r="X99" s="24"/>
      <c r="Y99" s="19" t="str">
        <f ca="1">IFERROR(__xludf.DUMMYFUNCTION("IMPORTXML(AI99, ""//li[strong[text()='US Franchised Units:']]"")"),"Loading...")</f>
        <v>Loading...</v>
      </c>
      <c r="Z99" s="24"/>
      <c r="AA99" s="14" t="str">
        <f t="shared" si="1"/>
        <v/>
      </c>
      <c r="AB99" s="19" t="str">
        <f ca="1">IFERROR(__xludf.DUMMYFUNCTION("IMPORTXML(AI99, ""//li[strong[text()='International Franchised Units:']]"")"),"Loading...")</f>
        <v>Loading...</v>
      </c>
      <c r="AC99" s="24"/>
      <c r="AD99" s="14" t="str">
        <f t="shared" si="2"/>
        <v/>
      </c>
      <c r="AE99" s="25" t="str">
        <f ca="1">IFERROR(__xludf.DUMMYFUNCTION("IMPORTXML(AI99, ""//li[strong[text()='Sales Growth %:']]"")"),"Loading...")</f>
        <v>Loading...</v>
      </c>
      <c r="AF99" s="24"/>
      <c r="AG99" s="25" t="str">
        <f ca="1">IFERROR(__xludf.DUMMYFUNCTION("IMPORTXML(AI99, ""//li[strong[text()='Unit Growth %:']]"")"),"Loading...")</f>
        <v>Loading...</v>
      </c>
      <c r="AH99" s="25"/>
      <c r="AI99" s="48" t="s">
        <v>114</v>
      </c>
      <c r="AJ99" s="27"/>
      <c r="AK99" s="27"/>
      <c r="AL99" s="27"/>
      <c r="AM99" s="27"/>
      <c r="AN99" s="27"/>
      <c r="AO99" s="27"/>
      <c r="AP99" s="27"/>
      <c r="AQ99" s="27"/>
    </row>
    <row r="100" spans="1:43" ht="14.25" customHeight="1">
      <c r="A100" s="42">
        <v>24.099</v>
      </c>
      <c r="B100" s="14">
        <v>2024</v>
      </c>
      <c r="C100" s="36">
        <v>99</v>
      </c>
      <c r="D100" s="16" t="str">
        <f ca="1">IFERROR(__xludf.DUMMYFUNCTION("IMPORTXML(AI100, ""//h1[@itemprop='headline']/span"")"),"99. Crumbl Cookies")</f>
        <v>99. Crumbl Cookies</v>
      </c>
      <c r="E100" s="17" t="str">
        <f ca="1">IFERROR(__xludf.DUMMYFUNCTION("REGEXEXTRACT(D100, ""\.\s*(.+)"")"),"Crumbl Cookies")</f>
        <v>Crumbl Cookies</v>
      </c>
      <c r="F100" s="18" t="str">
        <f ca="1">IFERROR(__xludf.DUMMYFUNCTION("IMPORTXML(AI100, ""//li[strong[text()='Investment Range:']]"")"),"Investment Range:")</f>
        <v>Investment Range:</v>
      </c>
      <c r="G100" s="43" t="str">
        <f ca="1">IFERROR(__xludf.DUMMYFUNCTION("""COMPUTED_VALUE""")," $460,166 - $1,266,333")</f>
        <v xml:space="preserve"> $460,166 - $1,266,333</v>
      </c>
      <c r="H100" s="18" t="str">
        <f ca="1">IFERROR(__xludf.DUMMYFUNCTION("SUBSTITUTE(REGEXEXTRACT(G100, ""\$(\d{1,3}(?:,\d{3})*)""), "","", ""."")
"),"460.166")</f>
        <v>460.166</v>
      </c>
      <c r="I100" s="19" t="str">
        <f ca="1">IFERROR(__xludf.DUMMYFUNCTION("SUBSTITUTE(REGEXEXTRACT(G100, ""-\s*\$(\d{1,3}(?:,\d{3})*)""), "","", ""."")
"),"1.266.333")</f>
        <v>1.266.333</v>
      </c>
      <c r="J100" s="19" t="str">
        <f ca="1">IFERROR(__xludf.DUMMYFUNCTION("IMPORTXML(AI100, ""//li[strong[text()='Initial Investment:']]"")"),"Loading...")</f>
        <v>Loading...</v>
      </c>
      <c r="K100" s="24"/>
      <c r="L100" s="20" t="str">
        <f ca="1">IFERROR(__xludf.DUMMYFUNCTION("IMPORTXML(AI100, ""//li[strong[text()='Category:']]"")"),"Loading...")</f>
        <v>Loading...</v>
      </c>
      <c r="M100" s="24"/>
      <c r="N100" s="19" t="str">
        <f ca="1">IFERROR(__xludf.DUMMYFUNCTION("IMPORTXML(AI100, ""//li[strong[text()='Global Sales:']]"")"),"Loading...")</f>
        <v>Loading...</v>
      </c>
      <c r="O100" s="24"/>
      <c r="P100" s="19" t="str">
        <f t="shared" si="0"/>
        <v/>
      </c>
      <c r="Q100" s="19" t="str">
        <f ca="1">IFERROR(__xludf.DUMMYFUNCTION("IMPORTXML(AI100, ""//li[strong[text()='US Units:']]"")"),"Loading...")</f>
        <v>Loading...</v>
      </c>
      <c r="R100" s="24"/>
      <c r="S100" s="19" t="str">
        <f ca="1">IFERROR(__xludf.DUMMYFUNCTION("IMPORTXML(AI100, ""//li[strong[text()='International Units:']]"")"),"Loading...")</f>
        <v>Loading...</v>
      </c>
      <c r="T100" s="44"/>
      <c r="U100" s="19" t="str">
        <f ca="1">IFERROR(__xludf.DUMMYFUNCTION("IMPORTXML(AI100, ""//li[strong[text()='Percent Franchised:']]"")"),"Loading...")</f>
        <v>Loading...</v>
      </c>
      <c r="V100" s="24"/>
      <c r="W100" s="19" t="str">
        <f ca="1">IFERROR(__xludf.DUMMYFUNCTION("IMPORTXML(AI100, ""//li[strong[text()='% International Units:']]"")"),"Loading...")</f>
        <v>Loading...</v>
      </c>
      <c r="X100" s="24"/>
      <c r="Y100" s="19" t="str">
        <f ca="1">IFERROR(__xludf.DUMMYFUNCTION("IMPORTXML(AI100, ""//li[strong[text()='US Franchised Units:']]"")"),"Loading...")</f>
        <v>Loading...</v>
      </c>
      <c r="Z100" s="24"/>
      <c r="AA100" s="14" t="str">
        <f t="shared" si="1"/>
        <v/>
      </c>
      <c r="AB100" s="19" t="str">
        <f ca="1">IFERROR(__xludf.DUMMYFUNCTION("IMPORTXML(AI100, ""//li[strong[text()='International Franchised Units:']]"")"),"Loading...")</f>
        <v>Loading...</v>
      </c>
      <c r="AC100" s="24"/>
      <c r="AD100" s="14" t="str">
        <f t="shared" si="2"/>
        <v/>
      </c>
      <c r="AE100" s="25" t="str">
        <f ca="1">IFERROR(__xludf.DUMMYFUNCTION("IMPORTXML(AI100, ""//li[strong[text()='Sales Growth %:']]"")"),"#N/A")</f>
        <v>#N/A</v>
      </c>
      <c r="AF100" s="24"/>
      <c r="AG100" s="25" t="str">
        <f ca="1">IFERROR(__xludf.DUMMYFUNCTION("IMPORTXML(AI100, ""//li[strong[text()='Unit Growth %:']]"")"),"Loading...")</f>
        <v>Loading...</v>
      </c>
      <c r="AH100" s="25"/>
      <c r="AI100" s="48" t="s">
        <v>115</v>
      </c>
      <c r="AJ100" s="27"/>
      <c r="AK100" s="27"/>
      <c r="AL100" s="27"/>
      <c r="AM100" s="27"/>
      <c r="AN100" s="27"/>
      <c r="AO100" s="27"/>
      <c r="AP100" s="27"/>
      <c r="AQ100" s="27"/>
    </row>
    <row r="101" spans="1:43" ht="14.25" customHeight="1">
      <c r="A101" s="42">
        <v>24.1</v>
      </c>
      <c r="B101" s="14">
        <v>2024</v>
      </c>
      <c r="C101" s="15">
        <v>100</v>
      </c>
      <c r="D101" s="16" t="str">
        <f ca="1">IFERROR(__xludf.DUMMYFUNCTION("IMPORTXML(AI101, ""//h1[@itemprop='headline']/span"")"),"100. Epcon Communities")</f>
        <v>100. Epcon Communities</v>
      </c>
      <c r="E101" s="17" t="str">
        <f ca="1">IFERROR(__xludf.DUMMYFUNCTION("REGEXEXTRACT(D101, ""\.\s*(.+)"")"),"Epcon Communities")</f>
        <v>Epcon Communities</v>
      </c>
      <c r="F101" s="18" t="str">
        <f ca="1">IFERROR(__xludf.DUMMYFUNCTION("IMPORTXML(AI101, ""//li[strong[text()='Investment Range:']]"")"),"Investment Range:")</f>
        <v>Investment Range:</v>
      </c>
      <c r="G101" s="43" t="str">
        <f ca="1">IFERROR(__xludf.DUMMYFUNCTION("""COMPUTED_VALUE""")," $3,413,025 - $5,099,553")</f>
        <v xml:space="preserve"> $3,413,025 - $5,099,553</v>
      </c>
      <c r="H101" s="18" t="str">
        <f ca="1">IFERROR(__xludf.DUMMYFUNCTION("SUBSTITUTE(REGEXEXTRACT(G101, ""\$(\d{1,3}(?:,\d{3})*)""), "","", ""."")
"),"3.413.025")</f>
        <v>3.413.025</v>
      </c>
      <c r="I101" s="19" t="str">
        <f ca="1">IFERROR(__xludf.DUMMYFUNCTION("SUBSTITUTE(REGEXEXTRACT(G101, ""-\s*\$(\d{1,3}(?:,\d{3})*)""), "","", ""."")
"),"5.099.553")</f>
        <v>5.099.553</v>
      </c>
      <c r="J101" s="19" t="str">
        <f ca="1">IFERROR(__xludf.DUMMYFUNCTION("IMPORTXML(AI101, ""//li[strong[text()='Initial Investment:']]"")"),"Loading...")</f>
        <v>Loading...</v>
      </c>
      <c r="K101" s="24"/>
      <c r="L101" s="20" t="str">
        <f ca="1">IFERROR(__xludf.DUMMYFUNCTION("IMPORTXML(AI101, ""//li[strong[text()='Category:']]"")"),"Loading...")</f>
        <v>Loading...</v>
      </c>
      <c r="M101" s="24"/>
      <c r="N101" s="19" t="str">
        <f ca="1">IFERROR(__xludf.DUMMYFUNCTION("IMPORTXML(AI101, ""//li[strong[text()='Global Sales:']]"")"),"Loading...")</f>
        <v>Loading...</v>
      </c>
      <c r="O101" s="24"/>
      <c r="P101" s="19" t="str">
        <f t="shared" si="0"/>
        <v/>
      </c>
      <c r="Q101" s="19" t="str">
        <f ca="1">IFERROR(__xludf.DUMMYFUNCTION("IMPORTXML(AI101, ""//li[strong[text()='US Units:']]"")"),"Loading...")</f>
        <v>Loading...</v>
      </c>
      <c r="R101" s="24"/>
      <c r="S101" s="19" t="str">
        <f ca="1">IFERROR(__xludf.DUMMYFUNCTION("IMPORTXML(AI101, ""//li[strong[text()='International Units:']]"")"),"Loading...")</f>
        <v>Loading...</v>
      </c>
      <c r="T101" s="44"/>
      <c r="U101" s="19" t="str">
        <f ca="1">IFERROR(__xludf.DUMMYFUNCTION("IMPORTXML(AI101, ""//li[strong[text()='Percent Franchised:']]"")"),"Loading...")</f>
        <v>Loading...</v>
      </c>
      <c r="V101" s="24"/>
      <c r="W101" s="19" t="str">
        <f ca="1">IFERROR(__xludf.DUMMYFUNCTION("IMPORTXML(AI101, ""//li[strong[text()='% International Units:']]"")"),"Loading...")</f>
        <v>Loading...</v>
      </c>
      <c r="X101" s="24"/>
      <c r="Y101" s="19" t="str">
        <f ca="1">IFERROR(__xludf.DUMMYFUNCTION("IMPORTXML(AI101, ""//li[strong[text()='US Franchised Units:']]"")"),"Loading...")</f>
        <v>Loading...</v>
      </c>
      <c r="Z101" s="24"/>
      <c r="AA101" s="14" t="str">
        <f t="shared" si="1"/>
        <v/>
      </c>
      <c r="AB101" s="19" t="str">
        <f ca="1">IFERROR(__xludf.DUMMYFUNCTION("IMPORTXML(AI101, ""//li[strong[text()='International Franchised Units:']]"")"),"Loading...")</f>
        <v>Loading...</v>
      </c>
      <c r="AC101" s="24"/>
      <c r="AD101" s="14" t="str">
        <f t="shared" si="2"/>
        <v/>
      </c>
      <c r="AE101" s="25" t="str">
        <f ca="1">IFERROR(__xludf.DUMMYFUNCTION("IMPORTXML(AI101, ""//li[strong[text()='Sales Growth %:']]"")"),"Loading...")</f>
        <v>Loading...</v>
      </c>
      <c r="AF101" s="24"/>
      <c r="AG101" s="25" t="str">
        <f ca="1">IFERROR(__xludf.DUMMYFUNCTION("IMPORTXML(AI101, ""//li[strong[text()='Unit Growth %:']]"")"),"Loading...")</f>
        <v>Loading...</v>
      </c>
      <c r="AH101" s="25"/>
      <c r="AI101" s="48" t="s">
        <v>116</v>
      </c>
      <c r="AJ101" s="27"/>
      <c r="AK101" s="27"/>
      <c r="AL101" s="27"/>
      <c r="AM101" s="27"/>
      <c r="AN101" s="27"/>
      <c r="AO101" s="27"/>
      <c r="AP101" s="27"/>
      <c r="AQ101" s="27"/>
    </row>
    <row r="102" spans="1:43" ht="14.25" customHeight="1">
      <c r="A102" s="42">
        <v>24.100999999999999</v>
      </c>
      <c r="B102" s="14">
        <v>2024</v>
      </c>
      <c r="C102" s="32">
        <v>101</v>
      </c>
      <c r="D102" s="16" t="str">
        <f ca="1">IFERROR(__xludf.DUMMYFUNCTION("IMPORTXML(AI102, ""//h1[@itemprop='headline']/span"")"),"101. Nothing Bundt Cakes")</f>
        <v>101. Nothing Bundt Cakes</v>
      </c>
      <c r="E102" s="17" t="str">
        <f ca="1">IFERROR(__xludf.DUMMYFUNCTION("REGEXEXTRACT(D102, ""\.\s*(.+)"")"),"Nothing Bundt Cakes")</f>
        <v>Nothing Bundt Cakes</v>
      </c>
      <c r="F102" s="18" t="str">
        <f ca="1">IFERROR(__xludf.DUMMYFUNCTION("IMPORTXML(AI102, ""//li[strong[text()='Investment Range:']]"")"),"#N/A")</f>
        <v>#N/A</v>
      </c>
      <c r="G102" s="43"/>
      <c r="H102" s="18" t="str">
        <f ca="1">IFERROR(__xludf.DUMMYFUNCTION("SUBSTITUTE(REGEXEXTRACT(G102, ""\$(\d{1,3}(?:,\d{3})*)""), "","", ""."")
"),"#N/A")</f>
        <v>#N/A</v>
      </c>
      <c r="I102" s="19" t="str">
        <f ca="1">IFERROR(__xludf.DUMMYFUNCTION("SUBSTITUTE(REGEXEXTRACT(G102, ""-\s*\$(\d{1,3}(?:,\d{3})*)""), "","", ""."")
"),"#N/A")</f>
        <v>#N/A</v>
      </c>
      <c r="J102" s="19" t="str">
        <f ca="1">IFERROR(__xludf.DUMMYFUNCTION("IMPORTXML(AI102, ""//li[strong[text()='Initial Investment:']]"")"),"Loading...")</f>
        <v>Loading...</v>
      </c>
      <c r="K102" s="24"/>
      <c r="L102" s="20" t="str">
        <f ca="1">IFERROR(__xludf.DUMMYFUNCTION("IMPORTXML(AI102, ""//li[strong[text()='Category:']]"")"),"Loading...")</f>
        <v>Loading...</v>
      </c>
      <c r="M102" s="24"/>
      <c r="N102" s="19" t="str">
        <f ca="1">IFERROR(__xludf.DUMMYFUNCTION("IMPORTXML(AI102, ""//li[strong[text()='Global Sales:']]"")"),"Loading...")</f>
        <v>Loading...</v>
      </c>
      <c r="O102" s="24"/>
      <c r="P102" s="19" t="str">
        <f t="shared" si="0"/>
        <v/>
      </c>
      <c r="Q102" s="19" t="str">
        <f ca="1">IFERROR(__xludf.DUMMYFUNCTION("IMPORTXML(AI102, ""//li[strong[text()='US Units:']]"")"),"Loading...")</f>
        <v>Loading...</v>
      </c>
      <c r="R102" s="24"/>
      <c r="S102" s="19" t="str">
        <f ca="1">IFERROR(__xludf.DUMMYFUNCTION("IMPORTXML(AI102, ""//li[strong[text()='International Units:']]"")"),"Loading...")</f>
        <v>Loading...</v>
      </c>
      <c r="T102" s="44"/>
      <c r="U102" s="19" t="str">
        <f ca="1">IFERROR(__xludf.DUMMYFUNCTION("IMPORTXML(AI102, ""//li[strong[text()='Percent Franchised:']]"")"),"Loading...")</f>
        <v>Loading...</v>
      </c>
      <c r="V102" s="24"/>
      <c r="W102" s="19" t="str">
        <f ca="1">IFERROR(__xludf.DUMMYFUNCTION("IMPORTXML(AI102, ""//li[strong[text()='% International Units:']]"")"),"Loading...")</f>
        <v>Loading...</v>
      </c>
      <c r="X102" s="24"/>
      <c r="Y102" s="19" t="str">
        <f ca="1">IFERROR(__xludf.DUMMYFUNCTION("IMPORTXML(AI102, ""//li[strong[text()='US Franchised Units:']]"")"),"Loading...")</f>
        <v>Loading...</v>
      </c>
      <c r="Z102" s="24"/>
      <c r="AA102" s="14" t="str">
        <f t="shared" si="1"/>
        <v/>
      </c>
      <c r="AB102" s="19" t="str">
        <f ca="1">IFERROR(__xludf.DUMMYFUNCTION("IMPORTXML(AI102, ""//li[strong[text()='International Franchised Units:']]"")"),"Loading...")</f>
        <v>Loading...</v>
      </c>
      <c r="AC102" s="24"/>
      <c r="AD102" s="14" t="str">
        <f t="shared" si="2"/>
        <v/>
      </c>
      <c r="AE102" s="25" t="str">
        <f ca="1">IFERROR(__xludf.DUMMYFUNCTION("IMPORTXML(AI102, ""//li[strong[text()='Sales Growth %:']]"")"),"Loading...")</f>
        <v>Loading...</v>
      </c>
      <c r="AF102" s="24"/>
      <c r="AG102" s="25" t="str">
        <f ca="1">IFERROR(__xludf.DUMMYFUNCTION("IMPORTXML(AI102, ""//li[strong[text()='Unit Growth %:']]"")"),"Loading...")</f>
        <v>Loading...</v>
      </c>
      <c r="AH102" s="25"/>
      <c r="AI102" s="48" t="s">
        <v>117</v>
      </c>
      <c r="AJ102" s="27"/>
      <c r="AK102" s="27"/>
      <c r="AL102" s="27"/>
      <c r="AM102" s="27"/>
      <c r="AN102" s="27"/>
      <c r="AO102" s="27"/>
      <c r="AP102" s="27"/>
      <c r="AQ102" s="27"/>
    </row>
    <row r="103" spans="1:43" ht="14.25" customHeight="1">
      <c r="A103" s="42">
        <v>24.102</v>
      </c>
      <c r="B103" s="14">
        <v>2024</v>
      </c>
      <c r="C103" s="36">
        <v>102</v>
      </c>
      <c r="D103" s="16" t="str">
        <f ca="1">IFERROR(__xludf.DUMMYFUNCTION("IMPORTXML(AI103, ""//h1[@itemprop='headline']/span"")"),"102. Club Pilates")</f>
        <v>102. Club Pilates</v>
      </c>
      <c r="E103" s="17" t="str">
        <f ca="1">IFERROR(__xludf.DUMMYFUNCTION("REGEXEXTRACT(D103, ""\.\s*(.+)"")"),"Club Pilates")</f>
        <v>Club Pilates</v>
      </c>
      <c r="F103" s="18" t="str">
        <f ca="1">IFERROR(__xludf.DUMMYFUNCTION("IMPORTXML(AI103, ""//li[strong[text()='Investment Range:']]"")"),"Investment Range:")</f>
        <v>Investment Range:</v>
      </c>
      <c r="G103" s="43" t="str">
        <f ca="1">IFERROR(__xludf.DUMMYFUNCTION("""COMPUTED_VALUE""")," $196,525 - $458,575")</f>
        <v xml:space="preserve"> $196,525 - $458,575</v>
      </c>
      <c r="H103" s="18" t="str">
        <f ca="1">IFERROR(__xludf.DUMMYFUNCTION("SUBSTITUTE(REGEXEXTRACT(G103, ""\$(\d{1,3}(?:,\d{3})*)""), "","", ""."")
"),"196.525")</f>
        <v>196.525</v>
      </c>
      <c r="I103" s="19" t="str">
        <f ca="1">IFERROR(__xludf.DUMMYFUNCTION("SUBSTITUTE(REGEXEXTRACT(G103, ""-\s*\$(\d{1,3}(?:,\d{3})*)""), "","", ""."")
"),"458.575")</f>
        <v>458.575</v>
      </c>
      <c r="J103" s="19" t="str">
        <f ca="1">IFERROR(__xludf.DUMMYFUNCTION("IMPORTXML(AI103, ""//li[strong[text()='Initial Investment:']]"")"),"Loading...")</f>
        <v>Loading...</v>
      </c>
      <c r="K103" s="24"/>
      <c r="L103" s="20" t="str">
        <f ca="1">IFERROR(__xludf.DUMMYFUNCTION("IMPORTXML(AI103, ""//li[strong[text()='Category:']]"")"),"Loading...")</f>
        <v>Loading...</v>
      </c>
      <c r="M103" s="24"/>
      <c r="N103" s="19" t="str">
        <f ca="1">IFERROR(__xludf.DUMMYFUNCTION("IMPORTXML(AI103, ""//li[strong[text()='Global Sales:']]"")"),"Loading...")</f>
        <v>Loading...</v>
      </c>
      <c r="O103" s="24"/>
      <c r="P103" s="19" t="str">
        <f t="shared" si="0"/>
        <v/>
      </c>
      <c r="Q103" s="19" t="str">
        <f ca="1">IFERROR(__xludf.DUMMYFUNCTION("IMPORTXML(AI103, ""//li[strong[text()='US Units:']]"")"),"Loading...")</f>
        <v>Loading...</v>
      </c>
      <c r="R103" s="24"/>
      <c r="S103" s="19" t="str">
        <f ca="1">IFERROR(__xludf.DUMMYFUNCTION("IMPORTXML(AI103, ""//li[strong[text()='International Units:']]"")"),"International Units:")</f>
        <v>International Units:</v>
      </c>
      <c r="T103" s="44">
        <f ca="1">IFERROR(__xludf.DUMMYFUNCTION("""COMPUTED_VALUE"""),83)</f>
        <v>83</v>
      </c>
      <c r="U103" s="19" t="str">
        <f ca="1">IFERROR(__xludf.DUMMYFUNCTION("IMPORTXML(AI103, ""//li[strong[text()='Percent Franchised:']]"")"),"Loading...")</f>
        <v>Loading...</v>
      </c>
      <c r="V103" s="24"/>
      <c r="W103" s="19" t="str">
        <f ca="1">IFERROR(__xludf.DUMMYFUNCTION("IMPORTXML(AI103, ""//li[strong[text()='% International Units:']]"")"),"Loading...")</f>
        <v>Loading...</v>
      </c>
      <c r="X103" s="24"/>
      <c r="Y103" s="19" t="str">
        <f ca="1">IFERROR(__xludf.DUMMYFUNCTION("IMPORTXML(AI103, ""//li[strong[text()='US Franchised Units:']]"")"),"Loading...")</f>
        <v>Loading...</v>
      </c>
      <c r="Z103" s="24"/>
      <c r="AA103" s="14" t="str">
        <f t="shared" si="1"/>
        <v/>
      </c>
      <c r="AB103" s="19" t="str">
        <f ca="1">IFERROR(__xludf.DUMMYFUNCTION("IMPORTXML(AI103, ""//li[strong[text()='International Franchised Units:']]"")"),"Loading...")</f>
        <v>Loading...</v>
      </c>
      <c r="AC103" s="24"/>
      <c r="AD103" s="14" t="str">
        <f t="shared" si="2"/>
        <v/>
      </c>
      <c r="AE103" s="25" t="str">
        <f ca="1">IFERROR(__xludf.DUMMYFUNCTION("IMPORTXML(AI103, ""//li[strong[text()='Sales Growth %:']]"")"),"Loading...")</f>
        <v>Loading...</v>
      </c>
      <c r="AF103" s="24"/>
      <c r="AG103" s="25" t="str">
        <f ca="1">IFERROR(__xludf.DUMMYFUNCTION("IMPORTXML(AI103, ""//li[strong[text()='Unit Growth %:']]"")"),"Loading...")</f>
        <v>Loading...</v>
      </c>
      <c r="AH103" s="25"/>
      <c r="AI103" s="48" t="s">
        <v>118</v>
      </c>
      <c r="AJ103" s="27"/>
      <c r="AK103" s="27"/>
      <c r="AL103" s="27"/>
      <c r="AM103" s="27"/>
      <c r="AN103" s="27"/>
      <c r="AO103" s="27"/>
      <c r="AP103" s="27"/>
      <c r="AQ103" s="27"/>
    </row>
    <row r="104" spans="1:43" ht="14.25" customHeight="1">
      <c r="A104" s="42">
        <v>24.103000000000002</v>
      </c>
      <c r="B104" s="14">
        <v>2024</v>
      </c>
      <c r="C104" s="36">
        <v>103</v>
      </c>
      <c r="D104" s="16" t="str">
        <f ca="1">IFERROR(__xludf.DUMMYFUNCTION("IMPORTXML(AI104, ""//h1[@itemprop='headline']/span"")"),"103. Moe’s Southwest Grill")</f>
        <v>103. Moe’s Southwest Grill</v>
      </c>
      <c r="E104" s="17" t="str">
        <f ca="1">IFERROR(__xludf.DUMMYFUNCTION("REGEXEXTRACT(D104, ""\.\s*(.+)"")"),"Moe’s Southwest Grill")</f>
        <v>Moe’s Southwest Grill</v>
      </c>
      <c r="F104" s="18" t="str">
        <f ca="1">IFERROR(__xludf.DUMMYFUNCTION("IMPORTXML(AI104, ""//li[strong[text()='Investment Range:']]"")"),"Investment Range:")</f>
        <v>Investment Range:</v>
      </c>
      <c r="G104" s="43" t="str">
        <f ca="1">IFERROR(__xludf.DUMMYFUNCTION("""COMPUTED_VALUE""")," $745,325 - $1,819,050")</f>
        <v xml:space="preserve"> $745,325 - $1,819,050</v>
      </c>
      <c r="H104" s="18" t="str">
        <f ca="1">IFERROR(__xludf.DUMMYFUNCTION("SUBSTITUTE(REGEXEXTRACT(G104, ""\$(\d{1,3}(?:,\d{3})*)""), "","", ""."")
"),"745.325")</f>
        <v>745.325</v>
      </c>
      <c r="I104" s="19" t="str">
        <f ca="1">IFERROR(__xludf.DUMMYFUNCTION("SUBSTITUTE(REGEXEXTRACT(G104, ""-\s*\$(\d{1,3}(?:,\d{3})*)""), "","", ""."")
"),"1.819.050")</f>
        <v>1.819.050</v>
      </c>
      <c r="J104" s="19" t="str">
        <f ca="1">IFERROR(__xludf.DUMMYFUNCTION("IMPORTXML(AI104, ""//li[strong[text()='Initial Investment:']]"")"),"Loading...")</f>
        <v>Loading...</v>
      </c>
      <c r="K104" s="24"/>
      <c r="L104" s="20" t="str">
        <f ca="1">IFERROR(__xludf.DUMMYFUNCTION("IMPORTXML(AI104, ""//li[strong[text()='Category:']]"")"),"Loading...")</f>
        <v>Loading...</v>
      </c>
      <c r="M104" s="24"/>
      <c r="N104" s="19" t="str">
        <f ca="1">IFERROR(__xludf.DUMMYFUNCTION("IMPORTXML(AI104, ""//li[strong[text()='Global Sales:']]"")"),"Loading...")</f>
        <v>Loading...</v>
      </c>
      <c r="O104" s="24"/>
      <c r="P104" s="19" t="str">
        <f t="shared" si="0"/>
        <v/>
      </c>
      <c r="Q104" s="19" t="str">
        <f ca="1">IFERROR(__xludf.DUMMYFUNCTION("IMPORTXML(AI104, ""//li[strong[text()='US Units:']]"")"),"Loading...")</f>
        <v>Loading...</v>
      </c>
      <c r="R104" s="24"/>
      <c r="S104" s="19" t="str">
        <f ca="1">IFERROR(__xludf.DUMMYFUNCTION("IMPORTXML(AI104, ""//li[strong[text()='International Units:']]"")"),"Loading...")</f>
        <v>Loading...</v>
      </c>
      <c r="T104" s="44"/>
      <c r="U104" s="19" t="str">
        <f ca="1">IFERROR(__xludf.DUMMYFUNCTION("IMPORTXML(AI104, ""//li[strong[text()='Percent Franchised:']]"")"),"Loading...")</f>
        <v>Loading...</v>
      </c>
      <c r="V104" s="24"/>
      <c r="W104" s="19" t="str">
        <f ca="1">IFERROR(__xludf.DUMMYFUNCTION("IMPORTXML(AI104, ""//li[strong[text()='% International Units:']]"")"),"Loading...")</f>
        <v>Loading...</v>
      </c>
      <c r="X104" s="24"/>
      <c r="Y104" s="19" t="str">
        <f ca="1">IFERROR(__xludf.DUMMYFUNCTION("IMPORTXML(AI104, ""//li[strong[text()='US Franchised Units:']]"")"),"Loading...")</f>
        <v>Loading...</v>
      </c>
      <c r="Z104" s="24"/>
      <c r="AA104" s="14" t="str">
        <f t="shared" si="1"/>
        <v/>
      </c>
      <c r="AB104" s="19" t="str">
        <f ca="1">IFERROR(__xludf.DUMMYFUNCTION("IMPORTXML(AI104, ""//li[strong[text()='International Franchised Units:']]"")"),"Loading...")</f>
        <v>Loading...</v>
      </c>
      <c r="AC104" s="24"/>
      <c r="AD104" s="14" t="str">
        <f t="shared" si="2"/>
        <v/>
      </c>
      <c r="AE104" s="25" t="str">
        <f ca="1">IFERROR(__xludf.DUMMYFUNCTION("IMPORTXML(AI104, ""//li[strong[text()='Sales Growth %:']]"")"),"Loading...")</f>
        <v>Loading...</v>
      </c>
      <c r="AF104" s="24"/>
      <c r="AG104" s="25" t="str">
        <f ca="1">IFERROR(__xludf.DUMMYFUNCTION("IMPORTXML(AI104, ""//li[strong[text()='Unit Growth %:']]"")"),"Loading...")</f>
        <v>Loading...</v>
      </c>
      <c r="AH104" s="25"/>
      <c r="AI104" s="48" t="s">
        <v>119</v>
      </c>
      <c r="AJ104" s="27"/>
      <c r="AK104" s="27"/>
      <c r="AL104" s="27"/>
      <c r="AM104" s="27"/>
      <c r="AN104" s="27"/>
      <c r="AO104" s="27"/>
      <c r="AP104" s="27"/>
      <c r="AQ104" s="27"/>
    </row>
    <row r="105" spans="1:43" ht="14.25" customHeight="1">
      <c r="A105" s="42">
        <v>24.103999999999999</v>
      </c>
      <c r="B105" s="14">
        <v>2024</v>
      </c>
      <c r="C105" s="15">
        <v>104</v>
      </c>
      <c r="D105" s="16" t="str">
        <f ca="1">IFERROR(__xludf.DUMMYFUNCTION("IMPORTXML(AI105, ""//h1[@itemprop='headline']/span"")"),"104. Cold Stone Creamery")</f>
        <v>104. Cold Stone Creamery</v>
      </c>
      <c r="E105" s="17" t="str">
        <f ca="1">IFERROR(__xludf.DUMMYFUNCTION("REGEXEXTRACT(D105, ""\.\s*(.+)"")"),"Cold Stone Creamery")</f>
        <v>Cold Stone Creamery</v>
      </c>
      <c r="F105" s="18" t="str">
        <f ca="1">IFERROR(__xludf.DUMMYFUNCTION("IMPORTXML(AI105, ""//li[strong[text()='Investment Range:']]"")"),"#N/A")</f>
        <v>#N/A</v>
      </c>
      <c r="G105" s="43"/>
      <c r="H105" s="18" t="str">
        <f ca="1">IFERROR(__xludf.DUMMYFUNCTION("SUBSTITUTE(REGEXEXTRACT(G105, ""\$(\d{1,3}(?:,\d{3})*)""), "","", ""."")
"),"#N/A")</f>
        <v>#N/A</v>
      </c>
      <c r="I105" s="19" t="str">
        <f ca="1">IFERROR(__xludf.DUMMYFUNCTION("SUBSTITUTE(REGEXEXTRACT(G105, ""-\s*\$(\d{1,3}(?:,\d{3})*)""), "","", ""."")
"),"#N/A")</f>
        <v>#N/A</v>
      </c>
      <c r="J105" s="19" t="str">
        <f ca="1">IFERROR(__xludf.DUMMYFUNCTION("IMPORTXML(AI105, ""//li[strong[text()='Initial Investment:']]"")"),"Loading...")</f>
        <v>Loading...</v>
      </c>
      <c r="K105" s="24"/>
      <c r="L105" s="20" t="str">
        <f ca="1">IFERROR(__xludf.DUMMYFUNCTION("IMPORTXML(AI105, ""//li[strong[text()='Category:']]"")"),"Loading...")</f>
        <v>Loading...</v>
      </c>
      <c r="M105" s="24"/>
      <c r="N105" s="19" t="str">
        <f ca="1">IFERROR(__xludf.DUMMYFUNCTION("IMPORTXML(AI105, ""//li[strong[text()='Global Sales:']]"")"),"Loading...")</f>
        <v>Loading...</v>
      </c>
      <c r="O105" s="24"/>
      <c r="P105" s="19" t="str">
        <f t="shared" si="0"/>
        <v/>
      </c>
      <c r="Q105" s="19" t="str">
        <f ca="1">IFERROR(__xludf.DUMMYFUNCTION("IMPORTXML(AI105, ""//li[strong[text()='US Units:']]"")"),"Loading...")</f>
        <v>Loading...</v>
      </c>
      <c r="R105" s="24"/>
      <c r="S105" s="19" t="str">
        <f ca="1">IFERROR(__xludf.DUMMYFUNCTION("IMPORTXML(AI105, ""//li[strong[text()='International Units:']]"")"),"Loading...")</f>
        <v>Loading...</v>
      </c>
      <c r="T105" s="44"/>
      <c r="U105" s="19" t="str">
        <f ca="1">IFERROR(__xludf.DUMMYFUNCTION("IMPORTXML(AI105, ""//li[strong[text()='Percent Franchised:']]"")"),"Loading...")</f>
        <v>Loading...</v>
      </c>
      <c r="V105" s="24"/>
      <c r="W105" s="19" t="str">
        <f ca="1">IFERROR(__xludf.DUMMYFUNCTION("IMPORTXML(AI105, ""//li[strong[text()='% International Units:']]"")"),"Loading...")</f>
        <v>Loading...</v>
      </c>
      <c r="X105" s="24"/>
      <c r="Y105" s="19" t="str">
        <f ca="1">IFERROR(__xludf.DUMMYFUNCTION("IMPORTXML(AI105, ""//li[strong[text()='US Franchised Units:']]"")"),"Loading...")</f>
        <v>Loading...</v>
      </c>
      <c r="Z105" s="24"/>
      <c r="AA105" s="14" t="str">
        <f t="shared" si="1"/>
        <v/>
      </c>
      <c r="AB105" s="19" t="str">
        <f ca="1">IFERROR(__xludf.DUMMYFUNCTION("IMPORTXML(AI105, ""//li[strong[text()='International Franchised Units:']]"")"),"Loading...")</f>
        <v>Loading...</v>
      </c>
      <c r="AC105" s="24"/>
      <c r="AD105" s="14" t="str">
        <f t="shared" si="2"/>
        <v/>
      </c>
      <c r="AE105" s="25" t="str">
        <f ca="1">IFERROR(__xludf.DUMMYFUNCTION("IMPORTXML(AI105, ""//li[strong[text()='Sales Growth %:']]"")"),"Loading...")</f>
        <v>Loading...</v>
      </c>
      <c r="AF105" s="24"/>
      <c r="AG105" s="25" t="str">
        <f ca="1">IFERROR(__xludf.DUMMYFUNCTION("IMPORTXML(AI105, ""//li[strong[text()='Unit Growth %:']]"")"),"Loading...")</f>
        <v>Loading...</v>
      </c>
      <c r="AH105" s="25"/>
      <c r="AI105" s="48" t="s">
        <v>120</v>
      </c>
      <c r="AJ105" s="27"/>
      <c r="AK105" s="27"/>
      <c r="AL105" s="27"/>
      <c r="AM105" s="27"/>
      <c r="AN105" s="27"/>
      <c r="AO105" s="27"/>
      <c r="AP105" s="27"/>
      <c r="AQ105" s="27"/>
    </row>
    <row r="106" spans="1:43" ht="14.25" customHeight="1">
      <c r="A106" s="42">
        <v>24.105</v>
      </c>
      <c r="B106" s="14">
        <v>2024</v>
      </c>
      <c r="C106" s="32">
        <v>105</v>
      </c>
      <c r="D106" s="16" t="str">
        <f ca="1">IFERROR(__xludf.DUMMYFUNCTION("IMPORTXML(AI106, ""//h1[@itemprop='headline']/span"")"),"105. Smoothie King")</f>
        <v>105. Smoothie King</v>
      </c>
      <c r="E106" s="17" t="str">
        <f ca="1">IFERROR(__xludf.DUMMYFUNCTION("REGEXEXTRACT(D106, ""\.\s*(.+)"")"),"Smoothie King")</f>
        <v>Smoothie King</v>
      </c>
      <c r="F106" s="18" t="str">
        <f ca="1">IFERROR(__xludf.DUMMYFUNCTION("IMPORTXML(AI106, ""//li[strong[text()='Investment Range:']]"")"),"#N/A")</f>
        <v>#N/A</v>
      </c>
      <c r="G106" s="43"/>
      <c r="H106" s="18" t="str">
        <f ca="1">IFERROR(__xludf.DUMMYFUNCTION("SUBSTITUTE(REGEXEXTRACT(G106, ""\$(\d{1,3}(?:,\d{3})*)""), "","", ""."")
"),"#N/A")</f>
        <v>#N/A</v>
      </c>
      <c r="I106" s="19" t="str">
        <f ca="1">IFERROR(__xludf.DUMMYFUNCTION("SUBSTITUTE(REGEXEXTRACT(G106, ""-\s*\$(\d{1,3}(?:,\d{3})*)""), "","", ""."")
"),"#N/A")</f>
        <v>#N/A</v>
      </c>
      <c r="J106" s="19" t="str">
        <f ca="1">IFERROR(__xludf.DUMMYFUNCTION("IMPORTXML(AI106, ""//li[strong[text()='Initial Investment:']]"")"),"#N/A")</f>
        <v>#N/A</v>
      </c>
      <c r="K106" s="24"/>
      <c r="L106" s="20" t="str">
        <f ca="1">IFERROR(__xludf.DUMMYFUNCTION("IMPORTXML(AI106, ""//li[strong[text()='Category:']]"")"),"Loading...")</f>
        <v>Loading...</v>
      </c>
      <c r="M106" s="24"/>
      <c r="N106" s="19" t="str">
        <f ca="1">IFERROR(__xludf.DUMMYFUNCTION("IMPORTXML(AI106, ""//li[strong[text()='Global Sales:']]"")"),"Loading...")</f>
        <v>Loading...</v>
      </c>
      <c r="O106" s="24"/>
      <c r="P106" s="19" t="str">
        <f t="shared" si="0"/>
        <v/>
      </c>
      <c r="Q106" s="19" t="str">
        <f ca="1">IFERROR(__xludf.DUMMYFUNCTION("IMPORTXML(AI106, ""//li[strong[text()='US Units:']]"")"),"Loading...")</f>
        <v>Loading...</v>
      </c>
      <c r="R106" s="24"/>
      <c r="S106" s="19" t="str">
        <f ca="1">IFERROR(__xludf.DUMMYFUNCTION("IMPORTXML(AI106, ""//li[strong[text()='International Units:']]"")"),"Loading...")</f>
        <v>Loading...</v>
      </c>
      <c r="T106" s="44"/>
      <c r="U106" s="19" t="str">
        <f ca="1">IFERROR(__xludf.DUMMYFUNCTION("IMPORTXML(AI106, ""//li[strong[text()='Percent Franchised:']]"")"),"Loading...")</f>
        <v>Loading...</v>
      </c>
      <c r="V106" s="24"/>
      <c r="W106" s="19" t="str">
        <f ca="1">IFERROR(__xludf.DUMMYFUNCTION("IMPORTXML(AI106, ""//li[strong[text()='% International Units:']]"")"),"Loading...")</f>
        <v>Loading...</v>
      </c>
      <c r="X106" s="24"/>
      <c r="Y106" s="19" t="str">
        <f ca="1">IFERROR(__xludf.DUMMYFUNCTION("IMPORTXML(AI106, ""//li[strong[text()='US Franchised Units:']]"")"),"Loading...")</f>
        <v>Loading...</v>
      </c>
      <c r="Z106" s="24"/>
      <c r="AA106" s="14" t="str">
        <f t="shared" si="1"/>
        <v/>
      </c>
      <c r="AB106" s="19" t="str">
        <f ca="1">IFERROR(__xludf.DUMMYFUNCTION("IMPORTXML(AI106, ""//li[strong[text()='International Franchised Units:']]"")"),"Loading...")</f>
        <v>Loading...</v>
      </c>
      <c r="AC106" s="24"/>
      <c r="AD106" s="14" t="str">
        <f t="shared" si="2"/>
        <v/>
      </c>
      <c r="AE106" s="25" t="str">
        <f ca="1">IFERROR(__xludf.DUMMYFUNCTION("IMPORTXML(AI106, ""//li[strong[text()='Sales Growth %:']]"")"),"Loading...")</f>
        <v>Loading...</v>
      </c>
      <c r="AF106" s="24"/>
      <c r="AG106" s="25" t="str">
        <f ca="1">IFERROR(__xludf.DUMMYFUNCTION("IMPORTXML(AI106, ""//li[strong[text()='Unit Growth %:']]"")"),"Loading...")</f>
        <v>Loading...</v>
      </c>
      <c r="AH106" s="25"/>
      <c r="AI106" s="48" t="s">
        <v>121</v>
      </c>
      <c r="AJ106" s="27"/>
      <c r="AK106" s="27"/>
      <c r="AL106" s="27"/>
      <c r="AM106" s="27"/>
      <c r="AN106" s="27"/>
      <c r="AO106" s="27"/>
      <c r="AP106" s="27"/>
      <c r="AQ106" s="27"/>
    </row>
    <row r="107" spans="1:43" ht="14.25" customHeight="1">
      <c r="A107" s="42">
        <v>24.106000000000002</v>
      </c>
      <c r="B107" s="14">
        <v>2024</v>
      </c>
      <c r="C107" s="36">
        <v>106</v>
      </c>
      <c r="D107" s="16" t="str">
        <f ca="1">IFERROR(__xludf.DUMMYFUNCTION("IMPORTXML(AI107, ""//h1[@itemprop='headline']/span"")"),"106. City Wide Facility Solutions")</f>
        <v>106. City Wide Facility Solutions</v>
      </c>
      <c r="E107" s="17" t="str">
        <f ca="1">IFERROR(__xludf.DUMMYFUNCTION("REGEXEXTRACT(D107, ""\.\s*(.+)"")"),"City Wide Facility Solutions")</f>
        <v>City Wide Facility Solutions</v>
      </c>
      <c r="F107" s="18" t="str">
        <f ca="1">IFERROR(__xludf.DUMMYFUNCTION("IMPORTXML(AI107, ""//li[strong[text()='Investment Range:']]"")"),"#N/A")</f>
        <v>#N/A</v>
      </c>
      <c r="G107" s="43"/>
      <c r="H107" s="18" t="str">
        <f ca="1">IFERROR(__xludf.DUMMYFUNCTION("SUBSTITUTE(REGEXEXTRACT(G107, ""\$(\d{1,3}(?:,\d{3})*)""), "","", ""."")
"),"#N/A")</f>
        <v>#N/A</v>
      </c>
      <c r="I107" s="19" t="str">
        <f ca="1">IFERROR(__xludf.DUMMYFUNCTION("SUBSTITUTE(REGEXEXTRACT(G107, ""-\s*\$(\d{1,3}(?:,\d{3})*)""), "","", ""."")
"),"#N/A")</f>
        <v>#N/A</v>
      </c>
      <c r="J107" s="19" t="str">
        <f ca="1">IFERROR(__xludf.DUMMYFUNCTION("IMPORTXML(AI107, ""//li[strong[text()='Initial Investment:']]"")"),"Loading...")</f>
        <v>Loading...</v>
      </c>
      <c r="K107" s="24"/>
      <c r="L107" s="20" t="str">
        <f ca="1">IFERROR(__xludf.DUMMYFUNCTION("IMPORTXML(AI107, ""//li[strong[text()='Category:']]"")"),"Loading...")</f>
        <v>Loading...</v>
      </c>
      <c r="M107" s="24"/>
      <c r="N107" s="19" t="str">
        <f ca="1">IFERROR(__xludf.DUMMYFUNCTION("IMPORTXML(AI107, ""//li[strong[text()='Global Sales:']]"")"),"Loading...")</f>
        <v>Loading...</v>
      </c>
      <c r="O107" s="24"/>
      <c r="P107" s="19" t="str">
        <f t="shared" si="0"/>
        <v/>
      </c>
      <c r="Q107" s="19" t="str">
        <f ca="1">IFERROR(__xludf.DUMMYFUNCTION("IMPORTXML(AI107, ""//li[strong[text()='US Units:']]"")"),"Loading...")</f>
        <v>Loading...</v>
      </c>
      <c r="R107" s="24"/>
      <c r="S107" s="19" t="str">
        <f ca="1">IFERROR(__xludf.DUMMYFUNCTION("IMPORTXML(AI107, ""//li[strong[text()='International Units:']]"")"),"Loading...")</f>
        <v>Loading...</v>
      </c>
      <c r="T107" s="44"/>
      <c r="U107" s="19" t="str">
        <f ca="1">IFERROR(__xludf.DUMMYFUNCTION("IMPORTXML(AI107, ""//li[strong[text()='Percent Franchised:']]"")"),"Loading...")</f>
        <v>Loading...</v>
      </c>
      <c r="V107" s="24"/>
      <c r="W107" s="19" t="str">
        <f ca="1">IFERROR(__xludf.DUMMYFUNCTION("IMPORTXML(AI107, ""//li[strong[text()='% International Units:']]"")"),"Loading...")</f>
        <v>Loading...</v>
      </c>
      <c r="X107" s="24"/>
      <c r="Y107" s="19" t="str">
        <f ca="1">IFERROR(__xludf.DUMMYFUNCTION("IMPORTXML(AI107, ""//li[strong[text()='US Franchised Units:']]"")"),"Loading...")</f>
        <v>Loading...</v>
      </c>
      <c r="Z107" s="24"/>
      <c r="AA107" s="14" t="str">
        <f t="shared" si="1"/>
        <v/>
      </c>
      <c r="AB107" s="19" t="str">
        <f ca="1">IFERROR(__xludf.DUMMYFUNCTION("IMPORTXML(AI107, ""//li[strong[text()='International Franchised Units:']]"")"),"Loading...")</f>
        <v>Loading...</v>
      </c>
      <c r="AC107" s="24"/>
      <c r="AD107" s="14" t="str">
        <f t="shared" si="2"/>
        <v/>
      </c>
      <c r="AE107" s="25" t="str">
        <f ca="1">IFERROR(__xludf.DUMMYFUNCTION("IMPORTXML(AI107, ""//li[strong[text()='Sales Growth %:']]"")"),"Loading...")</f>
        <v>Loading...</v>
      </c>
      <c r="AF107" s="24"/>
      <c r="AG107" s="25" t="str">
        <f ca="1">IFERROR(__xludf.DUMMYFUNCTION("IMPORTXML(AI107, ""//li[strong[text()='Unit Growth %:']]"")"),"Loading...")</f>
        <v>Loading...</v>
      </c>
      <c r="AH107" s="25"/>
      <c r="AI107" s="48" t="s">
        <v>122</v>
      </c>
      <c r="AJ107" s="27"/>
      <c r="AK107" s="27"/>
      <c r="AL107" s="27"/>
      <c r="AM107" s="27"/>
      <c r="AN107" s="27"/>
      <c r="AO107" s="27"/>
      <c r="AP107" s="27"/>
      <c r="AQ107" s="27"/>
    </row>
    <row r="108" spans="1:43" ht="14.25" customHeight="1">
      <c r="A108" s="42">
        <v>24.106999999999999</v>
      </c>
      <c r="B108" s="14">
        <v>2024</v>
      </c>
      <c r="C108" s="36">
        <v>107</v>
      </c>
      <c r="D108" s="16" t="str">
        <f ca="1">IFERROR(__xludf.DUMMYFUNCTION("IMPORTXML(AI108, ""//h1[@itemprop='headline']/span"")"),"107. Charleys Philly Steaks")</f>
        <v>107. Charleys Philly Steaks</v>
      </c>
      <c r="E108" s="17" t="str">
        <f ca="1">IFERROR(__xludf.DUMMYFUNCTION("REGEXEXTRACT(D108, ""\.\s*(.+)"")"),"Charleys Philly Steaks")</f>
        <v>Charleys Philly Steaks</v>
      </c>
      <c r="F108" s="18" t="str">
        <f ca="1">IFERROR(__xludf.DUMMYFUNCTION("IMPORTXML(AI108, ""//li[strong[text()='Investment Range:']]"")"),"#N/A")</f>
        <v>#N/A</v>
      </c>
      <c r="G108" s="43"/>
      <c r="H108" s="18" t="str">
        <f ca="1">IFERROR(__xludf.DUMMYFUNCTION("SUBSTITUTE(REGEXEXTRACT(G108, ""\$(\d{1,3}(?:,\d{3})*)""), "","", ""."")
"),"#N/A")</f>
        <v>#N/A</v>
      </c>
      <c r="I108" s="19" t="str">
        <f ca="1">IFERROR(__xludf.DUMMYFUNCTION("SUBSTITUTE(REGEXEXTRACT(G108, ""-\s*\$(\d{1,3}(?:,\d{3})*)""), "","", ""."")
"),"#N/A")</f>
        <v>#N/A</v>
      </c>
      <c r="J108" s="19" t="str">
        <f ca="1">IFERROR(__xludf.DUMMYFUNCTION("IMPORTXML(AI108, ""//li[strong[text()='Initial Investment:']]"")"),"Loading...")</f>
        <v>Loading...</v>
      </c>
      <c r="K108" s="24"/>
      <c r="L108" s="20" t="str">
        <f ca="1">IFERROR(__xludf.DUMMYFUNCTION("IMPORTXML(AI108, ""//li[strong[text()='Category:']]"")"),"Loading...")</f>
        <v>Loading...</v>
      </c>
      <c r="M108" s="24"/>
      <c r="N108" s="19" t="str">
        <f ca="1">IFERROR(__xludf.DUMMYFUNCTION("IMPORTXML(AI108, ""//li[strong[text()='Global Sales:']]"")"),"Loading...")</f>
        <v>Loading...</v>
      </c>
      <c r="O108" s="24"/>
      <c r="P108" s="19" t="str">
        <f t="shared" si="0"/>
        <v/>
      </c>
      <c r="Q108" s="19" t="str">
        <f ca="1">IFERROR(__xludf.DUMMYFUNCTION("IMPORTXML(AI108, ""//li[strong[text()='US Units:']]"")"),"Loading...")</f>
        <v>Loading...</v>
      </c>
      <c r="R108" s="24"/>
      <c r="S108" s="19" t="str">
        <f ca="1">IFERROR(__xludf.DUMMYFUNCTION("IMPORTXML(AI108, ""//li[strong[text()='International Units:']]"")"),"Loading...")</f>
        <v>Loading...</v>
      </c>
      <c r="T108" s="44"/>
      <c r="U108" s="19" t="str">
        <f ca="1">IFERROR(__xludf.DUMMYFUNCTION("IMPORTXML(AI108, ""//li[strong[text()='Percent Franchised:']]"")"),"Loading...")</f>
        <v>Loading...</v>
      </c>
      <c r="V108" s="24"/>
      <c r="W108" s="19" t="str">
        <f ca="1">IFERROR(__xludf.DUMMYFUNCTION("IMPORTXML(AI108, ""//li[strong[text()='% International Units:']]"")"),"Loading...")</f>
        <v>Loading...</v>
      </c>
      <c r="X108" s="24"/>
      <c r="Y108" s="19" t="str">
        <f ca="1">IFERROR(__xludf.DUMMYFUNCTION("IMPORTXML(AI108, ""//li[strong[text()='US Franchised Units:']]"")"),"Loading...")</f>
        <v>Loading...</v>
      </c>
      <c r="Z108" s="24"/>
      <c r="AA108" s="14" t="str">
        <f t="shared" si="1"/>
        <v/>
      </c>
      <c r="AB108" s="19" t="str">
        <f ca="1">IFERROR(__xludf.DUMMYFUNCTION("IMPORTXML(AI108, ""//li[strong[text()='International Franchised Units:']]"")"),"Loading...")</f>
        <v>Loading...</v>
      </c>
      <c r="AC108" s="24"/>
      <c r="AD108" s="14" t="str">
        <f t="shared" si="2"/>
        <v/>
      </c>
      <c r="AE108" s="25" t="str">
        <f ca="1">IFERROR(__xludf.DUMMYFUNCTION("IMPORTXML(AI108, ""//li[strong[text()='Sales Growth %:']]"")"),"Loading...")</f>
        <v>Loading...</v>
      </c>
      <c r="AF108" s="24"/>
      <c r="AG108" s="25" t="str">
        <f ca="1">IFERROR(__xludf.DUMMYFUNCTION("IMPORTXML(AI108, ""//li[strong[text()='Unit Growth %:']]"")"),"Loading...")</f>
        <v>Loading...</v>
      </c>
      <c r="AH108" s="25"/>
      <c r="AI108" s="48" t="s">
        <v>123</v>
      </c>
      <c r="AJ108" s="27"/>
      <c r="AK108" s="27"/>
      <c r="AL108" s="27"/>
      <c r="AM108" s="27"/>
      <c r="AN108" s="27"/>
      <c r="AO108" s="27"/>
      <c r="AP108" s="27"/>
      <c r="AQ108" s="27"/>
    </row>
    <row r="109" spans="1:43" ht="14.25" customHeight="1">
      <c r="A109" s="42">
        <v>24.108000000000001</v>
      </c>
      <c r="B109" s="14">
        <v>2024</v>
      </c>
      <c r="C109" s="15">
        <v>108</v>
      </c>
      <c r="D109" s="16" t="str">
        <f ca="1">IFERROR(__xludf.DUMMYFUNCTION("IMPORTXML(AI109, ""//h1[@itemprop='headline']/span"")"),"108. Hand &amp; Stone Massage and Facial Spa")</f>
        <v>108. Hand &amp; Stone Massage and Facial Spa</v>
      </c>
      <c r="E109" s="17" t="str">
        <f ca="1">IFERROR(__xludf.DUMMYFUNCTION("REGEXEXTRACT(D109, ""\.\s*(.+)"")"),"Hand &amp; Stone Massage and Facial Spa")</f>
        <v>Hand &amp; Stone Massage and Facial Spa</v>
      </c>
      <c r="F109" s="18" t="str">
        <f ca="1">IFERROR(__xludf.DUMMYFUNCTION("IMPORTXML(AI109, ""//li[strong[text()='Investment Range:']]"")"),"#N/A")</f>
        <v>#N/A</v>
      </c>
      <c r="G109" s="43"/>
      <c r="H109" s="18" t="str">
        <f ca="1">IFERROR(__xludf.DUMMYFUNCTION("SUBSTITUTE(REGEXEXTRACT(G109, ""\$(\d{1,3}(?:,\d{3})*)""), "","", ""."")
"),"#N/A")</f>
        <v>#N/A</v>
      </c>
      <c r="I109" s="19" t="str">
        <f ca="1">IFERROR(__xludf.DUMMYFUNCTION("SUBSTITUTE(REGEXEXTRACT(G109, ""-\s*\$(\d{1,3}(?:,\d{3})*)""), "","", ""."")
"),"#N/A")</f>
        <v>#N/A</v>
      </c>
      <c r="J109" s="19" t="str">
        <f ca="1">IFERROR(__xludf.DUMMYFUNCTION("IMPORTXML(AI109, ""//li[strong[text()='Initial Investment:']]"")"),"Loading...")</f>
        <v>Loading...</v>
      </c>
      <c r="K109" s="24"/>
      <c r="L109" s="20" t="str">
        <f ca="1">IFERROR(__xludf.DUMMYFUNCTION("IMPORTXML(AI109, ""//li[strong[text()='Category:']]"")"),"Loading...")</f>
        <v>Loading...</v>
      </c>
      <c r="M109" s="24"/>
      <c r="N109" s="19" t="str">
        <f ca="1">IFERROR(__xludf.DUMMYFUNCTION("IMPORTXML(AI109, ""//li[strong[text()='Global Sales:']]"")"),"#N/A")</f>
        <v>#N/A</v>
      </c>
      <c r="O109" s="24"/>
      <c r="P109" s="19" t="str">
        <f t="shared" si="0"/>
        <v/>
      </c>
      <c r="Q109" s="19" t="str">
        <f ca="1">IFERROR(__xludf.DUMMYFUNCTION("IMPORTXML(AI109, ""//li[strong[text()='US Units:']]"")"),"Loading...")</f>
        <v>Loading...</v>
      </c>
      <c r="R109" s="24"/>
      <c r="S109" s="19" t="str">
        <f ca="1">IFERROR(__xludf.DUMMYFUNCTION("IMPORTXML(AI109, ""//li[strong[text()='International Units:']]"")"),"Loading...")</f>
        <v>Loading...</v>
      </c>
      <c r="T109" s="44"/>
      <c r="U109" s="19" t="str">
        <f ca="1">IFERROR(__xludf.DUMMYFUNCTION("IMPORTXML(AI109, ""//li[strong[text()='Percent Franchised:']]"")"),"#N/A")</f>
        <v>#N/A</v>
      </c>
      <c r="V109" s="24"/>
      <c r="W109" s="19" t="str">
        <f ca="1">IFERROR(__xludf.DUMMYFUNCTION("IMPORTXML(AI109, ""//li[strong[text()='% International Units:']]"")"),"Loading...")</f>
        <v>Loading...</v>
      </c>
      <c r="X109" s="24"/>
      <c r="Y109" s="19" t="str">
        <f ca="1">IFERROR(__xludf.DUMMYFUNCTION("IMPORTXML(AI109, ""//li[strong[text()='US Franchised Units:']]"")"),"Loading...")</f>
        <v>Loading...</v>
      </c>
      <c r="Z109" s="24"/>
      <c r="AA109" s="14" t="str">
        <f t="shared" si="1"/>
        <v/>
      </c>
      <c r="AB109" s="19" t="str">
        <f ca="1">IFERROR(__xludf.DUMMYFUNCTION("IMPORTXML(AI109, ""//li[strong[text()='International Franchised Units:']]"")"),"Loading...")</f>
        <v>Loading...</v>
      </c>
      <c r="AC109" s="24"/>
      <c r="AD109" s="14" t="str">
        <f t="shared" si="2"/>
        <v/>
      </c>
      <c r="AE109" s="25" t="str">
        <f ca="1">IFERROR(__xludf.DUMMYFUNCTION("IMPORTXML(AI109, ""//li[strong[text()='Sales Growth %:']]"")"),"Loading...")</f>
        <v>Loading...</v>
      </c>
      <c r="AF109" s="24"/>
      <c r="AG109" s="25" t="str">
        <f ca="1">IFERROR(__xludf.DUMMYFUNCTION("IMPORTXML(AI109, ""//li[strong[text()='Unit Growth %:']]"")"),"Loading...")</f>
        <v>Loading...</v>
      </c>
      <c r="AH109" s="25"/>
      <c r="AI109" s="48" t="s">
        <v>124</v>
      </c>
      <c r="AJ109" s="27"/>
      <c r="AK109" s="27"/>
      <c r="AL109" s="27"/>
      <c r="AM109" s="27"/>
      <c r="AN109" s="27"/>
      <c r="AO109" s="27"/>
      <c r="AP109" s="27"/>
      <c r="AQ109" s="27"/>
    </row>
    <row r="110" spans="1:43" ht="14.25" customHeight="1">
      <c r="A110" s="42">
        <v>24.109000000000002</v>
      </c>
      <c r="B110" s="14">
        <v>2024</v>
      </c>
      <c r="C110" s="32">
        <v>109</v>
      </c>
      <c r="D110" s="16" t="str">
        <f ca="1">IFERROR(__xludf.DUMMYFUNCTION("IMPORTXML(AI110, ""//h1[@itemprop='headline']/span"")"),"109. Unishippers")</f>
        <v>109. Unishippers</v>
      </c>
      <c r="E110" s="17" t="str">
        <f ca="1">IFERROR(__xludf.DUMMYFUNCTION("REGEXEXTRACT(D110, ""\.\s*(.+)"")"),"Unishippers")</f>
        <v>Unishippers</v>
      </c>
      <c r="F110" s="18" t="str">
        <f ca="1">IFERROR(__xludf.DUMMYFUNCTION("IMPORTXML(AI110, ""//li[strong[text()='Investment Range:']]"")"),"Investment Range:")</f>
        <v>Investment Range:</v>
      </c>
      <c r="G110" s="43" t="str">
        <f ca="1">IFERROR(__xludf.DUMMYFUNCTION("""COMPUTED_VALUE""")," $16,065 - $233,300")</f>
        <v xml:space="preserve"> $16,065 - $233,300</v>
      </c>
      <c r="H110" s="18" t="str">
        <f ca="1">IFERROR(__xludf.DUMMYFUNCTION("SUBSTITUTE(REGEXEXTRACT(G110, ""\$(\d{1,3}(?:,\d{3})*)""), "","", ""."")
"),"16.065")</f>
        <v>16.065</v>
      </c>
      <c r="I110" s="19" t="str">
        <f ca="1">IFERROR(__xludf.DUMMYFUNCTION("SUBSTITUTE(REGEXEXTRACT(G110, ""-\s*\$(\d{1,3}(?:,\d{3})*)""), "","", ""."")
"),"233.300")</f>
        <v>233.300</v>
      </c>
      <c r="J110" s="19" t="str">
        <f ca="1">IFERROR(__xludf.DUMMYFUNCTION("IMPORTXML(AI110, ""//li[strong[text()='Initial Investment:']]"")"),"Loading...")</f>
        <v>Loading...</v>
      </c>
      <c r="K110" s="24"/>
      <c r="L110" s="20" t="str">
        <f ca="1">IFERROR(__xludf.DUMMYFUNCTION("IMPORTXML(AI110, ""//li[strong[text()='Category:']]"")"),"Loading...")</f>
        <v>Loading...</v>
      </c>
      <c r="M110" s="24"/>
      <c r="N110" s="19" t="str">
        <f ca="1">IFERROR(__xludf.DUMMYFUNCTION("IMPORTXML(AI110, ""//li[strong[text()='Global Sales:']]"")"),"Loading...")</f>
        <v>Loading...</v>
      </c>
      <c r="O110" s="24"/>
      <c r="P110" s="19" t="str">
        <f t="shared" si="0"/>
        <v/>
      </c>
      <c r="Q110" s="19" t="str">
        <f ca="1">IFERROR(__xludf.DUMMYFUNCTION("IMPORTXML(AI110, ""//li[strong[text()='US Units:']]"")"),"Loading...")</f>
        <v>Loading...</v>
      </c>
      <c r="R110" s="24"/>
      <c r="S110" s="19" t="str">
        <f ca="1">IFERROR(__xludf.DUMMYFUNCTION("IMPORTXML(AI110, ""//li[strong[text()='International Units:']]"")"),"#N/A")</f>
        <v>#N/A</v>
      </c>
      <c r="T110" s="44"/>
      <c r="U110" s="19" t="str">
        <f ca="1">IFERROR(__xludf.DUMMYFUNCTION("IMPORTXML(AI110, ""//li[strong[text()='Percent Franchised:']]"")"),"Loading...")</f>
        <v>Loading...</v>
      </c>
      <c r="V110" s="24"/>
      <c r="W110" s="19" t="str">
        <f ca="1">IFERROR(__xludf.DUMMYFUNCTION("IMPORTXML(AI110, ""//li[strong[text()='% International Units:']]"")"),"Loading...")</f>
        <v>Loading...</v>
      </c>
      <c r="X110" s="24"/>
      <c r="Y110" s="19" t="str">
        <f ca="1">IFERROR(__xludf.DUMMYFUNCTION("IMPORTXML(AI110, ""//li[strong[text()='US Franchised Units:']]"")"),"Loading...")</f>
        <v>Loading...</v>
      </c>
      <c r="Z110" s="24"/>
      <c r="AA110" s="14" t="str">
        <f t="shared" si="1"/>
        <v/>
      </c>
      <c r="AB110" s="19" t="str">
        <f ca="1">IFERROR(__xludf.DUMMYFUNCTION("IMPORTXML(AI110, ""//li[strong[text()='International Franchised Units:']]"")"),"Loading...")</f>
        <v>Loading...</v>
      </c>
      <c r="AC110" s="24"/>
      <c r="AD110" s="14" t="str">
        <f t="shared" si="2"/>
        <v/>
      </c>
      <c r="AE110" s="25" t="str">
        <f ca="1">IFERROR(__xludf.DUMMYFUNCTION("IMPORTXML(AI110, ""//li[strong[text()='Sales Growth %:']]"")"),"Loading...")</f>
        <v>Loading...</v>
      </c>
      <c r="AF110" s="24"/>
      <c r="AG110" s="25" t="str">
        <f ca="1">IFERROR(__xludf.DUMMYFUNCTION("IMPORTXML(AI110, ""//li[strong[text()='Unit Growth %:']]"")"),"Loading...")</f>
        <v>Loading...</v>
      </c>
      <c r="AH110" s="25"/>
      <c r="AI110" s="48" t="s">
        <v>125</v>
      </c>
      <c r="AJ110" s="27"/>
      <c r="AK110" s="27"/>
      <c r="AL110" s="27"/>
      <c r="AM110" s="27"/>
      <c r="AN110" s="27"/>
      <c r="AO110" s="27"/>
      <c r="AP110" s="27"/>
      <c r="AQ110" s="27"/>
    </row>
    <row r="111" spans="1:43" ht="14.25" customHeight="1">
      <c r="A111" s="42">
        <v>24.11</v>
      </c>
      <c r="B111" s="14">
        <v>2024</v>
      </c>
      <c r="C111" s="36">
        <v>110</v>
      </c>
      <c r="D111" s="16" t="str">
        <f ca="1">IFERROR(__xludf.DUMMYFUNCTION("IMPORTXML(AI111, ""//h1[@itemprop='headline']/span"")"),"110. BrightStar Care")</f>
        <v>110. BrightStar Care</v>
      </c>
      <c r="E111" s="17" t="str">
        <f ca="1">IFERROR(__xludf.DUMMYFUNCTION("REGEXEXTRACT(D111, ""\.\s*(.+)"")"),"BrightStar Care")</f>
        <v>BrightStar Care</v>
      </c>
      <c r="F111" s="18" t="str">
        <f ca="1">IFERROR(__xludf.DUMMYFUNCTION("IMPORTXML(AI111, ""//li[strong[text()='Investment Range:']]"")"),"Investment Range:")</f>
        <v>Investment Range:</v>
      </c>
      <c r="G111" s="43" t="str">
        <f ca="1">IFERROR(__xludf.DUMMYFUNCTION("""COMPUTED_VALUE""")," $112,459 - $231,538")</f>
        <v xml:space="preserve"> $112,459 - $231,538</v>
      </c>
      <c r="H111" s="18" t="str">
        <f ca="1">IFERROR(__xludf.DUMMYFUNCTION("SUBSTITUTE(REGEXEXTRACT(G111, ""\$(\d{1,3}(?:,\d{3})*)""), "","", ""."")
"),"112.459")</f>
        <v>112.459</v>
      </c>
      <c r="I111" s="19" t="str">
        <f ca="1">IFERROR(__xludf.DUMMYFUNCTION("SUBSTITUTE(REGEXEXTRACT(G111, ""-\s*\$(\d{1,3}(?:,\d{3})*)""), "","", ""."")
"),"231.538")</f>
        <v>231.538</v>
      </c>
      <c r="J111" s="19" t="str">
        <f ca="1">IFERROR(__xludf.DUMMYFUNCTION("IMPORTXML(AI111, ""//li[strong[text()='Initial Investment:']]"")"),"Loading...")</f>
        <v>Loading...</v>
      </c>
      <c r="K111" s="24"/>
      <c r="L111" s="20" t="str">
        <f ca="1">IFERROR(__xludf.DUMMYFUNCTION("IMPORTXML(AI111, ""//li[strong[text()='Category:']]"")"),"Loading...")</f>
        <v>Loading...</v>
      </c>
      <c r="M111" s="24"/>
      <c r="N111" s="19" t="str">
        <f ca="1">IFERROR(__xludf.DUMMYFUNCTION("IMPORTXML(AI111, ""//li[strong[text()='Global Sales:']]"")"),"Loading...")</f>
        <v>Loading...</v>
      </c>
      <c r="O111" s="24"/>
      <c r="P111" s="19" t="str">
        <f t="shared" si="0"/>
        <v/>
      </c>
      <c r="Q111" s="19" t="str">
        <f ca="1">IFERROR(__xludf.DUMMYFUNCTION("IMPORTXML(AI111, ""//li[strong[text()='US Units:']]"")"),"Loading...")</f>
        <v>Loading...</v>
      </c>
      <c r="R111" s="24"/>
      <c r="S111" s="19" t="str">
        <f ca="1">IFERROR(__xludf.DUMMYFUNCTION("IMPORTXML(AI111, ""//li[strong[text()='International Units:']]"")"),"Loading...")</f>
        <v>Loading...</v>
      </c>
      <c r="T111" s="44"/>
      <c r="U111" s="19" t="str">
        <f ca="1">IFERROR(__xludf.DUMMYFUNCTION("IMPORTXML(AI111, ""//li[strong[text()='Percent Franchised:']]"")"),"Loading...")</f>
        <v>Loading...</v>
      </c>
      <c r="V111" s="24"/>
      <c r="W111" s="19" t="str">
        <f ca="1">IFERROR(__xludf.DUMMYFUNCTION("IMPORTXML(AI111, ""//li[strong[text()='% International Units:']]"")"),"Loading...")</f>
        <v>Loading...</v>
      </c>
      <c r="X111" s="24"/>
      <c r="Y111" s="19" t="str">
        <f ca="1">IFERROR(__xludf.DUMMYFUNCTION("IMPORTXML(AI111, ""//li[strong[text()='US Franchised Units:']]"")"),"Loading...")</f>
        <v>Loading...</v>
      </c>
      <c r="Z111" s="24"/>
      <c r="AA111" s="14" t="str">
        <f t="shared" si="1"/>
        <v/>
      </c>
      <c r="AB111" s="19" t="str">
        <f ca="1">IFERROR(__xludf.DUMMYFUNCTION("IMPORTXML(AI111, ""//li[strong[text()='International Franchised Units:']]"")"),"Loading...")</f>
        <v>Loading...</v>
      </c>
      <c r="AC111" s="24"/>
      <c r="AD111" s="14" t="str">
        <f t="shared" si="2"/>
        <v/>
      </c>
      <c r="AE111" s="25" t="str">
        <f ca="1">IFERROR(__xludf.DUMMYFUNCTION("IMPORTXML(AI111, ""//li[strong[text()='Sales Growth %:']]"")"),"Loading...")</f>
        <v>Loading...</v>
      </c>
      <c r="AF111" s="24"/>
      <c r="AG111" s="25" t="str">
        <f ca="1">IFERROR(__xludf.DUMMYFUNCTION("IMPORTXML(AI111, ""//li[strong[text()='Unit Growth %:']]"")"),"Loading...")</f>
        <v>Loading...</v>
      </c>
      <c r="AH111" s="25"/>
      <c r="AI111" s="48" t="s">
        <v>126</v>
      </c>
      <c r="AJ111" s="27"/>
      <c r="AK111" s="27"/>
      <c r="AL111" s="27"/>
      <c r="AM111" s="27"/>
      <c r="AN111" s="27"/>
      <c r="AO111" s="27"/>
      <c r="AP111" s="27"/>
      <c r="AQ111" s="27"/>
    </row>
    <row r="112" spans="1:43" ht="14.25" customHeight="1">
      <c r="A112" s="42">
        <v>24.111000000000001</v>
      </c>
      <c r="B112" s="14">
        <v>2024</v>
      </c>
      <c r="C112" s="36">
        <v>111</v>
      </c>
      <c r="D112" s="16" t="str">
        <f ca="1">IFERROR(__xludf.DUMMYFUNCTION("IMPORTXML(AI112, ""//h1[@itemprop='headline']/span"")"),"111. Habit Burger &amp; Grill")</f>
        <v>111. Habit Burger &amp; Grill</v>
      </c>
      <c r="E112" s="17" t="str">
        <f ca="1">IFERROR(__xludf.DUMMYFUNCTION("REGEXEXTRACT(D112, ""\.\s*(.+)"")"),"Habit Burger &amp; Grill")</f>
        <v>Habit Burger &amp; Grill</v>
      </c>
      <c r="F112" s="18" t="str">
        <f ca="1">IFERROR(__xludf.DUMMYFUNCTION("IMPORTXML(AI112, ""//li[strong[text()='Investment Range:']]"")"),"#N/A")</f>
        <v>#N/A</v>
      </c>
      <c r="G112" s="43"/>
      <c r="H112" s="18" t="str">
        <f ca="1">IFERROR(__xludf.DUMMYFUNCTION("SUBSTITUTE(REGEXEXTRACT(G112, ""\$(\d{1,3}(?:,\d{3})*)""), "","", ""."")
"),"#N/A")</f>
        <v>#N/A</v>
      </c>
      <c r="I112" s="19" t="str">
        <f ca="1">IFERROR(__xludf.DUMMYFUNCTION("SUBSTITUTE(REGEXEXTRACT(G112, ""-\s*\$(\d{1,3}(?:,\d{3})*)""), "","", ""."")
"),"#N/A")</f>
        <v>#N/A</v>
      </c>
      <c r="J112" s="19" t="str">
        <f ca="1">IFERROR(__xludf.DUMMYFUNCTION("IMPORTXML(AI112, ""//li[strong[text()='Initial Investment:']]"")"),"Loading...")</f>
        <v>Loading...</v>
      </c>
      <c r="K112" s="24"/>
      <c r="L112" s="20" t="str">
        <f ca="1">IFERROR(__xludf.DUMMYFUNCTION("IMPORTXML(AI112, ""//li[strong[text()='Category:']]"")"),"Loading...")</f>
        <v>Loading...</v>
      </c>
      <c r="M112" s="24"/>
      <c r="N112" s="19" t="str">
        <f ca="1">IFERROR(__xludf.DUMMYFUNCTION("IMPORTXML(AI112, ""//li[strong[text()='Global Sales:']]"")"),"Loading...")</f>
        <v>Loading...</v>
      </c>
      <c r="O112" s="24"/>
      <c r="P112" s="19" t="str">
        <f t="shared" si="0"/>
        <v/>
      </c>
      <c r="Q112" s="19" t="str">
        <f ca="1">IFERROR(__xludf.DUMMYFUNCTION("IMPORTXML(AI112, ""//li[strong[text()='US Units:']]"")"),"Loading...")</f>
        <v>Loading...</v>
      </c>
      <c r="R112" s="24"/>
      <c r="S112" s="19" t="str">
        <f ca="1">IFERROR(__xludf.DUMMYFUNCTION("IMPORTXML(AI112, ""//li[strong[text()='International Units:']]"")"),"Loading...")</f>
        <v>Loading...</v>
      </c>
      <c r="T112" s="44"/>
      <c r="U112" s="19" t="str">
        <f ca="1">IFERROR(__xludf.DUMMYFUNCTION("IMPORTXML(AI112, ""//li[strong[text()='Percent Franchised:']]"")"),"Loading...")</f>
        <v>Loading...</v>
      </c>
      <c r="V112" s="24"/>
      <c r="W112" s="19" t="str">
        <f ca="1">IFERROR(__xludf.DUMMYFUNCTION("IMPORTXML(AI112, ""//li[strong[text()='% International Units:']]"")"),"Loading...")</f>
        <v>Loading...</v>
      </c>
      <c r="X112" s="24"/>
      <c r="Y112" s="19" t="str">
        <f ca="1">IFERROR(__xludf.DUMMYFUNCTION("IMPORTXML(AI112, ""//li[strong[text()='US Franchised Units:']]"")"),"Loading...")</f>
        <v>Loading...</v>
      </c>
      <c r="Z112" s="24"/>
      <c r="AA112" s="14" t="str">
        <f t="shared" si="1"/>
        <v/>
      </c>
      <c r="AB112" s="19" t="str">
        <f ca="1">IFERROR(__xludf.DUMMYFUNCTION("IMPORTXML(AI112, ""//li[strong[text()='International Franchised Units:']]"")"),"Loading...")</f>
        <v>Loading...</v>
      </c>
      <c r="AC112" s="24"/>
      <c r="AD112" s="14" t="str">
        <f t="shared" si="2"/>
        <v/>
      </c>
      <c r="AE112" s="25" t="str">
        <f ca="1">IFERROR(__xludf.DUMMYFUNCTION("IMPORTXML(AI112, ""//li[strong[text()='Sales Growth %:']]"")"),"Loading...")</f>
        <v>Loading...</v>
      </c>
      <c r="AF112" s="24"/>
      <c r="AG112" s="25" t="str">
        <f ca="1">IFERROR(__xludf.DUMMYFUNCTION("IMPORTXML(AI112, ""//li[strong[text()='Unit Growth %:']]"")"),"Loading...")</f>
        <v>Loading...</v>
      </c>
      <c r="AH112" s="25"/>
      <c r="AI112" s="48" t="s">
        <v>127</v>
      </c>
      <c r="AJ112" s="27"/>
      <c r="AK112" s="27"/>
      <c r="AL112" s="27"/>
      <c r="AM112" s="27"/>
      <c r="AN112" s="27"/>
      <c r="AO112" s="27"/>
      <c r="AP112" s="27"/>
      <c r="AQ112" s="27"/>
    </row>
    <row r="113" spans="1:43" ht="14.25" customHeight="1">
      <c r="A113" s="42">
        <v>24.111999999999998</v>
      </c>
      <c r="B113" s="14">
        <v>2024</v>
      </c>
      <c r="C113" s="15">
        <v>112</v>
      </c>
      <c r="D113" s="16" t="str">
        <f ca="1">IFERROR(__xludf.DUMMYFUNCTION("IMPORTXML(AI113, ""//h1[@itemprop='headline']/span"")"),"112. Jason’s Deli")</f>
        <v>112. Jason’s Deli</v>
      </c>
      <c r="E113" s="17" t="str">
        <f ca="1">IFERROR(__xludf.DUMMYFUNCTION("REGEXEXTRACT(D113, ""\.\s*(.+)"")"),"Jason’s Deli")</f>
        <v>Jason’s Deli</v>
      </c>
      <c r="F113" s="18" t="str">
        <f ca="1">IFERROR(__xludf.DUMMYFUNCTION("IMPORTXML(AI113, ""//li[strong[text()='Investment Range:']]"")"),"#N/A")</f>
        <v>#N/A</v>
      </c>
      <c r="G113" s="43"/>
      <c r="H113" s="18" t="str">
        <f ca="1">IFERROR(__xludf.DUMMYFUNCTION("SUBSTITUTE(REGEXEXTRACT(G113, ""\$(\d{1,3}(?:,\d{3})*)""), "","", ""."")
"),"#N/A")</f>
        <v>#N/A</v>
      </c>
      <c r="I113" s="19" t="str">
        <f ca="1">IFERROR(__xludf.DUMMYFUNCTION("SUBSTITUTE(REGEXEXTRACT(G113, ""-\s*\$(\d{1,3}(?:,\d{3})*)""), "","", ""."")
"),"#N/A")</f>
        <v>#N/A</v>
      </c>
      <c r="J113" s="19" t="str">
        <f ca="1">IFERROR(__xludf.DUMMYFUNCTION("IMPORTXML(AI113, ""//li[strong[text()='Initial Investment:']]"")"),"Loading...")</f>
        <v>Loading...</v>
      </c>
      <c r="K113" s="24"/>
      <c r="L113" s="20" t="str">
        <f ca="1">IFERROR(__xludf.DUMMYFUNCTION("IMPORTXML(AI113, ""//li[strong[text()='Category:']]"")"),"Loading...")</f>
        <v>Loading...</v>
      </c>
      <c r="M113" s="24"/>
      <c r="N113" s="19" t="str">
        <f ca="1">IFERROR(__xludf.DUMMYFUNCTION("IMPORTXML(AI113, ""//li[strong[text()='Global Sales:']]"")"),"Loading...")</f>
        <v>Loading...</v>
      </c>
      <c r="O113" s="24"/>
      <c r="P113" s="19" t="str">
        <f t="shared" si="0"/>
        <v/>
      </c>
      <c r="Q113" s="19" t="str">
        <f ca="1">IFERROR(__xludf.DUMMYFUNCTION("IMPORTXML(AI113, ""//li[strong[text()='US Units:']]"")"),"Loading...")</f>
        <v>Loading...</v>
      </c>
      <c r="R113" s="24"/>
      <c r="S113" s="19" t="str">
        <f ca="1">IFERROR(__xludf.DUMMYFUNCTION("IMPORTXML(AI113, ""//li[strong[text()='International Units:']]"")"),"Loading...")</f>
        <v>Loading...</v>
      </c>
      <c r="T113" s="44"/>
      <c r="U113" s="19" t="str">
        <f ca="1">IFERROR(__xludf.DUMMYFUNCTION("IMPORTXML(AI113, ""//li[strong[text()='Percent Franchised:']]"")"),"Loading...")</f>
        <v>Loading...</v>
      </c>
      <c r="V113" s="24"/>
      <c r="W113" s="19" t="str">
        <f ca="1">IFERROR(__xludf.DUMMYFUNCTION("IMPORTXML(AI113, ""//li[strong[text()='% International Units:']]"")"),"Loading...")</f>
        <v>Loading...</v>
      </c>
      <c r="X113" s="24"/>
      <c r="Y113" s="19" t="str">
        <f ca="1">IFERROR(__xludf.DUMMYFUNCTION("IMPORTXML(AI113, ""//li[strong[text()='US Franchised Units:']]"")"),"Loading...")</f>
        <v>Loading...</v>
      </c>
      <c r="Z113" s="24"/>
      <c r="AA113" s="14" t="str">
        <f t="shared" si="1"/>
        <v/>
      </c>
      <c r="AB113" s="19" t="str">
        <f ca="1">IFERROR(__xludf.DUMMYFUNCTION("IMPORTXML(AI113, ""//li[strong[text()='International Franchised Units:']]"")"),"Loading...")</f>
        <v>Loading...</v>
      </c>
      <c r="AC113" s="24"/>
      <c r="AD113" s="14" t="str">
        <f t="shared" si="2"/>
        <v/>
      </c>
      <c r="AE113" s="25" t="str">
        <f ca="1">IFERROR(__xludf.DUMMYFUNCTION("IMPORTXML(AI113, ""//li[strong[text()='Sales Growth %:']]"")"),"Loading...")</f>
        <v>Loading...</v>
      </c>
      <c r="AF113" s="24"/>
      <c r="AG113" s="25" t="str">
        <f ca="1">IFERROR(__xludf.DUMMYFUNCTION("IMPORTXML(AI113, ""//li[strong[text()='Unit Growth %:']]"")"),"Loading...")</f>
        <v>Loading...</v>
      </c>
      <c r="AH113" s="25"/>
      <c r="AI113" s="48" t="s">
        <v>128</v>
      </c>
      <c r="AJ113" s="27"/>
      <c r="AK113" s="27"/>
      <c r="AL113" s="27"/>
      <c r="AM113" s="27"/>
      <c r="AN113" s="27"/>
      <c r="AO113" s="27"/>
      <c r="AP113" s="27"/>
      <c r="AQ113" s="27"/>
    </row>
    <row r="114" spans="1:43" ht="14.25" customHeight="1">
      <c r="A114" s="42">
        <v>24.113</v>
      </c>
      <c r="B114" s="14">
        <v>2024</v>
      </c>
      <c r="C114" s="32">
        <v>113</v>
      </c>
      <c r="D114" s="16" t="str">
        <f ca="1">IFERROR(__xludf.DUMMYFUNCTION("IMPORTXML(AI114, ""//h1[@itemprop='headline']/span"")"),"113. HoneyBaked Ham")</f>
        <v>113. HoneyBaked Ham</v>
      </c>
      <c r="E114" s="17" t="str">
        <f ca="1">IFERROR(__xludf.DUMMYFUNCTION("REGEXEXTRACT(D114, ""\.\s*(.+)"")"),"HoneyBaked Ham")</f>
        <v>HoneyBaked Ham</v>
      </c>
      <c r="F114" s="18" t="str">
        <f ca="1">IFERROR(__xludf.DUMMYFUNCTION("IMPORTXML(AI114, ""//li[strong[text()='Investment Range:']]"")"),"#N/A")</f>
        <v>#N/A</v>
      </c>
      <c r="G114" s="43"/>
      <c r="H114" s="18" t="str">
        <f ca="1">IFERROR(__xludf.DUMMYFUNCTION("SUBSTITUTE(REGEXEXTRACT(G114, ""\$(\d{1,3}(?:,\d{3})*)""), "","", ""."")
"),"#N/A")</f>
        <v>#N/A</v>
      </c>
      <c r="I114" s="19" t="str">
        <f ca="1">IFERROR(__xludf.DUMMYFUNCTION("SUBSTITUTE(REGEXEXTRACT(G114, ""-\s*\$(\d{1,3}(?:,\d{3})*)""), "","", ""."")
"),"#N/A")</f>
        <v>#N/A</v>
      </c>
      <c r="J114" s="19" t="str">
        <f ca="1">IFERROR(__xludf.DUMMYFUNCTION("IMPORTXML(AI114, ""//li[strong[text()='Initial Investment:']]"")"),"Loading...")</f>
        <v>Loading...</v>
      </c>
      <c r="K114" s="24"/>
      <c r="L114" s="20" t="str">
        <f ca="1">IFERROR(__xludf.DUMMYFUNCTION("IMPORTXML(AI114, ""//li[strong[text()='Category:']]"")"),"Loading...")</f>
        <v>Loading...</v>
      </c>
      <c r="M114" s="24"/>
      <c r="N114" s="19" t="str">
        <f ca="1">IFERROR(__xludf.DUMMYFUNCTION("IMPORTXML(AI114, ""//li[strong[text()='Global Sales:']]"")"),"Loading...")</f>
        <v>Loading...</v>
      </c>
      <c r="O114" s="24"/>
      <c r="P114" s="19" t="str">
        <f t="shared" si="0"/>
        <v/>
      </c>
      <c r="Q114" s="19" t="str">
        <f ca="1">IFERROR(__xludf.DUMMYFUNCTION("IMPORTXML(AI114, ""//li[strong[text()='US Units:']]"")"),"Loading...")</f>
        <v>Loading...</v>
      </c>
      <c r="R114" s="24"/>
      <c r="S114" s="19" t="str">
        <f ca="1">IFERROR(__xludf.DUMMYFUNCTION("IMPORTXML(AI114, ""//li[strong[text()='International Units:']]"")"),"Loading...")</f>
        <v>Loading...</v>
      </c>
      <c r="T114" s="44"/>
      <c r="U114" s="19" t="str">
        <f ca="1">IFERROR(__xludf.DUMMYFUNCTION("IMPORTXML(AI114, ""//li[strong[text()='Percent Franchised:']]"")"),"#N/A")</f>
        <v>#N/A</v>
      </c>
      <c r="V114" s="24"/>
      <c r="W114" s="19" t="str">
        <f ca="1">IFERROR(__xludf.DUMMYFUNCTION("IMPORTXML(AI114, ""//li[strong[text()='% International Units:']]"")"),"Loading...")</f>
        <v>Loading...</v>
      </c>
      <c r="X114" s="24"/>
      <c r="Y114" s="19" t="str">
        <f ca="1">IFERROR(__xludf.DUMMYFUNCTION("IMPORTXML(AI114, ""//li[strong[text()='US Franchised Units:']]"")"),"Loading...")</f>
        <v>Loading...</v>
      </c>
      <c r="Z114" s="24"/>
      <c r="AA114" s="14" t="str">
        <f t="shared" si="1"/>
        <v/>
      </c>
      <c r="AB114" s="19" t="str">
        <f ca="1">IFERROR(__xludf.DUMMYFUNCTION("IMPORTXML(AI114, ""//li[strong[text()='International Franchised Units:']]"")"),"Loading...")</f>
        <v>Loading...</v>
      </c>
      <c r="AC114" s="24"/>
      <c r="AD114" s="14" t="str">
        <f t="shared" si="2"/>
        <v/>
      </c>
      <c r="AE114" s="25" t="str">
        <f ca="1">IFERROR(__xludf.DUMMYFUNCTION("IMPORTXML(AI114, ""//li[strong[text()='Sales Growth %:']]"")"),"#N/A")</f>
        <v>#N/A</v>
      </c>
      <c r="AF114" s="24"/>
      <c r="AG114" s="25" t="str">
        <f ca="1">IFERROR(__xludf.DUMMYFUNCTION("IMPORTXML(AI114, ""//li[strong[text()='Unit Growth %:']]"")"),"Loading...")</f>
        <v>Loading...</v>
      </c>
      <c r="AH114" s="25"/>
      <c r="AI114" s="48" t="s">
        <v>129</v>
      </c>
      <c r="AJ114" s="27"/>
      <c r="AK114" s="27"/>
      <c r="AL114" s="27"/>
      <c r="AM114" s="27"/>
      <c r="AN114" s="27"/>
      <c r="AO114" s="27"/>
      <c r="AP114" s="27"/>
      <c r="AQ114" s="27"/>
    </row>
    <row r="115" spans="1:43" ht="14.25" customHeight="1">
      <c r="A115" s="42">
        <v>24.114000000000001</v>
      </c>
      <c r="B115" s="14">
        <v>2024</v>
      </c>
      <c r="C115" s="36">
        <v>114</v>
      </c>
      <c r="D115" s="16" t="str">
        <f ca="1">IFERROR(__xludf.DUMMYFUNCTION("IMPORTXML(AI115, ""//h1[@itemprop='headline']/span"")"),"114. The Learning Experience")</f>
        <v>114. The Learning Experience</v>
      </c>
      <c r="E115" s="17" t="str">
        <f ca="1">IFERROR(__xludf.DUMMYFUNCTION("REGEXEXTRACT(D115, ""\.\s*(.+)"")"),"The Learning Experience")</f>
        <v>The Learning Experience</v>
      </c>
      <c r="F115" s="18" t="str">
        <f ca="1">IFERROR(__xludf.DUMMYFUNCTION("IMPORTXML(AI115, ""//li[strong[text()='Investment Range:']]"")"),"#N/A")</f>
        <v>#N/A</v>
      </c>
      <c r="G115" s="43"/>
      <c r="H115" s="18" t="str">
        <f ca="1">IFERROR(__xludf.DUMMYFUNCTION("SUBSTITUTE(REGEXEXTRACT(G115, ""\$(\d{1,3}(?:,\d{3})*)""), "","", ""."")
"),"#N/A")</f>
        <v>#N/A</v>
      </c>
      <c r="I115" s="19" t="str">
        <f ca="1">IFERROR(__xludf.DUMMYFUNCTION("SUBSTITUTE(REGEXEXTRACT(G115, ""-\s*\$(\d{1,3}(?:,\d{3})*)""), "","", ""."")
"),"#N/A")</f>
        <v>#N/A</v>
      </c>
      <c r="J115" s="19" t="str">
        <f ca="1">IFERROR(__xludf.DUMMYFUNCTION("IMPORTXML(AI115, ""//li[strong[text()='Initial Investment:']]"")"),"Loading...")</f>
        <v>Loading...</v>
      </c>
      <c r="K115" s="24"/>
      <c r="L115" s="20" t="str">
        <f ca="1">IFERROR(__xludf.DUMMYFUNCTION("IMPORTXML(AI115, ""//li[strong[text()='Category:']]"")"),"Loading...")</f>
        <v>Loading...</v>
      </c>
      <c r="M115" s="24"/>
      <c r="N115" s="19" t="str">
        <f ca="1">IFERROR(__xludf.DUMMYFUNCTION("IMPORTXML(AI115, ""//li[strong[text()='Global Sales:']]"")"),"Loading...")</f>
        <v>Loading...</v>
      </c>
      <c r="O115" s="24"/>
      <c r="P115" s="19" t="str">
        <f t="shared" si="0"/>
        <v/>
      </c>
      <c r="Q115" s="19" t="str">
        <f ca="1">IFERROR(__xludf.DUMMYFUNCTION("IMPORTXML(AI115, ""//li[strong[text()='US Units:']]"")"),"Loading...")</f>
        <v>Loading...</v>
      </c>
      <c r="R115" s="24"/>
      <c r="S115" s="19" t="str">
        <f ca="1">IFERROR(__xludf.DUMMYFUNCTION("IMPORTXML(AI115, ""//li[strong[text()='International Units:']]"")"),"Loading...")</f>
        <v>Loading...</v>
      </c>
      <c r="T115" s="44"/>
      <c r="U115" s="19" t="str">
        <f ca="1">IFERROR(__xludf.DUMMYFUNCTION("IMPORTXML(AI115, ""//li[strong[text()='Percent Franchised:']]"")"),"Loading...")</f>
        <v>Loading...</v>
      </c>
      <c r="V115" s="24"/>
      <c r="W115" s="19" t="str">
        <f ca="1">IFERROR(__xludf.DUMMYFUNCTION("IMPORTXML(AI115, ""//li[strong[text()='% International Units:']]"")"),"Loading...")</f>
        <v>Loading...</v>
      </c>
      <c r="X115" s="24"/>
      <c r="Y115" s="19" t="str">
        <f ca="1">IFERROR(__xludf.DUMMYFUNCTION("IMPORTXML(AI115, ""//li[strong[text()='US Franchised Units:']]"")"),"Loading...")</f>
        <v>Loading...</v>
      </c>
      <c r="Z115" s="24"/>
      <c r="AA115" s="14" t="str">
        <f t="shared" si="1"/>
        <v/>
      </c>
      <c r="AB115" s="19" t="str">
        <f ca="1">IFERROR(__xludf.DUMMYFUNCTION("IMPORTXML(AI115, ""//li[strong[text()='International Franchised Units:']]"")"),"Loading...")</f>
        <v>Loading...</v>
      </c>
      <c r="AC115" s="24"/>
      <c r="AD115" s="14" t="str">
        <f t="shared" si="2"/>
        <v/>
      </c>
      <c r="AE115" s="25" t="str">
        <f ca="1">IFERROR(__xludf.DUMMYFUNCTION("IMPORTXML(AI115, ""//li[strong[text()='Sales Growth %:']]"")"),"Loading...")</f>
        <v>Loading...</v>
      </c>
      <c r="AF115" s="24"/>
      <c r="AG115" s="25" t="str">
        <f ca="1">IFERROR(__xludf.DUMMYFUNCTION("IMPORTXML(AI115, ""//li[strong[text()='Unit Growth %:']]"")"),"Loading...")</f>
        <v>Loading...</v>
      </c>
      <c r="AH115" s="25"/>
      <c r="AI115" s="48" t="s">
        <v>130</v>
      </c>
      <c r="AJ115" s="27"/>
      <c r="AK115" s="27"/>
      <c r="AL115" s="27"/>
      <c r="AM115" s="27"/>
      <c r="AN115" s="27"/>
      <c r="AO115" s="27"/>
      <c r="AP115" s="27"/>
      <c r="AQ115" s="27"/>
    </row>
    <row r="116" spans="1:43" ht="14.25" customHeight="1">
      <c r="A116" s="42">
        <v>24.114999999999998</v>
      </c>
      <c r="B116" s="14">
        <v>2024</v>
      </c>
      <c r="C116" s="36">
        <v>115</v>
      </c>
      <c r="D116" s="16" t="str">
        <f ca="1">IFERROR(__xludf.DUMMYFUNCTION("IMPORTXML(AI116, ""//h1[@itemprop='headline']/span"")"),"115. Meineke Car Care Centers")</f>
        <v>115. Meineke Car Care Centers</v>
      </c>
      <c r="E116" s="17" t="str">
        <f ca="1">IFERROR(__xludf.DUMMYFUNCTION("REGEXEXTRACT(D116, ""\.\s*(.+)"")"),"Meineke Car Care Centers")</f>
        <v>Meineke Car Care Centers</v>
      </c>
      <c r="F116" s="18" t="str">
        <f ca="1">IFERROR(__xludf.DUMMYFUNCTION("IMPORTXML(AI116, ""//li[strong[text()='Investment Range:']]"")"),"#N/A")</f>
        <v>#N/A</v>
      </c>
      <c r="G116" s="43"/>
      <c r="H116" s="18" t="str">
        <f ca="1">IFERROR(__xludf.DUMMYFUNCTION("SUBSTITUTE(REGEXEXTRACT(G116, ""\$(\d{1,3}(?:,\d{3})*)""), "","", ""."")
"),"#N/A")</f>
        <v>#N/A</v>
      </c>
      <c r="I116" s="19" t="str">
        <f ca="1">IFERROR(__xludf.DUMMYFUNCTION("SUBSTITUTE(REGEXEXTRACT(G116, ""-\s*\$(\d{1,3}(?:,\d{3})*)""), "","", ""."")
"),"#N/A")</f>
        <v>#N/A</v>
      </c>
      <c r="J116" s="19" t="str">
        <f ca="1">IFERROR(__xludf.DUMMYFUNCTION("IMPORTXML(AI116, ""//li[strong[text()='Initial Investment:']]"")"),"Loading...")</f>
        <v>Loading...</v>
      </c>
      <c r="K116" s="24"/>
      <c r="L116" s="20" t="str">
        <f ca="1">IFERROR(__xludf.DUMMYFUNCTION("IMPORTXML(AI116, ""//li[strong[text()='Category:']]"")"),"Loading...")</f>
        <v>Loading...</v>
      </c>
      <c r="M116" s="24"/>
      <c r="N116" s="19" t="str">
        <f ca="1">IFERROR(__xludf.DUMMYFUNCTION("IMPORTXML(AI116, ""//li[strong[text()='Global Sales:']]"")"),"Loading...")</f>
        <v>Loading...</v>
      </c>
      <c r="O116" s="24"/>
      <c r="P116" s="19" t="str">
        <f t="shared" si="0"/>
        <v/>
      </c>
      <c r="Q116" s="19" t="str">
        <f ca="1">IFERROR(__xludf.DUMMYFUNCTION("IMPORTXML(AI116, ""//li[strong[text()='US Units:']]"")"),"Loading...")</f>
        <v>Loading...</v>
      </c>
      <c r="R116" s="24"/>
      <c r="S116" s="19" t="str">
        <f ca="1">IFERROR(__xludf.DUMMYFUNCTION("IMPORTXML(AI116, ""//li[strong[text()='International Units:']]"")"),"Loading...")</f>
        <v>Loading...</v>
      </c>
      <c r="T116" s="44"/>
      <c r="U116" s="19" t="str">
        <f ca="1">IFERROR(__xludf.DUMMYFUNCTION("IMPORTXML(AI116, ""//li[strong[text()='Percent Franchised:']]"")"),"Loading...")</f>
        <v>Loading...</v>
      </c>
      <c r="V116" s="24"/>
      <c r="W116" s="19" t="str">
        <f ca="1">IFERROR(__xludf.DUMMYFUNCTION("IMPORTXML(AI116, ""//li[strong[text()='% International Units:']]"")"),"Loading...")</f>
        <v>Loading...</v>
      </c>
      <c r="X116" s="24"/>
      <c r="Y116" s="19" t="str">
        <f ca="1">IFERROR(__xludf.DUMMYFUNCTION("IMPORTXML(AI116, ""//li[strong[text()='US Franchised Units:']]"")"),"Loading...")</f>
        <v>Loading...</v>
      </c>
      <c r="Z116" s="24"/>
      <c r="AA116" s="14" t="str">
        <f t="shared" si="1"/>
        <v/>
      </c>
      <c r="AB116" s="19" t="str">
        <f ca="1">IFERROR(__xludf.DUMMYFUNCTION("IMPORTXML(AI116, ""//li[strong[text()='International Franchised Units:']]"")"),"Loading...")</f>
        <v>Loading...</v>
      </c>
      <c r="AC116" s="24"/>
      <c r="AD116" s="14" t="str">
        <f t="shared" si="2"/>
        <v/>
      </c>
      <c r="AE116" s="25" t="str">
        <f ca="1">IFERROR(__xludf.DUMMYFUNCTION("IMPORTXML(AI116, ""//li[strong[text()='Sales Growth %:']]"")"),"Loading...")</f>
        <v>Loading...</v>
      </c>
      <c r="AF116" s="24"/>
      <c r="AG116" s="25" t="str">
        <f ca="1">IFERROR(__xludf.DUMMYFUNCTION("IMPORTXML(AI116, ""//li[strong[text()='Unit Growth %:']]"")"),"Loading...")</f>
        <v>Loading...</v>
      </c>
      <c r="AH116" s="25"/>
      <c r="AI116" s="48" t="s">
        <v>131</v>
      </c>
      <c r="AJ116" s="27"/>
      <c r="AK116" s="27"/>
      <c r="AL116" s="27"/>
      <c r="AM116" s="27"/>
      <c r="AN116" s="27"/>
      <c r="AO116" s="27"/>
      <c r="AP116" s="27"/>
      <c r="AQ116" s="27"/>
    </row>
    <row r="117" spans="1:43" ht="14.25" customHeight="1">
      <c r="A117" s="42">
        <v>24.116</v>
      </c>
      <c r="B117" s="14">
        <v>2024</v>
      </c>
      <c r="C117" s="15">
        <v>116</v>
      </c>
      <c r="D117" s="16" t="str">
        <f ca="1">IFERROR(__xludf.DUMMYFUNCTION("IMPORTXML(AI117, ""//h1[@itemprop='headline']/span"")"),"116. Plato’s Closet")</f>
        <v>116. Plato’s Closet</v>
      </c>
      <c r="E117" s="17" t="str">
        <f ca="1">IFERROR(__xludf.DUMMYFUNCTION("REGEXEXTRACT(D117, ""\.\s*(.+)"")"),"Plato’s Closet")</f>
        <v>Plato’s Closet</v>
      </c>
      <c r="F117" s="18" t="str">
        <f ca="1">IFERROR(__xludf.DUMMYFUNCTION("IMPORTXML(AI117, ""//li[strong[text()='Investment Range:']]"")"),"#N/A")</f>
        <v>#N/A</v>
      </c>
      <c r="G117" s="43"/>
      <c r="H117" s="18" t="str">
        <f ca="1">IFERROR(__xludf.DUMMYFUNCTION("SUBSTITUTE(REGEXEXTRACT(G117, ""\$(\d{1,3}(?:,\d{3})*)""), "","", ""."")
"),"#N/A")</f>
        <v>#N/A</v>
      </c>
      <c r="I117" s="19" t="str">
        <f ca="1">IFERROR(__xludf.DUMMYFUNCTION("SUBSTITUTE(REGEXEXTRACT(G117, ""-\s*\$(\d{1,3}(?:,\d{3})*)""), "","", ""."")
"),"#N/A")</f>
        <v>#N/A</v>
      </c>
      <c r="J117" s="19" t="str">
        <f ca="1">IFERROR(__xludf.DUMMYFUNCTION("IMPORTXML(AI117, ""//li[strong[text()='Initial Investment:']]"")"),"Loading...")</f>
        <v>Loading...</v>
      </c>
      <c r="K117" s="24"/>
      <c r="L117" s="20" t="str">
        <f ca="1">IFERROR(__xludf.DUMMYFUNCTION("IMPORTXML(AI117, ""//li[strong[text()='Category:']]"")"),"Loading...")</f>
        <v>Loading...</v>
      </c>
      <c r="M117" s="24"/>
      <c r="N117" s="19" t="str">
        <f ca="1">IFERROR(__xludf.DUMMYFUNCTION("IMPORTXML(AI117, ""//li[strong[text()='Global Sales:']]"")"),"Loading...")</f>
        <v>Loading...</v>
      </c>
      <c r="O117" s="24"/>
      <c r="P117" s="19" t="str">
        <f t="shared" si="0"/>
        <v/>
      </c>
      <c r="Q117" s="19" t="str">
        <f ca="1">IFERROR(__xludf.DUMMYFUNCTION("IMPORTXML(AI117, ""//li[strong[text()='US Units:']]"")"),"Loading...")</f>
        <v>Loading...</v>
      </c>
      <c r="R117" s="24"/>
      <c r="S117" s="19" t="str">
        <f ca="1">IFERROR(__xludf.DUMMYFUNCTION("IMPORTXML(AI117, ""//li[strong[text()='International Units:']]"")"),"#N/A")</f>
        <v>#N/A</v>
      </c>
      <c r="T117" s="44"/>
      <c r="U117" s="19" t="str">
        <f ca="1">IFERROR(__xludf.DUMMYFUNCTION("IMPORTXML(AI117, ""//li[strong[text()='Percent Franchised:']]"")"),"Loading...")</f>
        <v>Loading...</v>
      </c>
      <c r="V117" s="24"/>
      <c r="W117" s="19" t="str">
        <f ca="1">IFERROR(__xludf.DUMMYFUNCTION("IMPORTXML(AI117, ""//li[strong[text()='% International Units:']]"")"),"Loading...")</f>
        <v>Loading...</v>
      </c>
      <c r="X117" s="24"/>
      <c r="Y117" s="19" t="str">
        <f ca="1">IFERROR(__xludf.DUMMYFUNCTION("IMPORTXML(AI117, ""//li[strong[text()='US Franchised Units:']]"")"),"Loading...")</f>
        <v>Loading...</v>
      </c>
      <c r="Z117" s="24"/>
      <c r="AA117" s="14" t="str">
        <f t="shared" si="1"/>
        <v/>
      </c>
      <c r="AB117" s="19" t="str">
        <f ca="1">IFERROR(__xludf.DUMMYFUNCTION("IMPORTXML(AI117, ""//li[strong[text()='International Franchised Units:']]"")"),"Loading...")</f>
        <v>Loading...</v>
      </c>
      <c r="AC117" s="24"/>
      <c r="AD117" s="14" t="str">
        <f t="shared" si="2"/>
        <v/>
      </c>
      <c r="AE117" s="25" t="str">
        <f ca="1">IFERROR(__xludf.DUMMYFUNCTION("IMPORTXML(AI117, ""//li[strong[text()='Sales Growth %:']]"")"),"Loading...")</f>
        <v>Loading...</v>
      </c>
      <c r="AF117" s="24"/>
      <c r="AG117" s="25" t="str">
        <f ca="1">IFERROR(__xludf.DUMMYFUNCTION("IMPORTXML(AI117, ""//li[strong[text()='Unit Growth %:']]"")"),"Loading...")</f>
        <v>Loading...</v>
      </c>
      <c r="AH117" s="25"/>
      <c r="AI117" s="48" t="s">
        <v>132</v>
      </c>
      <c r="AJ117" s="27"/>
      <c r="AK117" s="27"/>
      <c r="AL117" s="27"/>
      <c r="AM117" s="27"/>
      <c r="AN117" s="27"/>
      <c r="AO117" s="27"/>
      <c r="AP117" s="27"/>
      <c r="AQ117" s="27"/>
    </row>
    <row r="118" spans="1:43" ht="14.25" customHeight="1">
      <c r="A118" s="42">
        <v>24.117000000000001</v>
      </c>
      <c r="B118" s="14">
        <v>2024</v>
      </c>
      <c r="C118" s="32">
        <v>117</v>
      </c>
      <c r="D118" s="16" t="str">
        <f ca="1">IFERROR(__xludf.DUMMYFUNCTION("IMPORTXML(AI118, ""//h1[@itemprop='headline']/span"")"),"117. Pirtek")</f>
        <v>117. Pirtek</v>
      </c>
      <c r="E118" s="17" t="str">
        <f ca="1">IFERROR(__xludf.DUMMYFUNCTION("REGEXEXTRACT(D118, ""\.\s*(.+)"")"),"Pirtek")</f>
        <v>Pirtek</v>
      </c>
      <c r="F118" s="18" t="str">
        <f ca="1">IFERROR(__xludf.DUMMYFUNCTION("IMPORTXML(AI118, ""//li[strong[text()='Investment Range:']]"")"),"#N/A")</f>
        <v>#N/A</v>
      </c>
      <c r="G118" s="43"/>
      <c r="H118" s="18" t="str">
        <f ca="1">IFERROR(__xludf.DUMMYFUNCTION("SUBSTITUTE(REGEXEXTRACT(G118, ""\$(\d{1,3}(?:,\d{3})*)""), "","", ""."")
"),"#N/A")</f>
        <v>#N/A</v>
      </c>
      <c r="I118" s="19" t="str">
        <f ca="1">IFERROR(__xludf.DUMMYFUNCTION("SUBSTITUTE(REGEXEXTRACT(G118, ""-\s*\$(\d{1,3}(?:,\d{3})*)""), "","", ""."")
"),"#N/A")</f>
        <v>#N/A</v>
      </c>
      <c r="J118" s="19" t="str">
        <f ca="1">IFERROR(__xludf.DUMMYFUNCTION("IMPORTXML(AI118, ""//li[strong[text()='Initial Investment:']]"")"),"Loading...")</f>
        <v>Loading...</v>
      </c>
      <c r="K118" s="24"/>
      <c r="L118" s="20" t="str">
        <f ca="1">IFERROR(__xludf.DUMMYFUNCTION("IMPORTXML(AI118, ""//li[strong[text()='Category:']]"")"),"Loading...")</f>
        <v>Loading...</v>
      </c>
      <c r="M118" s="24"/>
      <c r="N118" s="19" t="str">
        <f ca="1">IFERROR(__xludf.DUMMYFUNCTION("IMPORTXML(AI118, ""//li[strong[text()='Global Sales:']]"")"),"Loading...")</f>
        <v>Loading...</v>
      </c>
      <c r="O118" s="24"/>
      <c r="P118" s="19" t="str">
        <f t="shared" si="0"/>
        <v/>
      </c>
      <c r="Q118" s="19" t="str">
        <f ca="1">IFERROR(__xludf.DUMMYFUNCTION("IMPORTXML(AI118, ""//li[strong[text()='US Units:']]"")"),"Loading...")</f>
        <v>Loading...</v>
      </c>
      <c r="R118" s="24"/>
      <c r="S118" s="19" t="str">
        <f ca="1">IFERROR(__xludf.DUMMYFUNCTION("IMPORTXML(AI118, ""//li[strong[text()='International Units:']]"")"),"Loading...")</f>
        <v>Loading...</v>
      </c>
      <c r="T118" s="44"/>
      <c r="U118" s="19" t="str">
        <f ca="1">IFERROR(__xludf.DUMMYFUNCTION("IMPORTXML(AI118, ""//li[strong[text()='Percent Franchised:']]"")"),"Loading...")</f>
        <v>Loading...</v>
      </c>
      <c r="V118" s="24"/>
      <c r="W118" s="19" t="str">
        <f ca="1">IFERROR(__xludf.DUMMYFUNCTION("IMPORTXML(AI118, ""//li[strong[text()='% International Units:']]"")"),"Loading...")</f>
        <v>Loading...</v>
      </c>
      <c r="X118" s="24"/>
      <c r="Y118" s="19" t="str">
        <f ca="1">IFERROR(__xludf.DUMMYFUNCTION("IMPORTXML(AI118, ""//li[strong[text()='US Franchised Units:']]"")"),"Loading...")</f>
        <v>Loading...</v>
      </c>
      <c r="Z118" s="24"/>
      <c r="AA118" s="14" t="str">
        <f t="shared" si="1"/>
        <v/>
      </c>
      <c r="AB118" s="19" t="str">
        <f ca="1">IFERROR(__xludf.DUMMYFUNCTION("IMPORTXML(AI118, ""//li[strong[text()='International Franchised Units:']]"")"),"Loading...")</f>
        <v>Loading...</v>
      </c>
      <c r="AC118" s="24"/>
      <c r="AD118" s="14" t="str">
        <f t="shared" si="2"/>
        <v/>
      </c>
      <c r="AE118" s="25" t="str">
        <f ca="1">IFERROR(__xludf.DUMMYFUNCTION("IMPORTXML(AI118, ""//li[strong[text()='Sales Growth %:']]"")"),"Loading...")</f>
        <v>Loading...</v>
      </c>
      <c r="AF118" s="24"/>
      <c r="AG118" s="25" t="str">
        <f ca="1">IFERROR(__xludf.DUMMYFUNCTION("IMPORTXML(AI118, ""//li[strong[text()='Unit Growth %:']]"")"),"Loading...")</f>
        <v>Loading...</v>
      </c>
      <c r="AH118" s="25"/>
      <c r="AI118" s="48" t="s">
        <v>133</v>
      </c>
      <c r="AJ118" s="27"/>
      <c r="AK118" s="27"/>
      <c r="AL118" s="27"/>
      <c r="AM118" s="27"/>
      <c r="AN118" s="27"/>
      <c r="AO118" s="27"/>
      <c r="AP118" s="27"/>
      <c r="AQ118" s="27"/>
    </row>
    <row r="119" spans="1:43" ht="14.25" customHeight="1">
      <c r="A119" s="42">
        <v>24.117999999999999</v>
      </c>
      <c r="B119" s="14">
        <v>2024</v>
      </c>
      <c r="C119" s="36">
        <v>118</v>
      </c>
      <c r="D119" s="16" t="str">
        <f ca="1">IFERROR(__xludf.DUMMYFUNCTION("IMPORTXML(AI119, ""//h1[@itemprop='headline']/span"")"),"118. Miracle-Ear")</f>
        <v>118. Miracle-Ear</v>
      </c>
      <c r="E119" s="17" t="str">
        <f ca="1">IFERROR(__xludf.DUMMYFUNCTION("REGEXEXTRACT(D119, ""\.\s*(.+)"")"),"Miracle-Ear")</f>
        <v>Miracle-Ear</v>
      </c>
      <c r="F119" s="18" t="str">
        <f ca="1">IFERROR(__xludf.DUMMYFUNCTION("IMPORTXML(AI119, ""//li[strong[text()='Investment Range:']]"")"),"Investment Range:")</f>
        <v>Investment Range:</v>
      </c>
      <c r="G119" s="43" t="str">
        <f ca="1">IFERROR(__xludf.DUMMYFUNCTION("""COMPUTED_VALUE""")," $119,500 - $352,500")</f>
        <v xml:space="preserve"> $119,500 - $352,500</v>
      </c>
      <c r="H119" s="18" t="str">
        <f ca="1">IFERROR(__xludf.DUMMYFUNCTION("SUBSTITUTE(REGEXEXTRACT(G119, ""\$(\d{1,3}(?:,\d{3})*)""), "","", ""."")
"),"119.500")</f>
        <v>119.500</v>
      </c>
      <c r="I119" s="19" t="str">
        <f ca="1">IFERROR(__xludf.DUMMYFUNCTION("SUBSTITUTE(REGEXEXTRACT(G119, ""-\s*\$(\d{1,3}(?:,\d{3})*)""), "","", ""."")
"),"352.500")</f>
        <v>352.500</v>
      </c>
      <c r="J119" s="19" t="str">
        <f ca="1">IFERROR(__xludf.DUMMYFUNCTION("IMPORTXML(AI119, ""//li[strong[text()='Initial Investment:']]"")"),"Loading...")</f>
        <v>Loading...</v>
      </c>
      <c r="K119" s="24"/>
      <c r="L119" s="20" t="str">
        <f ca="1">IFERROR(__xludf.DUMMYFUNCTION("IMPORTXML(AI119, ""//li[strong[text()='Category:']]"")"),"Loading...")</f>
        <v>Loading...</v>
      </c>
      <c r="M119" s="24"/>
      <c r="N119" s="19" t="str">
        <f ca="1">IFERROR(__xludf.DUMMYFUNCTION("IMPORTXML(AI119, ""//li[strong[text()='Global Sales:']]"")"),"Loading...")</f>
        <v>Loading...</v>
      </c>
      <c r="O119" s="24"/>
      <c r="P119" s="19" t="str">
        <f t="shared" si="0"/>
        <v/>
      </c>
      <c r="Q119" s="19" t="str">
        <f ca="1">IFERROR(__xludf.DUMMYFUNCTION("IMPORTXML(AI119, ""//li[strong[text()='US Units:']]"")"),"Loading...")</f>
        <v>Loading...</v>
      </c>
      <c r="R119" s="24"/>
      <c r="S119" s="19" t="str">
        <f ca="1">IFERROR(__xludf.DUMMYFUNCTION("IMPORTXML(AI119, ""//li[strong[text()='International Units:']]"")"),"Loading...")</f>
        <v>Loading...</v>
      </c>
      <c r="T119" s="44"/>
      <c r="U119" s="19" t="str">
        <f ca="1">IFERROR(__xludf.DUMMYFUNCTION("IMPORTXML(AI119, ""//li[strong[text()='Percent Franchised:']]"")"),"Loading...")</f>
        <v>Loading...</v>
      </c>
      <c r="V119" s="24"/>
      <c r="W119" s="19" t="str">
        <f ca="1">IFERROR(__xludf.DUMMYFUNCTION("IMPORTXML(AI119, ""//li[strong[text()='% International Units:']]"")"),"Loading...")</f>
        <v>Loading...</v>
      </c>
      <c r="X119" s="24"/>
      <c r="Y119" s="19" t="str">
        <f ca="1">IFERROR(__xludf.DUMMYFUNCTION("IMPORTXML(AI119, ""//li[strong[text()='US Franchised Units:']]"")"),"Loading...")</f>
        <v>Loading...</v>
      </c>
      <c r="Z119" s="24"/>
      <c r="AA119" s="14" t="str">
        <f t="shared" si="1"/>
        <v/>
      </c>
      <c r="AB119" s="19" t="str">
        <f ca="1">IFERROR(__xludf.DUMMYFUNCTION("IMPORTXML(AI119, ""//li[strong[text()='International Franchised Units:']]"")"),"Loading...")</f>
        <v>Loading...</v>
      </c>
      <c r="AC119" s="24"/>
      <c r="AD119" s="14" t="str">
        <f t="shared" si="2"/>
        <v/>
      </c>
      <c r="AE119" s="25" t="str">
        <f ca="1">IFERROR(__xludf.DUMMYFUNCTION("IMPORTXML(AI119, ""//li[strong[text()='Sales Growth %:']]"")"),"Loading...")</f>
        <v>Loading...</v>
      </c>
      <c r="AF119" s="24"/>
      <c r="AG119" s="25" t="str">
        <f ca="1">IFERROR(__xludf.DUMMYFUNCTION("IMPORTXML(AI119, ""//li[strong[text()='Unit Growth %:']]"")"),"Loading...")</f>
        <v>Loading...</v>
      </c>
      <c r="AH119" s="25"/>
      <c r="AI119" s="48" t="s">
        <v>134</v>
      </c>
      <c r="AJ119" s="27"/>
      <c r="AK119" s="27"/>
      <c r="AL119" s="27"/>
      <c r="AM119" s="27"/>
      <c r="AN119" s="27"/>
      <c r="AO119" s="27"/>
      <c r="AP119" s="27"/>
      <c r="AQ119" s="27"/>
    </row>
    <row r="120" spans="1:43" ht="14.25" customHeight="1">
      <c r="A120" s="42">
        <v>24.119</v>
      </c>
      <c r="B120" s="14">
        <v>2024</v>
      </c>
      <c r="C120" s="36">
        <v>119</v>
      </c>
      <c r="D120" s="16" t="str">
        <f ca="1">IFERROR(__xludf.DUMMYFUNCTION("IMPORTXML(AI120, ""//h1[@itemprop='headline']/span"")"),"119. Jan-Pro")</f>
        <v>119. Jan-Pro</v>
      </c>
      <c r="E120" s="17" t="str">
        <f ca="1">IFERROR(__xludf.DUMMYFUNCTION("REGEXEXTRACT(D120, ""\.\s*(.+)"")"),"Jan-Pro")</f>
        <v>Jan-Pro</v>
      </c>
      <c r="F120" s="18" t="str">
        <f ca="1">IFERROR(__xludf.DUMMYFUNCTION("IMPORTXML(AI120, ""//li[strong[text()='Investment Range:']]"")"),"#N/A")</f>
        <v>#N/A</v>
      </c>
      <c r="G120" s="43"/>
      <c r="H120" s="18" t="str">
        <f ca="1">IFERROR(__xludf.DUMMYFUNCTION("SUBSTITUTE(REGEXEXTRACT(G120, ""\$(\d{1,3}(?:,\d{3})*)""), "","", ""."")
"),"#N/A")</f>
        <v>#N/A</v>
      </c>
      <c r="I120" s="19" t="str">
        <f ca="1">IFERROR(__xludf.DUMMYFUNCTION("SUBSTITUTE(REGEXEXTRACT(G120, ""-\s*\$(\d{1,3}(?:,\d{3})*)""), "","", ""."")
"),"#N/A")</f>
        <v>#N/A</v>
      </c>
      <c r="J120" s="19" t="str">
        <f ca="1">IFERROR(__xludf.DUMMYFUNCTION("IMPORTXML(AI120, ""//li[strong[text()='Initial Investment:']]"")"),"Loading...")</f>
        <v>Loading...</v>
      </c>
      <c r="K120" s="24"/>
      <c r="L120" s="20" t="str">
        <f ca="1">IFERROR(__xludf.DUMMYFUNCTION("IMPORTXML(AI120, ""//li[strong[text()='Category:']]"")"),"Loading...")</f>
        <v>Loading...</v>
      </c>
      <c r="M120" s="24"/>
      <c r="N120" s="19" t="str">
        <f ca="1">IFERROR(__xludf.DUMMYFUNCTION("IMPORTXML(AI120, ""//li[strong[text()='Global Sales:']]"")"),"Loading...")</f>
        <v>Loading...</v>
      </c>
      <c r="O120" s="24"/>
      <c r="P120" s="19" t="str">
        <f t="shared" si="0"/>
        <v/>
      </c>
      <c r="Q120" s="19" t="str">
        <f ca="1">IFERROR(__xludf.DUMMYFUNCTION("IMPORTXML(AI120, ""//li[strong[text()='US Units:']]"")"),"Loading...")</f>
        <v>Loading...</v>
      </c>
      <c r="R120" s="24"/>
      <c r="S120" s="19" t="str">
        <f ca="1">IFERROR(__xludf.DUMMYFUNCTION("IMPORTXML(AI120, ""//li[strong[text()='International Units:']]"")"),"Loading...")</f>
        <v>Loading...</v>
      </c>
      <c r="T120" s="44"/>
      <c r="U120" s="19" t="str">
        <f ca="1">IFERROR(__xludf.DUMMYFUNCTION("IMPORTXML(AI120, ""//li[strong[text()='Percent Franchised:']]"")"),"Loading...")</f>
        <v>Loading...</v>
      </c>
      <c r="V120" s="24"/>
      <c r="W120" s="19" t="str">
        <f ca="1">IFERROR(__xludf.DUMMYFUNCTION("IMPORTXML(AI120, ""//li[strong[text()='% International Units:']]"")"),"Loading...")</f>
        <v>Loading...</v>
      </c>
      <c r="X120" s="24"/>
      <c r="Y120" s="19" t="str">
        <f ca="1">IFERROR(__xludf.DUMMYFUNCTION("IMPORTXML(AI120, ""//li[strong[text()='US Franchised Units:']]"")"),"Loading...")</f>
        <v>Loading...</v>
      </c>
      <c r="Z120" s="24"/>
      <c r="AA120" s="14" t="str">
        <f t="shared" si="1"/>
        <v/>
      </c>
      <c r="AB120" s="19" t="str">
        <f ca="1">IFERROR(__xludf.DUMMYFUNCTION("IMPORTXML(AI120, ""//li[strong[text()='International Franchised Units:']]"")"),"Loading...")</f>
        <v>Loading...</v>
      </c>
      <c r="AC120" s="24"/>
      <c r="AD120" s="14" t="str">
        <f t="shared" si="2"/>
        <v/>
      </c>
      <c r="AE120" s="25" t="str">
        <f ca="1">IFERROR(__xludf.DUMMYFUNCTION("IMPORTXML(AI120, ""//li[strong[text()='Sales Growth %:']]"")"),"Loading...")</f>
        <v>Loading...</v>
      </c>
      <c r="AF120" s="24"/>
      <c r="AG120" s="25" t="str">
        <f ca="1">IFERROR(__xludf.DUMMYFUNCTION("IMPORTXML(AI120, ""//li[strong[text()='Unit Growth %:']]"")"),"Loading...")</f>
        <v>Loading...</v>
      </c>
      <c r="AH120" s="25"/>
      <c r="AI120" s="48" t="s">
        <v>135</v>
      </c>
      <c r="AJ120" s="27"/>
      <c r="AK120" s="27"/>
      <c r="AL120" s="27"/>
      <c r="AM120" s="27"/>
      <c r="AN120" s="27"/>
      <c r="AO120" s="27"/>
      <c r="AP120" s="27"/>
      <c r="AQ120" s="27"/>
    </row>
    <row r="121" spans="1:43" ht="14.25" customHeight="1">
      <c r="A121" s="42">
        <v>24.12</v>
      </c>
      <c r="B121" s="14">
        <v>2024</v>
      </c>
      <c r="C121" s="15">
        <v>120</v>
      </c>
      <c r="D121" s="16" t="str">
        <f ca="1">IFERROR(__xludf.DUMMYFUNCTION("IMPORTXML(AI121, ""//h1[@itemprop='headline']/span"")"),"120. Kampgrounds of America")</f>
        <v>120. Kampgrounds of America</v>
      </c>
      <c r="E121" s="17" t="str">
        <f ca="1">IFERROR(__xludf.DUMMYFUNCTION("REGEXEXTRACT(D121, ""\.\s*(.+)"")"),"Kampgrounds of America")</f>
        <v>Kampgrounds of America</v>
      </c>
      <c r="F121" s="18" t="str">
        <f ca="1">IFERROR(__xludf.DUMMYFUNCTION("IMPORTXML(AI121, ""//li[strong[text()='Investment Range:']]"")"),"#N/A")</f>
        <v>#N/A</v>
      </c>
      <c r="G121" s="43"/>
      <c r="H121" s="18" t="str">
        <f ca="1">IFERROR(__xludf.DUMMYFUNCTION("SUBSTITUTE(REGEXEXTRACT(G121, ""\$(\d{1,3}(?:,\d{3})*)""), "","", ""."")
"),"#N/A")</f>
        <v>#N/A</v>
      </c>
      <c r="I121" s="19" t="str">
        <f ca="1">IFERROR(__xludf.DUMMYFUNCTION("SUBSTITUTE(REGEXEXTRACT(G121, ""-\s*\$(\d{1,3}(?:,\d{3})*)""), "","", ""."")
"),"#N/A")</f>
        <v>#N/A</v>
      </c>
      <c r="J121" s="19" t="str">
        <f ca="1">IFERROR(__xludf.DUMMYFUNCTION("IMPORTXML(AI121, ""//li[strong[text()='Initial Investment:']]"")"),"Loading...")</f>
        <v>Loading...</v>
      </c>
      <c r="K121" s="24"/>
      <c r="L121" s="20" t="str">
        <f ca="1">IFERROR(__xludf.DUMMYFUNCTION("IMPORTXML(AI121, ""//li[strong[text()='Category:']]"")"),"Loading...")</f>
        <v>Loading...</v>
      </c>
      <c r="M121" s="24"/>
      <c r="N121" s="19" t="str">
        <f ca="1">IFERROR(__xludf.DUMMYFUNCTION("IMPORTXML(AI121, ""//li[strong[text()='Global Sales:']]"")"),"Loading...")</f>
        <v>Loading...</v>
      </c>
      <c r="O121" s="24"/>
      <c r="P121" s="19" t="str">
        <f t="shared" si="0"/>
        <v/>
      </c>
      <c r="Q121" s="19" t="str">
        <f ca="1">IFERROR(__xludf.DUMMYFUNCTION("IMPORTXML(AI121, ""//li[strong[text()='US Units:']]"")"),"Loading...")</f>
        <v>Loading...</v>
      </c>
      <c r="R121" s="24"/>
      <c r="S121" s="19" t="str">
        <f ca="1">IFERROR(__xludf.DUMMYFUNCTION("IMPORTXML(AI121, ""//li[strong[text()='International Units:']]"")"),"Loading...")</f>
        <v>Loading...</v>
      </c>
      <c r="T121" s="44"/>
      <c r="U121" s="19" t="str">
        <f ca="1">IFERROR(__xludf.DUMMYFUNCTION("IMPORTXML(AI121, ""//li[strong[text()='Percent Franchised:']]"")"),"Loading...")</f>
        <v>Loading...</v>
      </c>
      <c r="V121" s="24"/>
      <c r="W121" s="19" t="str">
        <f ca="1">IFERROR(__xludf.DUMMYFUNCTION("IMPORTXML(AI121, ""//li[strong[text()='% International Units:']]"")"),"Loading...")</f>
        <v>Loading...</v>
      </c>
      <c r="X121" s="24"/>
      <c r="Y121" s="19" t="str">
        <f ca="1">IFERROR(__xludf.DUMMYFUNCTION("IMPORTXML(AI121, ""//li[strong[text()='US Franchised Units:']]"")"),"Loading...")</f>
        <v>Loading...</v>
      </c>
      <c r="Z121" s="24"/>
      <c r="AA121" s="14" t="str">
        <f t="shared" si="1"/>
        <v/>
      </c>
      <c r="AB121" s="19" t="str">
        <f ca="1">IFERROR(__xludf.DUMMYFUNCTION("IMPORTXML(AI121, ""//li[strong[text()='International Franchised Units:']]"")"),"Loading...")</f>
        <v>Loading...</v>
      </c>
      <c r="AC121" s="24"/>
      <c r="AD121" s="14" t="str">
        <f t="shared" si="2"/>
        <v/>
      </c>
      <c r="AE121" s="25" t="str">
        <f ca="1">IFERROR(__xludf.DUMMYFUNCTION("IMPORTXML(AI121, ""//li[strong[text()='Sales Growth %:']]"")"),"Loading...")</f>
        <v>Loading...</v>
      </c>
      <c r="AF121" s="24"/>
      <c r="AG121" s="25" t="str">
        <f ca="1">IFERROR(__xludf.DUMMYFUNCTION("IMPORTXML(AI121, ""//li[strong[text()='Unit Growth %:']]"")"),"Loading...")</f>
        <v>Loading...</v>
      </c>
      <c r="AH121" s="25"/>
      <c r="AI121" s="48" t="s">
        <v>136</v>
      </c>
      <c r="AJ121" s="27"/>
      <c r="AK121" s="27"/>
      <c r="AL121" s="27"/>
      <c r="AM121" s="27"/>
      <c r="AN121" s="27"/>
      <c r="AO121" s="27"/>
      <c r="AP121" s="27"/>
      <c r="AQ121" s="27"/>
    </row>
    <row r="122" spans="1:43" ht="14.25" customHeight="1">
      <c r="A122" s="42">
        <v>24.120999999999999</v>
      </c>
      <c r="B122" s="14">
        <v>2024</v>
      </c>
      <c r="C122" s="32">
        <v>121</v>
      </c>
      <c r="D122" s="16" t="str">
        <f ca="1">IFERROR(__xludf.DUMMYFUNCTION("IMPORTXML(AI122, ""//h1[@itemprop='headline']/span"")"),"121. Proforma")</f>
        <v>121. Proforma</v>
      </c>
      <c r="E122" s="17" t="str">
        <f ca="1">IFERROR(__xludf.DUMMYFUNCTION("REGEXEXTRACT(D122, ""\.\s*(.+)"")"),"Proforma")</f>
        <v>Proforma</v>
      </c>
      <c r="F122" s="18" t="str">
        <f ca="1">IFERROR(__xludf.DUMMYFUNCTION("IMPORTXML(AI122, ""//li[strong[text()='Investment Range:']]"")"),"#N/A")</f>
        <v>#N/A</v>
      </c>
      <c r="G122" s="43"/>
      <c r="H122" s="18" t="str">
        <f ca="1">IFERROR(__xludf.DUMMYFUNCTION("SUBSTITUTE(REGEXEXTRACT(G122, ""\$(\d{1,3}(?:,\d{3})*)""), "","", ""."")
"),"#N/A")</f>
        <v>#N/A</v>
      </c>
      <c r="I122" s="19" t="str">
        <f ca="1">IFERROR(__xludf.DUMMYFUNCTION("SUBSTITUTE(REGEXEXTRACT(G122, ""-\s*\$(\d{1,3}(?:,\d{3})*)""), "","", ""."")
"),"#N/A")</f>
        <v>#N/A</v>
      </c>
      <c r="J122" s="19" t="str">
        <f ca="1">IFERROR(__xludf.DUMMYFUNCTION("IMPORTXML(AI122, ""//li[strong[text()='Initial Investment:']]"")"),"Loading...")</f>
        <v>Loading...</v>
      </c>
      <c r="K122" s="24"/>
      <c r="L122" s="20" t="str">
        <f ca="1">IFERROR(__xludf.DUMMYFUNCTION("IMPORTXML(AI122, ""//li[strong[text()='Category:']]"")"),"Loading...")</f>
        <v>Loading...</v>
      </c>
      <c r="M122" s="24"/>
      <c r="N122" s="19" t="str">
        <f ca="1">IFERROR(__xludf.DUMMYFUNCTION("IMPORTXML(AI122, ""//li[strong[text()='Global Sales:']]"")"),"Loading...")</f>
        <v>Loading...</v>
      </c>
      <c r="O122" s="24"/>
      <c r="P122" s="19" t="str">
        <f t="shared" si="0"/>
        <v/>
      </c>
      <c r="Q122" s="19" t="str">
        <f ca="1">IFERROR(__xludf.DUMMYFUNCTION("IMPORTXML(AI122, ""//li[strong[text()='US Units:']]"")"),"Loading...")</f>
        <v>Loading...</v>
      </c>
      <c r="R122" s="24"/>
      <c r="S122" s="19" t="str">
        <f ca="1">IFERROR(__xludf.DUMMYFUNCTION("IMPORTXML(AI122, ""//li[strong[text()='International Units:']]"")"),"Loading...")</f>
        <v>Loading...</v>
      </c>
      <c r="T122" s="44"/>
      <c r="U122" s="19" t="str">
        <f ca="1">IFERROR(__xludf.DUMMYFUNCTION("IMPORTXML(AI122, ""//li[strong[text()='Percent Franchised:']]"")"),"Loading...")</f>
        <v>Loading...</v>
      </c>
      <c r="V122" s="24"/>
      <c r="W122" s="19" t="str">
        <f ca="1">IFERROR(__xludf.DUMMYFUNCTION("IMPORTXML(AI122, ""//li[strong[text()='% International Units:']]"")"),"Loading...")</f>
        <v>Loading...</v>
      </c>
      <c r="X122" s="24"/>
      <c r="Y122" s="19" t="str">
        <f ca="1">IFERROR(__xludf.DUMMYFUNCTION("IMPORTXML(AI122, ""//li[strong[text()='US Franchised Units:']]"")"),"Loading...")</f>
        <v>Loading...</v>
      </c>
      <c r="Z122" s="24"/>
      <c r="AA122" s="14" t="str">
        <f t="shared" si="1"/>
        <v/>
      </c>
      <c r="AB122" s="19" t="str">
        <f ca="1">IFERROR(__xludf.DUMMYFUNCTION("IMPORTXML(AI122, ""//li[strong[text()='International Franchised Units:']]"")"),"Loading...")</f>
        <v>Loading...</v>
      </c>
      <c r="AC122" s="24"/>
      <c r="AD122" s="14" t="str">
        <f t="shared" si="2"/>
        <v/>
      </c>
      <c r="AE122" s="25" t="str">
        <f ca="1">IFERROR(__xludf.DUMMYFUNCTION("IMPORTXML(AI122, ""//li[strong[text()='Sales Growth %:']]"")"),"Loading...")</f>
        <v>Loading...</v>
      </c>
      <c r="AF122" s="24"/>
      <c r="AG122" s="25" t="str">
        <f ca="1">IFERROR(__xludf.DUMMYFUNCTION("IMPORTXML(AI122, ""//li[strong[text()='Unit Growth %:']]"")"),"Loading...")</f>
        <v>Loading...</v>
      </c>
      <c r="AH122" s="25"/>
      <c r="AI122" s="48" t="s">
        <v>137</v>
      </c>
      <c r="AJ122" s="27"/>
      <c r="AK122" s="27"/>
      <c r="AL122" s="27"/>
      <c r="AM122" s="27"/>
      <c r="AN122" s="27"/>
      <c r="AO122" s="27"/>
      <c r="AP122" s="27"/>
      <c r="AQ122" s="27"/>
    </row>
    <row r="123" spans="1:43" ht="14.25" customHeight="1">
      <c r="A123" s="42">
        <v>24.122</v>
      </c>
      <c r="B123" s="14">
        <v>2024</v>
      </c>
      <c r="C123" s="36">
        <v>122</v>
      </c>
      <c r="D123" s="16" t="str">
        <f ca="1">IFERROR(__xludf.DUMMYFUNCTION("IMPORTXML(AI123, ""//h1[@itemprop='headline']/span"")"),"122. Two Men and A Truck")</f>
        <v>122. Two Men and A Truck</v>
      </c>
      <c r="E123" s="17" t="str">
        <f ca="1">IFERROR(__xludf.DUMMYFUNCTION("REGEXEXTRACT(D123, ""\.\s*(.+)"")"),"Two Men and A Truck")</f>
        <v>Two Men and A Truck</v>
      </c>
      <c r="F123" s="18" t="str">
        <f ca="1">IFERROR(__xludf.DUMMYFUNCTION("IMPORTXML(AI123, ""//li[strong[text()='Investment Range:']]"")"),"#N/A")</f>
        <v>#N/A</v>
      </c>
      <c r="G123" s="43"/>
      <c r="H123" s="18" t="str">
        <f ca="1">IFERROR(__xludf.DUMMYFUNCTION("SUBSTITUTE(REGEXEXTRACT(G123, ""\$(\d{1,3}(?:,\d{3})*)""), "","", ""."")
"),"#N/A")</f>
        <v>#N/A</v>
      </c>
      <c r="I123" s="19" t="str">
        <f ca="1">IFERROR(__xludf.DUMMYFUNCTION("SUBSTITUTE(REGEXEXTRACT(G123, ""-\s*\$(\d{1,3}(?:,\d{3})*)""), "","", ""."")
"),"#N/A")</f>
        <v>#N/A</v>
      </c>
      <c r="J123" s="19" t="str">
        <f ca="1">IFERROR(__xludf.DUMMYFUNCTION("IMPORTXML(AI123, ""//li[strong[text()='Initial Investment:']]"")"),"Loading...")</f>
        <v>Loading...</v>
      </c>
      <c r="K123" s="24"/>
      <c r="L123" s="20" t="str">
        <f ca="1">IFERROR(__xludf.DUMMYFUNCTION("IMPORTXML(AI123, ""//li[strong[text()='Category:']]"")"),"Loading...")</f>
        <v>Loading...</v>
      </c>
      <c r="M123" s="24"/>
      <c r="N123" s="19" t="str">
        <f ca="1">IFERROR(__xludf.DUMMYFUNCTION("IMPORTXML(AI123, ""//li[strong[text()='Global Sales:']]"")"),"Loading...")</f>
        <v>Loading...</v>
      </c>
      <c r="O123" s="24"/>
      <c r="P123" s="19" t="str">
        <f t="shared" si="0"/>
        <v/>
      </c>
      <c r="Q123" s="19" t="str">
        <f ca="1">IFERROR(__xludf.DUMMYFUNCTION("IMPORTXML(AI123, ""//li[strong[text()='US Units:']]"")"),"Loading...")</f>
        <v>Loading...</v>
      </c>
      <c r="R123" s="24"/>
      <c r="S123" s="19" t="str">
        <f ca="1">IFERROR(__xludf.DUMMYFUNCTION("IMPORTXML(AI123, ""//li[strong[text()='International Units:']]"")"),"Loading...")</f>
        <v>Loading...</v>
      </c>
      <c r="T123" s="44"/>
      <c r="U123" s="19" t="str">
        <f ca="1">IFERROR(__xludf.DUMMYFUNCTION("IMPORTXML(AI123, ""//li[strong[text()='Percent Franchised:']]"")"),"Loading...")</f>
        <v>Loading...</v>
      </c>
      <c r="V123" s="24"/>
      <c r="W123" s="19" t="str">
        <f ca="1">IFERROR(__xludf.DUMMYFUNCTION("IMPORTXML(AI123, ""//li[strong[text()='% International Units:']]"")"),"Loading...")</f>
        <v>Loading...</v>
      </c>
      <c r="X123" s="24"/>
      <c r="Y123" s="19" t="str">
        <f ca="1">IFERROR(__xludf.DUMMYFUNCTION("IMPORTXML(AI123, ""//li[strong[text()='US Franchised Units:']]"")"),"Loading...")</f>
        <v>Loading...</v>
      </c>
      <c r="Z123" s="24"/>
      <c r="AA123" s="14" t="str">
        <f t="shared" si="1"/>
        <v/>
      </c>
      <c r="AB123" s="19" t="str">
        <f ca="1">IFERROR(__xludf.DUMMYFUNCTION("IMPORTXML(AI123, ""//li[strong[text()='International Franchised Units:']]"")"),"Loading...")</f>
        <v>Loading...</v>
      </c>
      <c r="AC123" s="24"/>
      <c r="AD123" s="14" t="str">
        <f t="shared" si="2"/>
        <v/>
      </c>
      <c r="AE123" s="25" t="str">
        <f ca="1">IFERROR(__xludf.DUMMYFUNCTION("IMPORTXML(AI123, ""//li[strong[text()='Sales Growth %:']]"")"),"Loading...")</f>
        <v>Loading...</v>
      </c>
      <c r="AF123" s="24"/>
      <c r="AG123" s="25" t="str">
        <f ca="1">IFERROR(__xludf.DUMMYFUNCTION("IMPORTXML(AI123, ""//li[strong[text()='Unit Growth %:']]"")"),"Loading...")</f>
        <v>Loading...</v>
      </c>
      <c r="AH123" s="25"/>
      <c r="AI123" s="48" t="s">
        <v>138</v>
      </c>
      <c r="AJ123" s="27"/>
      <c r="AK123" s="27"/>
      <c r="AL123" s="27"/>
      <c r="AM123" s="27"/>
      <c r="AN123" s="27"/>
      <c r="AO123" s="27"/>
      <c r="AP123" s="27"/>
      <c r="AQ123" s="27"/>
    </row>
    <row r="124" spans="1:43" ht="14.25" customHeight="1">
      <c r="A124" s="42">
        <v>24.123000000000001</v>
      </c>
      <c r="B124" s="14">
        <v>2024</v>
      </c>
      <c r="C124" s="36">
        <v>123</v>
      </c>
      <c r="D124" s="16" t="str">
        <f ca="1">IFERROR(__xludf.DUMMYFUNCTION("IMPORTXML(AI124, ""//h1[@itemprop='headline']/span"")"),"123. Coverall")</f>
        <v>123. Coverall</v>
      </c>
      <c r="E124" s="17" t="str">
        <f ca="1">IFERROR(__xludf.DUMMYFUNCTION("REGEXEXTRACT(D124, ""\.\s*(.+)"")"),"Coverall")</f>
        <v>Coverall</v>
      </c>
      <c r="F124" s="18" t="str">
        <f ca="1">IFERROR(__xludf.DUMMYFUNCTION("IMPORTXML(AI124, ""//li[strong[text()='Investment Range:']]"")"),"#N/A")</f>
        <v>#N/A</v>
      </c>
      <c r="G124" s="43"/>
      <c r="H124" s="18" t="str">
        <f ca="1">IFERROR(__xludf.DUMMYFUNCTION("SUBSTITUTE(REGEXEXTRACT(G124, ""\$(\d{1,3}(?:,\d{3})*)""), "","", ""."")
"),"#N/A")</f>
        <v>#N/A</v>
      </c>
      <c r="I124" s="19" t="str">
        <f ca="1">IFERROR(__xludf.DUMMYFUNCTION("SUBSTITUTE(REGEXEXTRACT(G124, ""-\s*\$(\d{1,3}(?:,\d{3})*)""), "","", ""."")
"),"#N/A")</f>
        <v>#N/A</v>
      </c>
      <c r="J124" s="19" t="str">
        <f ca="1">IFERROR(__xludf.DUMMYFUNCTION("IMPORTXML(AI124, ""//li[strong[text()='Initial Investment:']]"")"),"Loading...")</f>
        <v>Loading...</v>
      </c>
      <c r="K124" s="24"/>
      <c r="L124" s="20" t="str">
        <f ca="1">IFERROR(__xludf.DUMMYFUNCTION("IMPORTXML(AI124, ""//li[strong[text()='Category:']]"")"),"Loading...")</f>
        <v>Loading...</v>
      </c>
      <c r="M124" s="24"/>
      <c r="N124" s="19" t="str">
        <f ca="1">IFERROR(__xludf.DUMMYFUNCTION("IMPORTXML(AI124, ""//li[strong[text()='Global Sales:']]"")"),"Loading...")</f>
        <v>Loading...</v>
      </c>
      <c r="O124" s="24"/>
      <c r="P124" s="19" t="str">
        <f t="shared" si="0"/>
        <v/>
      </c>
      <c r="Q124" s="19" t="str">
        <f ca="1">IFERROR(__xludf.DUMMYFUNCTION("IMPORTXML(AI124, ""//li[strong[text()='US Units:']]"")"),"Loading...")</f>
        <v>Loading...</v>
      </c>
      <c r="R124" s="24"/>
      <c r="S124" s="19" t="str">
        <f ca="1">IFERROR(__xludf.DUMMYFUNCTION("IMPORTXML(AI124, ""//li[strong[text()='International Units:']]"")"),"Loading...")</f>
        <v>Loading...</v>
      </c>
      <c r="T124" s="44"/>
      <c r="U124" s="19" t="str">
        <f ca="1">IFERROR(__xludf.DUMMYFUNCTION("IMPORTXML(AI124, ""//li[strong[text()='Percent Franchised:']]"")"),"Loading...")</f>
        <v>Loading...</v>
      </c>
      <c r="V124" s="24"/>
      <c r="W124" s="19" t="str">
        <f ca="1">IFERROR(__xludf.DUMMYFUNCTION("IMPORTXML(AI124, ""//li[strong[text()='% International Units:']]"")"),"Loading...")</f>
        <v>Loading...</v>
      </c>
      <c r="X124" s="24"/>
      <c r="Y124" s="19" t="str">
        <f ca="1">IFERROR(__xludf.DUMMYFUNCTION("IMPORTXML(AI124, ""//li[strong[text()='US Franchised Units:']]"")"),"Loading...")</f>
        <v>Loading...</v>
      </c>
      <c r="Z124" s="24"/>
      <c r="AA124" s="14" t="str">
        <f t="shared" si="1"/>
        <v/>
      </c>
      <c r="AB124" s="19" t="str">
        <f ca="1">IFERROR(__xludf.DUMMYFUNCTION("IMPORTXML(AI124, ""//li[strong[text()='International Franchised Units:']]"")"),"Loading...")</f>
        <v>Loading...</v>
      </c>
      <c r="AC124" s="24"/>
      <c r="AD124" s="14" t="str">
        <f t="shared" si="2"/>
        <v/>
      </c>
      <c r="AE124" s="25" t="str">
        <f ca="1">IFERROR(__xludf.DUMMYFUNCTION("IMPORTXML(AI124, ""//li[strong[text()='Sales Growth %:']]"")"),"Loading...")</f>
        <v>Loading...</v>
      </c>
      <c r="AF124" s="24"/>
      <c r="AG124" s="25" t="str">
        <f ca="1">IFERROR(__xludf.DUMMYFUNCTION("IMPORTXML(AI124, ""//li[strong[text()='Unit Growth %:']]"")"),"Loading...")</f>
        <v>Loading...</v>
      </c>
      <c r="AH124" s="25"/>
      <c r="AI124" s="48" t="s">
        <v>139</v>
      </c>
      <c r="AJ124" s="27"/>
      <c r="AK124" s="27"/>
      <c r="AL124" s="27"/>
      <c r="AM124" s="27"/>
      <c r="AN124" s="27"/>
      <c r="AO124" s="27"/>
      <c r="AP124" s="27"/>
      <c r="AQ124" s="27"/>
    </row>
    <row r="125" spans="1:43" ht="14.25" customHeight="1">
      <c r="A125" s="42">
        <v>24.123999999999999</v>
      </c>
      <c r="B125" s="14">
        <v>2024</v>
      </c>
      <c r="C125" s="15">
        <v>124</v>
      </c>
      <c r="D125" s="16" t="str">
        <f ca="1">IFERROR(__xludf.DUMMYFUNCTION("IMPORTXML(AI125, ""//h1[@itemprop='headline']/span"")"),"124. United Real Estate")</f>
        <v>124. United Real Estate</v>
      </c>
      <c r="E125" s="17" t="str">
        <f ca="1">IFERROR(__xludf.DUMMYFUNCTION("REGEXEXTRACT(D125, ""\.\s*(.+)"")"),"United Real Estate")</f>
        <v>United Real Estate</v>
      </c>
      <c r="F125" s="18" t="str">
        <f ca="1">IFERROR(__xludf.DUMMYFUNCTION("IMPORTXML(AI125, ""//li[strong[text()='Investment Range:']]"")"),"Investment Range:")</f>
        <v>Investment Range:</v>
      </c>
      <c r="G125" s="43" t="str">
        <f ca="1">IFERROR(__xludf.DUMMYFUNCTION("""COMPUTED_VALUE""")," $144,500 - $385,500")</f>
        <v xml:space="preserve"> $144,500 - $385,500</v>
      </c>
      <c r="H125" s="18" t="str">
        <f ca="1">IFERROR(__xludf.DUMMYFUNCTION("SUBSTITUTE(REGEXEXTRACT(G125, ""\$(\d{1,3}(?:,\d{3})*)""), "","", ""."")
"),"144.500")</f>
        <v>144.500</v>
      </c>
      <c r="I125" s="19" t="str">
        <f ca="1">IFERROR(__xludf.DUMMYFUNCTION("SUBSTITUTE(REGEXEXTRACT(G125, ""-\s*\$(\d{1,3}(?:,\d{3})*)""), "","", ""."")
"),"385.500")</f>
        <v>385.500</v>
      </c>
      <c r="J125" s="19" t="str">
        <f ca="1">IFERROR(__xludf.DUMMYFUNCTION("IMPORTXML(AI125, ""//li[strong[text()='Initial Investment:']]"")"),"Loading...")</f>
        <v>Loading...</v>
      </c>
      <c r="K125" s="24"/>
      <c r="L125" s="20" t="str">
        <f ca="1">IFERROR(__xludf.DUMMYFUNCTION("IMPORTXML(AI125, ""//li[strong[text()='Category:']]"")"),"Loading...")</f>
        <v>Loading...</v>
      </c>
      <c r="M125" s="24"/>
      <c r="N125" s="19" t="str">
        <f ca="1">IFERROR(__xludf.DUMMYFUNCTION("IMPORTXML(AI125, ""//li[strong[text()='Global Sales:']]"")"),"Loading...")</f>
        <v>Loading...</v>
      </c>
      <c r="O125" s="24"/>
      <c r="P125" s="19" t="str">
        <f t="shared" si="0"/>
        <v/>
      </c>
      <c r="Q125" s="19" t="str">
        <f ca="1">IFERROR(__xludf.DUMMYFUNCTION("IMPORTXML(AI125, ""//li[strong[text()='US Units:']]"")"),"US Units:")</f>
        <v>US Units:</v>
      </c>
      <c r="R125" s="24">
        <f ca="1">IFERROR(__xludf.DUMMYFUNCTION("""COMPUTED_VALUE"""),162)</f>
        <v>162</v>
      </c>
      <c r="S125" s="19" t="str">
        <f ca="1">IFERROR(__xludf.DUMMYFUNCTION("IMPORTXML(AI125, ""//li[strong[text()='International Units:']]"")"),"Loading...")</f>
        <v>Loading...</v>
      </c>
      <c r="T125" s="44"/>
      <c r="U125" s="19" t="str">
        <f ca="1">IFERROR(__xludf.DUMMYFUNCTION("IMPORTXML(AI125, ""//li[strong[text()='Percent Franchised:']]"")"),"Loading...")</f>
        <v>Loading...</v>
      </c>
      <c r="V125" s="24"/>
      <c r="W125" s="19" t="str">
        <f ca="1">IFERROR(__xludf.DUMMYFUNCTION("IMPORTXML(AI125, ""//li[strong[text()='% International Units:']]"")"),"Loading...")</f>
        <v>Loading...</v>
      </c>
      <c r="X125" s="24"/>
      <c r="Y125" s="19" t="str">
        <f ca="1">IFERROR(__xludf.DUMMYFUNCTION("IMPORTXML(AI125, ""//li[strong[text()='US Franchised Units:']]"")"),"Loading...")</f>
        <v>Loading...</v>
      </c>
      <c r="Z125" s="24"/>
      <c r="AA125" s="14" t="str">
        <f t="shared" si="1"/>
        <v/>
      </c>
      <c r="AB125" s="19" t="str">
        <f ca="1">IFERROR(__xludf.DUMMYFUNCTION("IMPORTXML(AI125, ""//li[strong[text()='International Franchised Units:']]"")"),"Loading...")</f>
        <v>Loading...</v>
      </c>
      <c r="AC125" s="24"/>
      <c r="AD125" s="14" t="str">
        <f t="shared" si="2"/>
        <v/>
      </c>
      <c r="AE125" s="25" t="str">
        <f ca="1">IFERROR(__xludf.DUMMYFUNCTION("IMPORTXML(AI125, ""//li[strong[text()='Sales Growth %:']]"")"),"Loading...")</f>
        <v>Loading...</v>
      </c>
      <c r="AF125" s="24"/>
      <c r="AG125" s="25" t="str">
        <f ca="1">IFERROR(__xludf.DUMMYFUNCTION("IMPORTXML(AI125, ""//li[strong[text()='Unit Growth %:']]"")"),"Loading...")</f>
        <v>Loading...</v>
      </c>
      <c r="AH125" s="25"/>
      <c r="AI125" s="48" t="s">
        <v>140</v>
      </c>
      <c r="AJ125" s="27"/>
      <c r="AK125" s="27"/>
      <c r="AL125" s="27"/>
      <c r="AM125" s="27"/>
      <c r="AN125" s="27"/>
      <c r="AO125" s="27"/>
      <c r="AP125" s="27"/>
      <c r="AQ125" s="27"/>
    </row>
    <row r="126" spans="1:43" ht="14.25" customHeight="1">
      <c r="A126" s="42">
        <v>24.125</v>
      </c>
      <c r="B126" s="14">
        <v>2024</v>
      </c>
      <c r="C126" s="32">
        <v>125</v>
      </c>
      <c r="D126" s="16" t="str">
        <f ca="1">IFERROR(__xludf.DUMMYFUNCTION("IMPORTXML(AI126, ""//h1[@itemprop='headline']/span"")"),"125. Pearle Vision")</f>
        <v>125. Pearle Vision</v>
      </c>
      <c r="E126" s="17" t="str">
        <f ca="1">IFERROR(__xludf.DUMMYFUNCTION("REGEXEXTRACT(D126, ""\.\s*(.+)"")"),"Pearle Vision")</f>
        <v>Pearle Vision</v>
      </c>
      <c r="F126" s="18" t="str">
        <f ca="1">IFERROR(__xludf.DUMMYFUNCTION("IMPORTXML(AI126, ""//li[strong[text()='Investment Range:']]"")"),"#N/A")</f>
        <v>#N/A</v>
      </c>
      <c r="G126" s="43"/>
      <c r="H126" s="18" t="str">
        <f ca="1">IFERROR(__xludf.DUMMYFUNCTION("SUBSTITUTE(REGEXEXTRACT(G126, ""\$(\d{1,3}(?:,\d{3})*)""), "","", ""."")
"),"#N/A")</f>
        <v>#N/A</v>
      </c>
      <c r="I126" s="19" t="str">
        <f ca="1">IFERROR(__xludf.DUMMYFUNCTION("SUBSTITUTE(REGEXEXTRACT(G126, ""-\s*\$(\d{1,3}(?:,\d{3})*)""), "","", ""."")
"),"#N/A")</f>
        <v>#N/A</v>
      </c>
      <c r="J126" s="19" t="str">
        <f ca="1">IFERROR(__xludf.DUMMYFUNCTION("IMPORTXML(AI126, ""//li[strong[text()='Initial Investment:']]"")"),"Loading...")</f>
        <v>Loading...</v>
      </c>
      <c r="K126" s="24"/>
      <c r="L126" s="20" t="str">
        <f ca="1">IFERROR(__xludf.DUMMYFUNCTION("IMPORTXML(AI126, ""//li[strong[text()='Category:']]"")"),"#N/A")</f>
        <v>#N/A</v>
      </c>
      <c r="M126" s="24"/>
      <c r="N126" s="19" t="str">
        <f ca="1">IFERROR(__xludf.DUMMYFUNCTION("IMPORTXML(AI126, ""//li[strong[text()='Global Sales:']]"")"),"Loading...")</f>
        <v>Loading...</v>
      </c>
      <c r="O126" s="24"/>
      <c r="P126" s="19" t="str">
        <f t="shared" si="0"/>
        <v/>
      </c>
      <c r="Q126" s="19" t="str">
        <f ca="1">IFERROR(__xludf.DUMMYFUNCTION("IMPORTXML(AI126, ""//li[strong[text()='US Units:']]"")"),"Loading...")</f>
        <v>Loading...</v>
      </c>
      <c r="R126" s="24"/>
      <c r="S126" s="19" t="str">
        <f ca="1">IFERROR(__xludf.DUMMYFUNCTION("IMPORTXML(AI126, ""//li[strong[text()='International Units:']]"")"),"Loading...")</f>
        <v>Loading...</v>
      </c>
      <c r="T126" s="44"/>
      <c r="U126" s="19" t="str">
        <f ca="1">IFERROR(__xludf.DUMMYFUNCTION("IMPORTXML(AI126, ""//li[strong[text()='Percent Franchised:']]"")"),"Loading...")</f>
        <v>Loading...</v>
      </c>
      <c r="V126" s="24"/>
      <c r="W126" s="19" t="str">
        <f ca="1">IFERROR(__xludf.DUMMYFUNCTION("IMPORTXML(AI126, ""//li[strong[text()='% International Units:']]"")"),"Loading...")</f>
        <v>Loading...</v>
      </c>
      <c r="X126" s="24"/>
      <c r="Y126" s="19" t="str">
        <f ca="1">IFERROR(__xludf.DUMMYFUNCTION("IMPORTXML(AI126, ""//li[strong[text()='US Franchised Units:']]"")"),"Loading...")</f>
        <v>Loading...</v>
      </c>
      <c r="Z126" s="24"/>
      <c r="AA126" s="14" t="str">
        <f t="shared" si="1"/>
        <v/>
      </c>
      <c r="AB126" s="19" t="str">
        <f ca="1">IFERROR(__xludf.DUMMYFUNCTION("IMPORTXML(AI126, ""//li[strong[text()='International Franchised Units:']]"")"),"Loading...")</f>
        <v>Loading...</v>
      </c>
      <c r="AC126" s="24"/>
      <c r="AD126" s="14" t="str">
        <f t="shared" si="2"/>
        <v/>
      </c>
      <c r="AE126" s="25" t="str">
        <f ca="1">IFERROR(__xludf.DUMMYFUNCTION("IMPORTXML(AI126, ""//li[strong[text()='Sales Growth %:']]"")"),"Loading...")</f>
        <v>Loading...</v>
      </c>
      <c r="AF126" s="24"/>
      <c r="AG126" s="25" t="str">
        <f ca="1">IFERROR(__xludf.DUMMYFUNCTION("IMPORTXML(AI126, ""//li[strong[text()='Unit Growth %:']]"")"),"#N/A")</f>
        <v>#N/A</v>
      </c>
      <c r="AH126" s="25"/>
      <c r="AI126" s="48" t="s">
        <v>141</v>
      </c>
      <c r="AJ126" s="27"/>
      <c r="AK126" s="27"/>
      <c r="AL126" s="27"/>
      <c r="AM126" s="27"/>
      <c r="AN126" s="27"/>
      <c r="AO126" s="27"/>
      <c r="AP126" s="27"/>
      <c r="AQ126" s="27"/>
    </row>
    <row r="127" spans="1:43" ht="14.25" customHeight="1">
      <c r="A127" s="42">
        <v>24.126000000000001</v>
      </c>
      <c r="B127" s="14">
        <v>2024</v>
      </c>
      <c r="C127" s="36">
        <v>126</v>
      </c>
      <c r="D127" s="16" t="str">
        <f ca="1">IFERROR(__xludf.DUMMYFUNCTION("IMPORTXML(AI127, ""//h1[@itemprop='headline']/span"")"),"126. Kiddie Academy")</f>
        <v>126. Kiddie Academy</v>
      </c>
      <c r="E127" s="17" t="str">
        <f ca="1">IFERROR(__xludf.DUMMYFUNCTION("REGEXEXTRACT(D127, ""\.\s*(.+)"")"),"Kiddie Academy")</f>
        <v>Kiddie Academy</v>
      </c>
      <c r="F127" s="18" t="str">
        <f ca="1">IFERROR(__xludf.DUMMYFUNCTION("IMPORTXML(AI127, ""//li[strong[text()='Investment Range:']]"")"),"Investment Range:")</f>
        <v>Investment Range:</v>
      </c>
      <c r="G127" s="43" t="str">
        <f ca="1">IFERROR(__xludf.DUMMYFUNCTION("""COMPUTED_VALUE""")," $405,000 - $7,255,000")</f>
        <v xml:space="preserve"> $405,000 - $7,255,000</v>
      </c>
      <c r="H127" s="18" t="str">
        <f ca="1">IFERROR(__xludf.DUMMYFUNCTION("SUBSTITUTE(REGEXEXTRACT(G127, ""\$(\d{1,3}(?:,\d{3})*)""), "","", ""."")
"),"405.000")</f>
        <v>405.000</v>
      </c>
      <c r="I127" s="19" t="str">
        <f ca="1">IFERROR(__xludf.DUMMYFUNCTION("SUBSTITUTE(REGEXEXTRACT(G127, ""-\s*\$(\d{1,3}(?:,\d{3})*)""), "","", ""."")
"),"7.255.000")</f>
        <v>7.255.000</v>
      </c>
      <c r="J127" s="19" t="str">
        <f ca="1">IFERROR(__xludf.DUMMYFUNCTION("IMPORTXML(AI127, ""//li[strong[text()='Initial Investment:']]"")"),"Loading...")</f>
        <v>Loading...</v>
      </c>
      <c r="K127" s="24"/>
      <c r="L127" s="20" t="str">
        <f ca="1">IFERROR(__xludf.DUMMYFUNCTION("IMPORTXML(AI127, ""//li[strong[text()='Category:']]"")"),"Loading...")</f>
        <v>Loading...</v>
      </c>
      <c r="M127" s="24"/>
      <c r="N127" s="19" t="str">
        <f ca="1">IFERROR(__xludf.DUMMYFUNCTION("IMPORTXML(AI127, ""//li[strong[text()='Global Sales:']]"")"),"Loading...")</f>
        <v>Loading...</v>
      </c>
      <c r="O127" s="24"/>
      <c r="P127" s="19" t="str">
        <f t="shared" si="0"/>
        <v/>
      </c>
      <c r="Q127" s="19" t="str">
        <f ca="1">IFERROR(__xludf.DUMMYFUNCTION("IMPORTXML(AI127, ""//li[strong[text()='US Units:']]"")"),"Loading...")</f>
        <v>Loading...</v>
      </c>
      <c r="R127" s="24"/>
      <c r="S127" s="19" t="str">
        <f ca="1">IFERROR(__xludf.DUMMYFUNCTION("IMPORTXML(AI127, ""//li[strong[text()='International Units:']]"")"),"Loading...")</f>
        <v>Loading...</v>
      </c>
      <c r="T127" s="44"/>
      <c r="U127" s="19" t="str">
        <f ca="1">IFERROR(__xludf.DUMMYFUNCTION("IMPORTXML(AI127, ""//li[strong[text()='Percent Franchised:']]"")"),"Loading...")</f>
        <v>Loading...</v>
      </c>
      <c r="V127" s="24"/>
      <c r="W127" s="19" t="str">
        <f ca="1">IFERROR(__xludf.DUMMYFUNCTION("IMPORTXML(AI127, ""//li[strong[text()='% International Units:']]"")"),"Loading...")</f>
        <v>Loading...</v>
      </c>
      <c r="X127" s="24"/>
      <c r="Y127" s="19" t="str">
        <f ca="1">IFERROR(__xludf.DUMMYFUNCTION("IMPORTXML(AI127, ""//li[strong[text()='US Franchised Units:']]"")"),"Loading...")</f>
        <v>Loading...</v>
      </c>
      <c r="Z127" s="24"/>
      <c r="AA127" s="14" t="str">
        <f t="shared" si="1"/>
        <v/>
      </c>
      <c r="AB127" s="19" t="str">
        <f ca="1">IFERROR(__xludf.DUMMYFUNCTION("IMPORTXML(AI127, ""//li[strong[text()='International Franchised Units:']]"")"),"International Franchised Units:")</f>
        <v>International Franchised Units:</v>
      </c>
      <c r="AC127" s="24">
        <f ca="1">IFERROR(__xludf.DUMMYFUNCTION("""COMPUTED_VALUE"""),0)</f>
        <v>0</v>
      </c>
      <c r="AD127" s="14" t="str">
        <f t="shared" ca="1" si="2"/>
        <v>0</v>
      </c>
      <c r="AE127" s="25" t="str">
        <f ca="1">IFERROR(__xludf.DUMMYFUNCTION("IMPORTXML(AI127, ""//li[strong[text()='Sales Growth %:']]"")"),"Loading...")</f>
        <v>Loading...</v>
      </c>
      <c r="AF127" s="24"/>
      <c r="AG127" s="25" t="str">
        <f ca="1">IFERROR(__xludf.DUMMYFUNCTION("IMPORTXML(AI127, ""//li[strong[text()='Unit Growth %:']]"")"),"Loading...")</f>
        <v>Loading...</v>
      </c>
      <c r="AH127" s="25"/>
      <c r="AI127" s="48" t="s">
        <v>142</v>
      </c>
      <c r="AJ127" s="27"/>
      <c r="AK127" s="27"/>
      <c r="AL127" s="27"/>
      <c r="AM127" s="27"/>
      <c r="AN127" s="27"/>
      <c r="AO127" s="27"/>
      <c r="AP127" s="27"/>
      <c r="AQ127" s="27"/>
    </row>
    <row r="128" spans="1:43" ht="14.25" customHeight="1">
      <c r="A128" s="42">
        <v>24.126999999999999</v>
      </c>
      <c r="B128" s="14">
        <v>2024</v>
      </c>
      <c r="C128" s="36">
        <v>127</v>
      </c>
      <c r="D128" s="16" t="str">
        <f ca="1">IFERROR(__xludf.DUMMYFUNCTION("IMPORTXML(AI128, ""//h1[@itemprop='headline']/span"")"),"127. Steak 'n Shake")</f>
        <v>127. Steak 'n Shake</v>
      </c>
      <c r="E128" s="17" t="str">
        <f ca="1">IFERROR(__xludf.DUMMYFUNCTION("REGEXEXTRACT(D128, ""\.\s*(.+)"")"),"Steak 'n Shake")</f>
        <v>Steak 'n Shake</v>
      </c>
      <c r="F128" s="18" t="str">
        <f ca="1">IFERROR(__xludf.DUMMYFUNCTION("IMPORTXML(AI128, ""//li[strong[text()='Investment Range:']]"")"),"#REF!")</f>
        <v>#REF!</v>
      </c>
      <c r="G128" s="43"/>
      <c r="H128" s="18" t="str">
        <f ca="1">IFERROR(__xludf.DUMMYFUNCTION("SUBSTITUTE(REGEXEXTRACT(G128, ""\$(\d{1,3}(?:,\d{3})*)""), "","", ""."")
"),"#N/A")</f>
        <v>#N/A</v>
      </c>
      <c r="I128" s="19" t="str">
        <f ca="1">IFERROR(__xludf.DUMMYFUNCTION("SUBSTITUTE(REGEXEXTRACT(G128, ""-\s*\$(\d{1,3}(?:,\d{3})*)""), "","", ""."")
"),"#N/A")</f>
        <v>#N/A</v>
      </c>
      <c r="J128" s="19" t="str">
        <f ca="1">IFERROR(__xludf.DUMMYFUNCTION("IMPORTXML(AI128, ""//li[strong[text()='Initial Investment:']]"")"),"Loading...")</f>
        <v>Loading...</v>
      </c>
      <c r="K128" s="24"/>
      <c r="L128" s="20" t="str">
        <f ca="1">IFERROR(__xludf.DUMMYFUNCTION("IMPORTXML(AI128, ""//li[strong[text()='Category:']]"")"),"Loading...")</f>
        <v>Loading...</v>
      </c>
      <c r="M128" s="24"/>
      <c r="N128" s="19" t="str">
        <f ca="1">IFERROR(__xludf.DUMMYFUNCTION("IMPORTXML(AI128, ""//li[strong[text()='Global Sales:']]"")"),"Loading...")</f>
        <v>Loading...</v>
      </c>
      <c r="O128" s="24"/>
      <c r="P128" s="19" t="str">
        <f t="shared" si="0"/>
        <v/>
      </c>
      <c r="Q128" s="19" t="str">
        <f ca="1">IFERROR(__xludf.DUMMYFUNCTION("IMPORTXML(AI128, ""//li[strong[text()='US Units:']]"")"),"Loading...")</f>
        <v>Loading...</v>
      </c>
      <c r="R128" s="24"/>
      <c r="S128" s="19" t="str">
        <f ca="1">IFERROR(__xludf.DUMMYFUNCTION("IMPORTXML(AI128, ""//li[strong[text()='International Units:']]"")"),"Loading...")</f>
        <v>Loading...</v>
      </c>
      <c r="T128" s="44"/>
      <c r="U128" s="19" t="str">
        <f ca="1">IFERROR(__xludf.DUMMYFUNCTION("IMPORTXML(AI128, ""//li[strong[text()='Percent Franchised:']]"")"),"Loading...")</f>
        <v>Loading...</v>
      </c>
      <c r="V128" s="24"/>
      <c r="W128" s="19" t="str">
        <f ca="1">IFERROR(__xludf.DUMMYFUNCTION("IMPORTXML(AI128, ""//li[strong[text()='% International Units:']]"")"),"Loading...")</f>
        <v>Loading...</v>
      </c>
      <c r="X128" s="24"/>
      <c r="Y128" s="19" t="str">
        <f ca="1">IFERROR(__xludf.DUMMYFUNCTION("IMPORTXML(AI128, ""//li[strong[text()='US Franchised Units:']]"")"),"Loading...")</f>
        <v>Loading...</v>
      </c>
      <c r="Z128" s="24"/>
      <c r="AA128" s="14" t="str">
        <f t="shared" si="1"/>
        <v/>
      </c>
      <c r="AB128" s="19" t="str">
        <f ca="1">IFERROR(__xludf.DUMMYFUNCTION("IMPORTXML(AI128, ""//li[strong[text()='International Franchised Units:']]"")"),"Loading...")</f>
        <v>Loading...</v>
      </c>
      <c r="AC128" s="24"/>
      <c r="AD128" s="14" t="str">
        <f t="shared" si="2"/>
        <v/>
      </c>
      <c r="AE128" s="25" t="str">
        <f ca="1">IFERROR(__xludf.DUMMYFUNCTION("IMPORTXML(AI128, ""//li[strong[text()='Sales Growth %:']]"")"),"Loading...")</f>
        <v>Loading...</v>
      </c>
      <c r="AF128" s="24"/>
      <c r="AG128" s="25" t="str">
        <f ca="1">IFERROR(__xludf.DUMMYFUNCTION("IMPORTXML(AI128, ""//li[strong[text()='Unit Growth %:']]"")"),"Loading...")</f>
        <v>Loading...</v>
      </c>
      <c r="AH128" s="25"/>
      <c r="AI128" s="48" t="s">
        <v>143</v>
      </c>
      <c r="AJ128" s="27"/>
      <c r="AK128" s="27"/>
      <c r="AL128" s="27"/>
      <c r="AM128" s="27"/>
      <c r="AN128" s="27"/>
      <c r="AO128" s="27"/>
      <c r="AP128" s="27"/>
      <c r="AQ128" s="27"/>
    </row>
    <row r="129" spans="1:43" ht="14.25" customHeight="1">
      <c r="A129" s="42">
        <v>24.128</v>
      </c>
      <c r="B129" s="14">
        <v>2024</v>
      </c>
      <c r="C129" s="15">
        <v>128</v>
      </c>
      <c r="D129" s="16" t="str">
        <f ca="1">IFERROR(__xludf.DUMMYFUNCTION("IMPORTXML(AI129, ""//h1[@itemprop='headline']/span"")"),"128. Batteries Plus")</f>
        <v>128. Batteries Plus</v>
      </c>
      <c r="E129" s="17" t="str">
        <f ca="1">IFERROR(__xludf.DUMMYFUNCTION("REGEXEXTRACT(D129, ""\.\s*(.+)"")"),"Batteries Plus")</f>
        <v>Batteries Plus</v>
      </c>
      <c r="F129" s="18" t="str">
        <f ca="1">IFERROR(__xludf.DUMMYFUNCTION("IMPORTXML(AI129, ""//li[strong[text()='Investment Range:']]"")"),"Investment Range:")</f>
        <v>Investment Range:</v>
      </c>
      <c r="G129" s="43" t="str">
        <f ca="1">IFERROR(__xludf.DUMMYFUNCTION("""COMPUTED_VALUE""")," $197,400 - $465,600")</f>
        <v xml:space="preserve"> $197,400 - $465,600</v>
      </c>
      <c r="H129" s="18" t="str">
        <f ca="1">IFERROR(__xludf.DUMMYFUNCTION("SUBSTITUTE(REGEXEXTRACT(G129, ""\$(\d{1,3}(?:,\d{3})*)""), "","", ""."")
"),"197.400")</f>
        <v>197.400</v>
      </c>
      <c r="I129" s="19" t="str">
        <f ca="1">IFERROR(__xludf.DUMMYFUNCTION("SUBSTITUTE(REGEXEXTRACT(G129, ""-\s*\$(\d{1,3}(?:,\d{3})*)""), "","", ""."")
"),"465.600")</f>
        <v>465.600</v>
      </c>
      <c r="J129" s="19" t="str">
        <f ca="1">IFERROR(__xludf.DUMMYFUNCTION("IMPORTXML(AI129, ""//li[strong[text()='Initial Investment:']]"")"),"Loading...")</f>
        <v>Loading...</v>
      </c>
      <c r="K129" s="24"/>
      <c r="L129" s="20" t="str">
        <f ca="1">IFERROR(__xludf.DUMMYFUNCTION("IMPORTXML(AI129, ""//li[strong[text()='Category:']]"")"),"Loading...")</f>
        <v>Loading...</v>
      </c>
      <c r="M129" s="24"/>
      <c r="N129" s="19" t="str">
        <f ca="1">IFERROR(__xludf.DUMMYFUNCTION("IMPORTXML(AI129, ""//li[strong[text()='Global Sales:']]"")"),"Loading...")</f>
        <v>Loading...</v>
      </c>
      <c r="O129" s="24"/>
      <c r="P129" s="19" t="str">
        <f t="shared" si="0"/>
        <v/>
      </c>
      <c r="Q129" s="19" t="str">
        <f ca="1">IFERROR(__xludf.DUMMYFUNCTION("IMPORTXML(AI129, ""//li[strong[text()='US Units:']]"")"),"Loading...")</f>
        <v>Loading...</v>
      </c>
      <c r="R129" s="24"/>
      <c r="S129" s="19" t="str">
        <f ca="1">IFERROR(__xludf.DUMMYFUNCTION("IMPORTXML(AI129, ""//li[strong[text()='International Units:']]"")"),"Loading...")</f>
        <v>Loading...</v>
      </c>
      <c r="T129" s="44"/>
      <c r="U129" s="19" t="str">
        <f ca="1">IFERROR(__xludf.DUMMYFUNCTION("IMPORTXML(AI129, ""//li[strong[text()='Percent Franchised:']]"")"),"Loading...")</f>
        <v>Loading...</v>
      </c>
      <c r="V129" s="24"/>
      <c r="W129" s="19" t="str">
        <f ca="1">IFERROR(__xludf.DUMMYFUNCTION("IMPORTXML(AI129, ""//li[strong[text()='% International Units:']]"")"),"Loading...")</f>
        <v>Loading...</v>
      </c>
      <c r="X129" s="24"/>
      <c r="Y129" s="19" t="str">
        <f ca="1">IFERROR(__xludf.DUMMYFUNCTION("IMPORTXML(AI129, ""//li[strong[text()='US Franchised Units:']]"")"),"Loading...")</f>
        <v>Loading...</v>
      </c>
      <c r="Z129" s="24"/>
      <c r="AA129" s="14" t="str">
        <f t="shared" si="1"/>
        <v/>
      </c>
      <c r="AB129" s="19" t="str">
        <f ca="1">IFERROR(__xludf.DUMMYFUNCTION("IMPORTXML(AI129, ""//li[strong[text()='International Franchised Units:']]"")"),"Loading...")</f>
        <v>Loading...</v>
      </c>
      <c r="AC129" s="24"/>
      <c r="AD129" s="14" t="str">
        <f t="shared" si="2"/>
        <v/>
      </c>
      <c r="AE129" s="25" t="str">
        <f ca="1">IFERROR(__xludf.DUMMYFUNCTION("IMPORTXML(AI129, ""//li[strong[text()='Sales Growth %:']]"")"),"Loading...")</f>
        <v>Loading...</v>
      </c>
      <c r="AF129" s="24"/>
      <c r="AG129" s="25" t="str">
        <f ca="1">IFERROR(__xludf.DUMMYFUNCTION("IMPORTXML(AI129, ""//li[strong[text()='Unit Growth %:']]"")"),"Loading...")</f>
        <v>Loading...</v>
      </c>
      <c r="AH129" s="25"/>
      <c r="AI129" s="48" t="s">
        <v>144</v>
      </c>
      <c r="AJ129" s="27"/>
      <c r="AK129" s="27"/>
      <c r="AL129" s="27"/>
      <c r="AM129" s="27"/>
      <c r="AN129" s="27"/>
      <c r="AO129" s="27"/>
      <c r="AP129" s="27"/>
      <c r="AQ129" s="27"/>
    </row>
    <row r="130" spans="1:43" ht="14.25" customHeight="1">
      <c r="A130" s="42">
        <v>24.129000000000001</v>
      </c>
      <c r="B130" s="14">
        <v>2024</v>
      </c>
      <c r="C130" s="32">
        <v>129</v>
      </c>
      <c r="D130" s="16" t="str">
        <f ca="1">IFERROR(__xludf.DUMMYFUNCTION("IMPORTXML(AI130, ""//h1[@itemprop='headline']/span"")"),"129. Noodles &amp; Company")</f>
        <v>129. Noodles &amp; Company</v>
      </c>
      <c r="E130" s="17" t="str">
        <f ca="1">IFERROR(__xludf.DUMMYFUNCTION("REGEXEXTRACT(D130, ""\.\s*(.+)"")"),"Noodles &amp; Company")</f>
        <v>Noodles &amp; Company</v>
      </c>
      <c r="F130" s="18" t="str">
        <f ca="1">IFERROR(__xludf.DUMMYFUNCTION("IMPORTXML(AI130, ""//li[strong[text()='Investment Range:']]"")"),"#N/A")</f>
        <v>#N/A</v>
      </c>
      <c r="G130" s="43"/>
      <c r="H130" s="18" t="str">
        <f ca="1">IFERROR(__xludf.DUMMYFUNCTION("SUBSTITUTE(REGEXEXTRACT(G130, ""\$(\d{1,3}(?:,\d{3})*)""), "","", ""."")
"),"#N/A")</f>
        <v>#N/A</v>
      </c>
      <c r="I130" s="19" t="str">
        <f ca="1">IFERROR(__xludf.DUMMYFUNCTION("SUBSTITUTE(REGEXEXTRACT(G130, ""-\s*\$(\d{1,3}(?:,\d{3})*)""), "","", ""."")
"),"#N/A")</f>
        <v>#N/A</v>
      </c>
      <c r="J130" s="19" t="str">
        <f ca="1">IFERROR(__xludf.DUMMYFUNCTION("IMPORTXML(AI130, ""//li[strong[text()='Initial Investment:']]"")"),"Loading...")</f>
        <v>Loading...</v>
      </c>
      <c r="K130" s="24"/>
      <c r="L130" s="20" t="str">
        <f ca="1">IFERROR(__xludf.DUMMYFUNCTION("IMPORTXML(AI130, ""//li[strong[text()='Category:']]"")"),"Loading...")</f>
        <v>Loading...</v>
      </c>
      <c r="M130" s="24"/>
      <c r="N130" s="19" t="str">
        <f ca="1">IFERROR(__xludf.DUMMYFUNCTION("IMPORTXML(AI130, ""//li[strong[text()='Global Sales:']]"")"),"Loading...")</f>
        <v>Loading...</v>
      </c>
      <c r="O130" s="24"/>
      <c r="P130" s="19" t="str">
        <f t="shared" si="0"/>
        <v/>
      </c>
      <c r="Q130" s="19" t="str">
        <f ca="1">IFERROR(__xludf.DUMMYFUNCTION("IMPORTXML(AI130, ""//li[strong[text()='US Units:']]"")"),"Loading...")</f>
        <v>Loading...</v>
      </c>
      <c r="R130" s="24"/>
      <c r="S130" s="19" t="str">
        <f ca="1">IFERROR(__xludf.DUMMYFUNCTION("IMPORTXML(AI130, ""//li[strong[text()='International Units:']]"")"),"Loading...")</f>
        <v>Loading...</v>
      </c>
      <c r="T130" s="44"/>
      <c r="U130" s="19" t="str">
        <f ca="1">IFERROR(__xludf.DUMMYFUNCTION("IMPORTXML(AI130, ""//li[strong[text()='Percent Franchised:']]"")"),"Loading...")</f>
        <v>Loading...</v>
      </c>
      <c r="V130" s="24"/>
      <c r="W130" s="19" t="str">
        <f ca="1">IFERROR(__xludf.DUMMYFUNCTION("IMPORTXML(AI130, ""//li[strong[text()='% International Units:']]"")"),"Loading...")</f>
        <v>Loading...</v>
      </c>
      <c r="X130" s="24"/>
      <c r="Y130" s="19" t="str">
        <f ca="1">IFERROR(__xludf.DUMMYFUNCTION("IMPORTXML(AI130, ""//li[strong[text()='US Franchised Units:']]"")"),"Loading...")</f>
        <v>Loading...</v>
      </c>
      <c r="Z130" s="24"/>
      <c r="AA130" s="14" t="str">
        <f t="shared" si="1"/>
        <v/>
      </c>
      <c r="AB130" s="19" t="str">
        <f ca="1">IFERROR(__xludf.DUMMYFUNCTION("IMPORTXML(AI130, ""//li[strong[text()='International Franchised Units:']]"")"),"Loading...")</f>
        <v>Loading...</v>
      </c>
      <c r="AC130" s="24"/>
      <c r="AD130" s="14" t="str">
        <f t="shared" si="2"/>
        <v/>
      </c>
      <c r="AE130" s="25" t="str">
        <f ca="1">IFERROR(__xludf.DUMMYFUNCTION("IMPORTXML(AI130, ""//li[strong[text()='Sales Growth %:']]"")"),"Loading...")</f>
        <v>Loading...</v>
      </c>
      <c r="AF130" s="24"/>
      <c r="AG130" s="25" t="str">
        <f ca="1">IFERROR(__xludf.DUMMYFUNCTION("IMPORTXML(AI130, ""//li[strong[text()='Unit Growth %:']]"")"),"Loading...")</f>
        <v>Loading...</v>
      </c>
      <c r="AH130" s="25"/>
      <c r="AI130" s="48" t="s">
        <v>145</v>
      </c>
      <c r="AJ130" s="27"/>
      <c r="AK130" s="27"/>
      <c r="AL130" s="27"/>
      <c r="AM130" s="27"/>
      <c r="AN130" s="27"/>
      <c r="AO130" s="27"/>
      <c r="AP130" s="27"/>
      <c r="AQ130" s="27"/>
    </row>
    <row r="131" spans="1:43" ht="14.25" customHeight="1">
      <c r="A131" s="42">
        <v>24.13</v>
      </c>
      <c r="B131" s="14">
        <v>2024</v>
      </c>
      <c r="C131" s="36">
        <v>130</v>
      </c>
      <c r="D131" s="16" t="str">
        <f ca="1">IFERROR(__xludf.DUMMYFUNCTION("IMPORTXML(AI131, ""//h1[@itemprop='headline']/span"")"),"130. The Coffee Bean &amp; Tea Leaf")</f>
        <v>130. The Coffee Bean &amp; Tea Leaf</v>
      </c>
      <c r="E131" s="17" t="str">
        <f ca="1">IFERROR(__xludf.DUMMYFUNCTION("REGEXEXTRACT(D131, ""\.\s*(.+)"")"),"The Coffee Bean &amp; Tea Leaf")</f>
        <v>The Coffee Bean &amp; Tea Leaf</v>
      </c>
      <c r="F131" s="18" t="str">
        <f ca="1">IFERROR(__xludf.DUMMYFUNCTION("IMPORTXML(AI131, ""//li[strong[text()='Investment Range:']]"")"),"#N/A")</f>
        <v>#N/A</v>
      </c>
      <c r="G131" s="43"/>
      <c r="H131" s="18" t="str">
        <f ca="1">IFERROR(__xludf.DUMMYFUNCTION("SUBSTITUTE(REGEXEXTRACT(G131, ""\$(\d{1,3}(?:,\d{3})*)""), "","", ""."")
"),"#N/A")</f>
        <v>#N/A</v>
      </c>
      <c r="I131" s="19" t="str">
        <f ca="1">IFERROR(__xludf.DUMMYFUNCTION("SUBSTITUTE(REGEXEXTRACT(G131, ""-\s*\$(\d{1,3}(?:,\d{3})*)""), "","", ""."")
"),"#N/A")</f>
        <v>#N/A</v>
      </c>
      <c r="J131" s="19" t="str">
        <f ca="1">IFERROR(__xludf.DUMMYFUNCTION("IMPORTXML(AI131, ""//li[strong[text()='Initial Investment:']]"")"),"Loading...")</f>
        <v>Loading...</v>
      </c>
      <c r="K131" s="24"/>
      <c r="L131" s="20" t="str">
        <f ca="1">IFERROR(__xludf.DUMMYFUNCTION("IMPORTXML(AI131, ""//li[strong[text()='Category:']]"")"),"Loading...")</f>
        <v>Loading...</v>
      </c>
      <c r="M131" s="24"/>
      <c r="N131" s="19" t="str">
        <f ca="1">IFERROR(__xludf.DUMMYFUNCTION("IMPORTXML(AI131, ""//li[strong[text()='Global Sales:']]"")"),"Loading...")</f>
        <v>Loading...</v>
      </c>
      <c r="O131" s="24"/>
      <c r="P131" s="19" t="str">
        <f t="shared" si="0"/>
        <v/>
      </c>
      <c r="Q131" s="19" t="str">
        <f ca="1">IFERROR(__xludf.DUMMYFUNCTION("IMPORTXML(AI131, ""//li[strong[text()='US Units:']]"")"),"Loading...")</f>
        <v>Loading...</v>
      </c>
      <c r="R131" s="24"/>
      <c r="S131" s="19" t="str">
        <f ca="1">IFERROR(__xludf.DUMMYFUNCTION("IMPORTXML(AI131, ""//li[strong[text()='International Units:']]"")"),"Loading...")</f>
        <v>Loading...</v>
      </c>
      <c r="T131" s="44"/>
      <c r="U131" s="19" t="str">
        <f ca="1">IFERROR(__xludf.DUMMYFUNCTION("IMPORTXML(AI131, ""//li[strong[text()='Percent Franchised:']]"")"),"Loading...")</f>
        <v>Loading...</v>
      </c>
      <c r="V131" s="24"/>
      <c r="W131" s="19" t="str">
        <f ca="1">IFERROR(__xludf.DUMMYFUNCTION("IMPORTXML(AI131, ""//li[strong[text()='% International Units:']]"")"),"Loading...")</f>
        <v>Loading...</v>
      </c>
      <c r="X131" s="24"/>
      <c r="Y131" s="19" t="str">
        <f ca="1">IFERROR(__xludf.DUMMYFUNCTION("IMPORTXML(AI131, ""//li[strong[text()='US Franchised Units:']]"")"),"Loading...")</f>
        <v>Loading...</v>
      </c>
      <c r="Z131" s="24"/>
      <c r="AA131" s="14" t="str">
        <f t="shared" si="1"/>
        <v/>
      </c>
      <c r="AB131" s="19" t="str">
        <f ca="1">IFERROR(__xludf.DUMMYFUNCTION("IMPORTXML(AI131, ""//li[strong[text()='International Franchised Units:']]"")"),"Loading...")</f>
        <v>Loading...</v>
      </c>
      <c r="AC131" s="24"/>
      <c r="AD131" s="14" t="str">
        <f t="shared" si="2"/>
        <v/>
      </c>
      <c r="AE131" s="25" t="str">
        <f ca="1">IFERROR(__xludf.DUMMYFUNCTION("IMPORTXML(AI131, ""//li[strong[text()='Sales Growth %:']]"")"),"Loading...")</f>
        <v>Loading...</v>
      </c>
      <c r="AF131" s="24"/>
      <c r="AG131" s="25" t="str">
        <f ca="1">IFERROR(__xludf.DUMMYFUNCTION("IMPORTXML(AI131, ""//li[strong[text()='Unit Growth %:']]"")"),"Loading...")</f>
        <v>Loading...</v>
      </c>
      <c r="AH131" s="25"/>
      <c r="AI131" s="48" t="s">
        <v>146</v>
      </c>
      <c r="AJ131" s="27"/>
      <c r="AK131" s="27"/>
      <c r="AL131" s="27"/>
      <c r="AM131" s="27"/>
      <c r="AN131" s="27"/>
      <c r="AO131" s="27"/>
      <c r="AP131" s="27"/>
      <c r="AQ131" s="27"/>
    </row>
    <row r="132" spans="1:43" ht="14.25" customHeight="1">
      <c r="A132" s="42">
        <v>24.131</v>
      </c>
      <c r="B132" s="14">
        <v>2024</v>
      </c>
      <c r="C132" s="36">
        <v>131</v>
      </c>
      <c r="D132" s="16" t="str">
        <f ca="1">IFERROR(__xludf.DUMMYFUNCTION("IMPORTXML(AI132, ""//h1[@itemprop='headline']/span"")"),"131. Gold's Gym")</f>
        <v>131. Gold's Gym</v>
      </c>
      <c r="E132" s="17" t="str">
        <f ca="1">IFERROR(__xludf.DUMMYFUNCTION("REGEXEXTRACT(D132, ""\.\s*(.+)"")"),"Gold's Gym")</f>
        <v>Gold's Gym</v>
      </c>
      <c r="F132" s="18" t="str">
        <f ca="1">IFERROR(__xludf.DUMMYFUNCTION("IMPORTXML(AI132, ""//li[strong[text()='Investment Range:']]"")"),"#N/A")</f>
        <v>#N/A</v>
      </c>
      <c r="G132" s="43"/>
      <c r="H132" s="18" t="str">
        <f ca="1">IFERROR(__xludf.DUMMYFUNCTION("SUBSTITUTE(REGEXEXTRACT(G132, ""\$(\d{1,3}(?:,\d{3})*)""), "","", ""."")
"),"#N/A")</f>
        <v>#N/A</v>
      </c>
      <c r="I132" s="19" t="str">
        <f ca="1">IFERROR(__xludf.DUMMYFUNCTION("SUBSTITUTE(REGEXEXTRACT(G132, ""-\s*\$(\d{1,3}(?:,\d{3})*)""), "","", ""."")
"),"#N/A")</f>
        <v>#N/A</v>
      </c>
      <c r="J132" s="19" t="str">
        <f ca="1">IFERROR(__xludf.DUMMYFUNCTION("IMPORTXML(AI132, ""//li[strong[text()='Initial Investment:']]"")"),"Loading...")</f>
        <v>Loading...</v>
      </c>
      <c r="K132" s="24"/>
      <c r="L132" s="20" t="str">
        <f ca="1">IFERROR(__xludf.DUMMYFUNCTION("IMPORTXML(AI132, ""//li[strong[text()='Category:']]"")"),"Loading...")</f>
        <v>Loading...</v>
      </c>
      <c r="M132" s="24"/>
      <c r="N132" s="19" t="str">
        <f ca="1">IFERROR(__xludf.DUMMYFUNCTION("IMPORTXML(AI132, ""//li[strong[text()='Global Sales:']]"")"),"Loading...")</f>
        <v>Loading...</v>
      </c>
      <c r="O132" s="24"/>
      <c r="P132" s="19" t="str">
        <f t="shared" si="0"/>
        <v/>
      </c>
      <c r="Q132" s="19" t="str">
        <f ca="1">IFERROR(__xludf.DUMMYFUNCTION("IMPORTXML(AI132, ""//li[strong[text()='US Units:']]"")"),"Loading...")</f>
        <v>Loading...</v>
      </c>
      <c r="R132" s="24"/>
      <c r="S132" s="19" t="str">
        <f ca="1">IFERROR(__xludf.DUMMYFUNCTION("IMPORTXML(AI132, ""//li[strong[text()='International Units:']]"")"),"Loading...")</f>
        <v>Loading...</v>
      </c>
      <c r="T132" s="44"/>
      <c r="U132" s="19" t="str">
        <f ca="1">IFERROR(__xludf.DUMMYFUNCTION("IMPORTXML(AI132, ""//li[strong[text()='Percent Franchised:']]"")"),"Loading...")</f>
        <v>Loading...</v>
      </c>
      <c r="V132" s="24"/>
      <c r="W132" s="19" t="str">
        <f ca="1">IFERROR(__xludf.DUMMYFUNCTION("IMPORTXML(AI132, ""//li[strong[text()='% International Units:']]"")"),"Loading...")</f>
        <v>Loading...</v>
      </c>
      <c r="X132" s="24"/>
      <c r="Y132" s="19" t="str">
        <f ca="1">IFERROR(__xludf.DUMMYFUNCTION("IMPORTXML(AI132, ""//li[strong[text()='US Franchised Units:']]"")"),"Loading...")</f>
        <v>Loading...</v>
      </c>
      <c r="Z132" s="24"/>
      <c r="AA132" s="14" t="str">
        <f t="shared" si="1"/>
        <v/>
      </c>
      <c r="AB132" s="19" t="str">
        <f ca="1">IFERROR(__xludf.DUMMYFUNCTION("IMPORTXML(AI132, ""//li[strong[text()='International Franchised Units:']]"")"),"Loading...")</f>
        <v>Loading...</v>
      </c>
      <c r="AC132" s="24"/>
      <c r="AD132" s="14" t="str">
        <f t="shared" si="2"/>
        <v/>
      </c>
      <c r="AE132" s="25" t="str">
        <f ca="1">IFERROR(__xludf.DUMMYFUNCTION("IMPORTXML(AI132, ""//li[strong[text()='Sales Growth %:']]"")"),"Loading...")</f>
        <v>Loading...</v>
      </c>
      <c r="AF132" s="24"/>
      <c r="AG132" s="25" t="str">
        <f ca="1">IFERROR(__xludf.DUMMYFUNCTION("IMPORTXML(AI132, ""//li[strong[text()='Unit Growth %:']]"")"),"Loading...")</f>
        <v>Loading...</v>
      </c>
      <c r="AH132" s="25"/>
      <c r="AI132" s="48" t="s">
        <v>147</v>
      </c>
      <c r="AJ132" s="27"/>
      <c r="AK132" s="27"/>
      <c r="AL132" s="27"/>
      <c r="AM132" s="27"/>
      <c r="AN132" s="27"/>
      <c r="AO132" s="27"/>
      <c r="AP132" s="27"/>
      <c r="AQ132" s="27"/>
    </row>
    <row r="133" spans="1:43" ht="14.25" customHeight="1">
      <c r="A133" s="42">
        <v>24.132000000000001</v>
      </c>
      <c r="B133" s="14">
        <v>2024</v>
      </c>
      <c r="C133" s="15">
        <v>132</v>
      </c>
      <c r="D133" s="16" t="str">
        <f ca="1">IFERROR(__xludf.DUMMYFUNCTION("IMPORTXML(AI133, ""//h1[@itemprop='headline']/span"")"),"132. Precision Door Service")</f>
        <v>132. Precision Door Service</v>
      </c>
      <c r="E133" s="17" t="str">
        <f ca="1">IFERROR(__xludf.DUMMYFUNCTION("REGEXEXTRACT(D133, ""\.\s*(.+)"")"),"Precision Door Service")</f>
        <v>Precision Door Service</v>
      </c>
      <c r="F133" s="18" t="str">
        <f ca="1">IFERROR(__xludf.DUMMYFUNCTION("IMPORTXML(AI133, ""//li[strong[text()='Investment Range:']]"")"),"Investment Range:")</f>
        <v>Investment Range:</v>
      </c>
      <c r="G133" s="43" t="str">
        <f ca="1">IFERROR(__xludf.DUMMYFUNCTION("""COMPUTED_VALUE""")," $145,350 - $317,850")</f>
        <v xml:space="preserve"> $145,350 - $317,850</v>
      </c>
      <c r="H133" s="18" t="str">
        <f ca="1">IFERROR(__xludf.DUMMYFUNCTION("SUBSTITUTE(REGEXEXTRACT(G133, ""\$(\d{1,3}(?:,\d{3})*)""), "","", ""."")
"),"145.350")</f>
        <v>145.350</v>
      </c>
      <c r="I133" s="19" t="str">
        <f ca="1">IFERROR(__xludf.DUMMYFUNCTION("SUBSTITUTE(REGEXEXTRACT(G133, ""-\s*\$(\d{1,3}(?:,\d{3})*)""), "","", ""."")
"),"317.850")</f>
        <v>317.850</v>
      </c>
      <c r="J133" s="19" t="str">
        <f ca="1">IFERROR(__xludf.DUMMYFUNCTION("IMPORTXML(AI133, ""//li[strong[text()='Initial Investment:']]"")"),"Loading...")</f>
        <v>Loading...</v>
      </c>
      <c r="K133" s="24"/>
      <c r="L133" s="20" t="str">
        <f ca="1">IFERROR(__xludf.DUMMYFUNCTION("IMPORTXML(AI133, ""//li[strong[text()='Category:']]"")"),"Loading...")</f>
        <v>Loading...</v>
      </c>
      <c r="M133" s="24"/>
      <c r="N133" s="19" t="str">
        <f ca="1">IFERROR(__xludf.DUMMYFUNCTION("IMPORTXML(AI133, ""//li[strong[text()='Global Sales:']]"")"),"Loading...")</f>
        <v>Loading...</v>
      </c>
      <c r="O133" s="24"/>
      <c r="P133" s="19" t="str">
        <f t="shared" si="0"/>
        <v/>
      </c>
      <c r="Q133" s="19" t="str">
        <f ca="1">IFERROR(__xludf.DUMMYFUNCTION("IMPORTXML(AI133, ""//li[strong[text()='US Units:']]"")"),"Loading...")</f>
        <v>Loading...</v>
      </c>
      <c r="R133" s="24"/>
      <c r="S133" s="19" t="str">
        <f ca="1">IFERROR(__xludf.DUMMYFUNCTION("IMPORTXML(AI133, ""//li[strong[text()='International Units:']]"")"),"Loading...")</f>
        <v>Loading...</v>
      </c>
      <c r="T133" s="44"/>
      <c r="U133" s="19" t="str">
        <f ca="1">IFERROR(__xludf.DUMMYFUNCTION("IMPORTXML(AI133, ""//li[strong[text()='Percent Franchised:']]"")"),"Loading...")</f>
        <v>Loading...</v>
      </c>
      <c r="V133" s="24"/>
      <c r="W133" s="19" t="str">
        <f ca="1">IFERROR(__xludf.DUMMYFUNCTION("IMPORTXML(AI133, ""//li[strong[text()='% International Units:']]"")"),"Loading...")</f>
        <v>Loading...</v>
      </c>
      <c r="X133" s="24"/>
      <c r="Y133" s="19" t="str">
        <f ca="1">IFERROR(__xludf.DUMMYFUNCTION("IMPORTXML(AI133, ""//li[strong[text()='US Franchised Units:']]"")"),"Loading...")</f>
        <v>Loading...</v>
      </c>
      <c r="Z133" s="24"/>
      <c r="AA133" s="14" t="str">
        <f t="shared" si="1"/>
        <v/>
      </c>
      <c r="AB133" s="19" t="str">
        <f ca="1">IFERROR(__xludf.DUMMYFUNCTION("IMPORTXML(AI133, ""//li[strong[text()='International Franchised Units:']]"")"),"Loading...")</f>
        <v>Loading...</v>
      </c>
      <c r="AC133" s="24"/>
      <c r="AD133" s="14" t="str">
        <f t="shared" si="2"/>
        <v/>
      </c>
      <c r="AE133" s="25" t="str">
        <f ca="1">IFERROR(__xludf.DUMMYFUNCTION("IMPORTXML(AI133, ""//li[strong[text()='Sales Growth %:']]"")"),"Loading...")</f>
        <v>Loading...</v>
      </c>
      <c r="AF133" s="24"/>
      <c r="AG133" s="25" t="str">
        <f ca="1">IFERROR(__xludf.DUMMYFUNCTION("IMPORTXML(AI133, ""//li[strong[text()='Unit Growth %:']]"")"),"Loading...")</f>
        <v>Loading...</v>
      </c>
      <c r="AH133" s="25"/>
      <c r="AI133" s="48" t="s">
        <v>148</v>
      </c>
      <c r="AJ133" s="27"/>
      <c r="AK133" s="27"/>
      <c r="AL133" s="27"/>
      <c r="AM133" s="27"/>
      <c r="AN133" s="27"/>
      <c r="AO133" s="27"/>
      <c r="AP133" s="27"/>
      <c r="AQ133" s="27"/>
    </row>
    <row r="134" spans="1:43" ht="14.25" customHeight="1">
      <c r="A134" s="42">
        <v>24.132999999999999</v>
      </c>
      <c r="B134" s="14">
        <v>2024</v>
      </c>
      <c r="C134" s="32">
        <v>133</v>
      </c>
      <c r="D134" s="16" t="str">
        <f ca="1">IFERROR(__xludf.DUMMYFUNCTION("IMPORTXML(AI134, ""//h1[@itemprop='headline']/span"")"),"133. Einstein Bros. Bagels")</f>
        <v>133. Einstein Bros. Bagels</v>
      </c>
      <c r="E134" s="17" t="str">
        <f ca="1">IFERROR(__xludf.DUMMYFUNCTION("REGEXEXTRACT(D134, ""\.\s*(.+)"")"),"Einstein Bros. Bagels")</f>
        <v>Einstein Bros. Bagels</v>
      </c>
      <c r="F134" s="18" t="str">
        <f ca="1">IFERROR(__xludf.DUMMYFUNCTION("IMPORTXML(AI134, ""//li[strong[text()='Investment Range:']]"")"),"#N/A")</f>
        <v>#N/A</v>
      </c>
      <c r="G134" s="43"/>
      <c r="H134" s="18" t="str">
        <f ca="1">IFERROR(__xludf.DUMMYFUNCTION("SUBSTITUTE(REGEXEXTRACT(G134, ""\$(\d{1,3}(?:,\d{3})*)""), "","", ""."")
"),"#N/A")</f>
        <v>#N/A</v>
      </c>
      <c r="I134" s="19" t="str">
        <f ca="1">IFERROR(__xludf.DUMMYFUNCTION("SUBSTITUTE(REGEXEXTRACT(G134, ""-\s*\$(\d{1,3}(?:,\d{3})*)""), "","", ""."")
"),"#N/A")</f>
        <v>#N/A</v>
      </c>
      <c r="J134" s="19" t="str">
        <f ca="1">IFERROR(__xludf.DUMMYFUNCTION("IMPORTXML(AI134, ""//li[strong[text()='Initial Investment:']]"")"),"Loading...")</f>
        <v>Loading...</v>
      </c>
      <c r="K134" s="24"/>
      <c r="L134" s="20" t="str">
        <f ca="1">IFERROR(__xludf.DUMMYFUNCTION("IMPORTXML(AI134, ""//li[strong[text()='Category:']]"")"),"Loading...")</f>
        <v>Loading...</v>
      </c>
      <c r="M134" s="24"/>
      <c r="N134" s="19" t="str">
        <f ca="1">IFERROR(__xludf.DUMMYFUNCTION("IMPORTXML(AI134, ""//li[strong[text()='Global Sales:']]"")"),"Loading...")</f>
        <v>Loading...</v>
      </c>
      <c r="O134" s="24"/>
      <c r="P134" s="19" t="str">
        <f t="shared" si="0"/>
        <v/>
      </c>
      <c r="Q134" s="19" t="str">
        <f ca="1">IFERROR(__xludf.DUMMYFUNCTION("IMPORTXML(AI134, ""//li[strong[text()='US Units:']]"")"),"Loading...")</f>
        <v>Loading...</v>
      </c>
      <c r="R134" s="24"/>
      <c r="S134" s="19" t="str">
        <f ca="1">IFERROR(__xludf.DUMMYFUNCTION("IMPORTXML(AI134, ""//li[strong[text()='International Units:']]"")"),"Loading...")</f>
        <v>Loading...</v>
      </c>
      <c r="T134" s="44"/>
      <c r="U134" s="19" t="str">
        <f ca="1">IFERROR(__xludf.DUMMYFUNCTION("IMPORTXML(AI134, ""//li[strong[text()='Percent Franchised:']]"")"),"Loading...")</f>
        <v>Loading...</v>
      </c>
      <c r="V134" s="24"/>
      <c r="W134" s="19" t="str">
        <f ca="1">IFERROR(__xludf.DUMMYFUNCTION("IMPORTXML(AI134, ""//li[strong[text()='% International Units:']]"")"),"Loading...")</f>
        <v>Loading...</v>
      </c>
      <c r="X134" s="24"/>
      <c r="Y134" s="19" t="str">
        <f ca="1">IFERROR(__xludf.DUMMYFUNCTION("IMPORTXML(AI134, ""//li[strong[text()='US Franchised Units:']]"")"),"Loading...")</f>
        <v>Loading...</v>
      </c>
      <c r="Z134" s="24"/>
      <c r="AA134" s="14" t="str">
        <f t="shared" si="1"/>
        <v/>
      </c>
      <c r="AB134" s="19" t="str">
        <f ca="1">IFERROR(__xludf.DUMMYFUNCTION("IMPORTXML(AI134, ""//li[strong[text()='International Franchised Units:']]"")"),"Loading...")</f>
        <v>Loading...</v>
      </c>
      <c r="AC134" s="24"/>
      <c r="AD134" s="14" t="str">
        <f t="shared" si="2"/>
        <v/>
      </c>
      <c r="AE134" s="25" t="str">
        <f ca="1">IFERROR(__xludf.DUMMYFUNCTION("IMPORTXML(AI134, ""//li[strong[text()='Sales Growth %:']]"")"),"Loading...")</f>
        <v>Loading...</v>
      </c>
      <c r="AF134" s="24"/>
      <c r="AG134" s="25" t="str">
        <f ca="1">IFERROR(__xludf.DUMMYFUNCTION("IMPORTXML(AI134, ""//li[strong[text()='Unit Growth %:']]"")"),"Loading...")</f>
        <v>Loading...</v>
      </c>
      <c r="AH134" s="25"/>
      <c r="AI134" s="48" t="s">
        <v>149</v>
      </c>
      <c r="AJ134" s="27"/>
      <c r="AK134" s="27"/>
      <c r="AL134" s="27"/>
      <c r="AM134" s="27"/>
      <c r="AN134" s="27"/>
      <c r="AO134" s="27"/>
      <c r="AP134" s="27"/>
      <c r="AQ134" s="27"/>
    </row>
    <row r="135" spans="1:43" ht="14.25" customHeight="1">
      <c r="A135" s="42">
        <v>24.134</v>
      </c>
      <c r="B135" s="14">
        <v>2024</v>
      </c>
      <c r="C135" s="36">
        <v>134</v>
      </c>
      <c r="D135" s="16" t="str">
        <f ca="1">IFERROR(__xludf.DUMMYFUNCTION("IMPORTXML(AI135, ""//h1[@itemprop='headline']/span"")"),"134. Minuteman Press")</f>
        <v>134. Minuteman Press</v>
      </c>
      <c r="E135" s="17" t="str">
        <f ca="1">IFERROR(__xludf.DUMMYFUNCTION("REGEXEXTRACT(D135, ""\.\s*(.+)"")"),"Minuteman Press")</f>
        <v>Minuteman Press</v>
      </c>
      <c r="F135" s="18" t="str">
        <f ca="1">IFERROR(__xludf.DUMMYFUNCTION("IMPORTXML(AI135, ""//li[strong[text()='Investment Range:']]"")"),"#N/A")</f>
        <v>#N/A</v>
      </c>
      <c r="G135" s="43"/>
      <c r="H135" s="18" t="str">
        <f ca="1">IFERROR(__xludf.DUMMYFUNCTION("SUBSTITUTE(REGEXEXTRACT(G135, ""\$(\d{1,3}(?:,\d{3})*)""), "","", ""."")
"),"#N/A")</f>
        <v>#N/A</v>
      </c>
      <c r="I135" s="19" t="str">
        <f ca="1">IFERROR(__xludf.DUMMYFUNCTION("SUBSTITUTE(REGEXEXTRACT(G135, ""-\s*\$(\d{1,3}(?:,\d{3})*)""), "","", ""."")
"),"#N/A")</f>
        <v>#N/A</v>
      </c>
      <c r="J135" s="19" t="str">
        <f ca="1">IFERROR(__xludf.DUMMYFUNCTION("IMPORTXML(AI135, ""//li[strong[text()='Initial Investment:']]"")"),"Loading...")</f>
        <v>Loading...</v>
      </c>
      <c r="K135" s="24"/>
      <c r="L135" s="20" t="str">
        <f ca="1">IFERROR(__xludf.DUMMYFUNCTION("IMPORTXML(AI135, ""//li[strong[text()='Category:']]"")"),"Loading...")</f>
        <v>Loading...</v>
      </c>
      <c r="M135" s="24"/>
      <c r="N135" s="19" t="str">
        <f ca="1">IFERROR(__xludf.DUMMYFUNCTION("IMPORTXML(AI135, ""//li[strong[text()='Global Sales:']]"")"),"Loading...")</f>
        <v>Loading...</v>
      </c>
      <c r="O135" s="24"/>
      <c r="P135" s="19" t="str">
        <f t="shared" si="0"/>
        <v/>
      </c>
      <c r="Q135" s="19" t="str">
        <f ca="1">IFERROR(__xludf.DUMMYFUNCTION("IMPORTXML(AI135, ""//li[strong[text()='US Units:']]"")"),"Loading...")</f>
        <v>Loading...</v>
      </c>
      <c r="R135" s="24"/>
      <c r="S135" s="19" t="str">
        <f ca="1">IFERROR(__xludf.DUMMYFUNCTION("IMPORTXML(AI135, ""//li[strong[text()='International Units:']]"")"),"Loading...")</f>
        <v>Loading...</v>
      </c>
      <c r="T135" s="44"/>
      <c r="U135" s="19" t="str">
        <f ca="1">IFERROR(__xludf.DUMMYFUNCTION("IMPORTXML(AI135, ""//li[strong[text()='Percent Franchised:']]"")"),"Loading...")</f>
        <v>Loading...</v>
      </c>
      <c r="V135" s="24"/>
      <c r="W135" s="19" t="str">
        <f ca="1">IFERROR(__xludf.DUMMYFUNCTION("IMPORTXML(AI135, ""//li[strong[text()='% International Units:']]"")"),"Loading...")</f>
        <v>Loading...</v>
      </c>
      <c r="X135" s="24"/>
      <c r="Y135" s="19" t="str">
        <f ca="1">IFERROR(__xludf.DUMMYFUNCTION("IMPORTXML(AI135, ""//li[strong[text()='US Franchised Units:']]"")"),"Loading...")</f>
        <v>Loading...</v>
      </c>
      <c r="Z135" s="24"/>
      <c r="AA135" s="14" t="str">
        <f t="shared" si="1"/>
        <v/>
      </c>
      <c r="AB135" s="19" t="str">
        <f ca="1">IFERROR(__xludf.DUMMYFUNCTION("IMPORTXML(AI135, ""//li[strong[text()='International Franchised Units:']]"")"),"Loading...")</f>
        <v>Loading...</v>
      </c>
      <c r="AC135" s="24"/>
      <c r="AD135" s="14" t="str">
        <f t="shared" si="2"/>
        <v/>
      </c>
      <c r="AE135" s="25" t="str">
        <f ca="1">IFERROR(__xludf.DUMMYFUNCTION("IMPORTXML(AI135, ""//li[strong[text()='Sales Growth %:']]"")"),"Loading...")</f>
        <v>Loading...</v>
      </c>
      <c r="AF135" s="24"/>
      <c r="AG135" s="25" t="str">
        <f ca="1">IFERROR(__xludf.DUMMYFUNCTION("IMPORTXML(AI135, ""//li[strong[text()='Unit Growth %:']]"")"),"#N/A")</f>
        <v>#N/A</v>
      </c>
      <c r="AH135" s="25"/>
      <c r="AI135" s="48" t="s">
        <v>150</v>
      </c>
      <c r="AJ135" s="27"/>
      <c r="AK135" s="27"/>
      <c r="AL135" s="27"/>
      <c r="AM135" s="27"/>
      <c r="AN135" s="27"/>
      <c r="AO135" s="27"/>
      <c r="AP135" s="27"/>
      <c r="AQ135" s="27"/>
    </row>
    <row r="136" spans="1:43" ht="14.25" customHeight="1">
      <c r="A136" s="42">
        <v>24.135000000000002</v>
      </c>
      <c r="B136" s="14">
        <v>2024</v>
      </c>
      <c r="C136" s="36">
        <v>135</v>
      </c>
      <c r="D136" s="16" t="str">
        <f ca="1">IFERROR(__xludf.DUMMYFUNCTION("IMPORTXML(AI136, ""//h1[@itemprop='headline']/span"")"),"135. Urban Air Adventure Parks")</f>
        <v>135. Urban Air Adventure Parks</v>
      </c>
      <c r="E136" s="17" t="str">
        <f ca="1">IFERROR(__xludf.DUMMYFUNCTION("REGEXEXTRACT(D136, ""\.\s*(.+)"")"),"Urban Air Adventure Parks")</f>
        <v>Urban Air Adventure Parks</v>
      </c>
      <c r="F136" s="18" t="str">
        <f ca="1">IFERROR(__xludf.DUMMYFUNCTION("IMPORTXML(AI136, ""//li[strong[text()='Investment Range:']]"")"),"Investment Range:")</f>
        <v>Investment Range:</v>
      </c>
      <c r="G136" s="43" t="str">
        <f ca="1">IFERROR(__xludf.DUMMYFUNCTION("""COMPUTED_VALUE""")," $3,554,475 - $5,634,097")</f>
        <v xml:space="preserve"> $3,554,475 - $5,634,097</v>
      </c>
      <c r="H136" s="18" t="str">
        <f ca="1">IFERROR(__xludf.DUMMYFUNCTION("SUBSTITUTE(REGEXEXTRACT(G136, ""\$(\d{1,3}(?:,\d{3})*)""), "","", ""."")
"),"3.554.475")</f>
        <v>3.554.475</v>
      </c>
      <c r="I136" s="19" t="str">
        <f ca="1">IFERROR(__xludf.DUMMYFUNCTION("SUBSTITUTE(REGEXEXTRACT(G136, ""-\s*\$(\d{1,3}(?:,\d{3})*)""), "","", ""."")
"),"5.634.097")</f>
        <v>5.634.097</v>
      </c>
      <c r="J136" s="19" t="str">
        <f ca="1">IFERROR(__xludf.DUMMYFUNCTION("IMPORTXML(AI136, ""//li[strong[text()='Initial Investment:']]"")"),"Loading...")</f>
        <v>Loading...</v>
      </c>
      <c r="K136" s="24"/>
      <c r="L136" s="20" t="str">
        <f ca="1">IFERROR(__xludf.DUMMYFUNCTION("IMPORTXML(AI136, ""//li[strong[text()='Category:']]"")"),"Loading...")</f>
        <v>Loading...</v>
      </c>
      <c r="M136" s="24"/>
      <c r="N136" s="19" t="str">
        <f ca="1">IFERROR(__xludf.DUMMYFUNCTION("IMPORTXML(AI136, ""//li[strong[text()='Global Sales:']]"")"),"Loading...")</f>
        <v>Loading...</v>
      </c>
      <c r="O136" s="24"/>
      <c r="P136" s="19" t="str">
        <f t="shared" si="0"/>
        <v/>
      </c>
      <c r="Q136" s="19" t="str">
        <f ca="1">IFERROR(__xludf.DUMMYFUNCTION("IMPORTXML(AI136, ""//li[strong[text()='US Units:']]"")"),"Loading...")</f>
        <v>Loading...</v>
      </c>
      <c r="R136" s="24"/>
      <c r="S136" s="19" t="str">
        <f ca="1">IFERROR(__xludf.DUMMYFUNCTION("IMPORTXML(AI136, ""//li[strong[text()='International Units:']]"")"),"Loading...")</f>
        <v>Loading...</v>
      </c>
      <c r="T136" s="44"/>
      <c r="U136" s="19" t="str">
        <f ca="1">IFERROR(__xludf.DUMMYFUNCTION("IMPORTXML(AI136, ""//li[strong[text()='Percent Franchised:']]"")"),"Loading...")</f>
        <v>Loading...</v>
      </c>
      <c r="V136" s="24"/>
      <c r="W136" s="19" t="str">
        <f ca="1">IFERROR(__xludf.DUMMYFUNCTION("IMPORTXML(AI136, ""//li[strong[text()='% International Units:']]"")"),"Loading...")</f>
        <v>Loading...</v>
      </c>
      <c r="X136" s="24"/>
      <c r="Y136" s="19" t="str">
        <f ca="1">IFERROR(__xludf.DUMMYFUNCTION("IMPORTXML(AI136, ""//li[strong[text()='US Franchised Units:']]"")"),"Loading...")</f>
        <v>Loading...</v>
      </c>
      <c r="Z136" s="24"/>
      <c r="AA136" s="14" t="str">
        <f t="shared" si="1"/>
        <v/>
      </c>
      <c r="AB136" s="19" t="str">
        <f ca="1">IFERROR(__xludf.DUMMYFUNCTION("IMPORTXML(AI136, ""//li[strong[text()='International Franchised Units:']]"")"),"Loading...")</f>
        <v>Loading...</v>
      </c>
      <c r="AC136" s="24"/>
      <c r="AD136" s="14" t="str">
        <f t="shared" si="2"/>
        <v/>
      </c>
      <c r="AE136" s="25" t="str">
        <f ca="1">IFERROR(__xludf.DUMMYFUNCTION("IMPORTXML(AI136, ""//li[strong[text()='Sales Growth %:']]"")"),"Loading...")</f>
        <v>Loading...</v>
      </c>
      <c r="AF136" s="24"/>
      <c r="AG136" s="25" t="str">
        <f ca="1">IFERROR(__xludf.DUMMYFUNCTION("IMPORTXML(AI136, ""//li[strong[text()='Unit Growth %:']]"")"),"Loading...")</f>
        <v>Loading...</v>
      </c>
      <c r="AH136" s="25"/>
      <c r="AI136" s="48" t="s">
        <v>151</v>
      </c>
      <c r="AJ136" s="27"/>
      <c r="AK136" s="27"/>
      <c r="AL136" s="27"/>
      <c r="AM136" s="27"/>
      <c r="AN136" s="27"/>
      <c r="AO136" s="27"/>
      <c r="AP136" s="27"/>
      <c r="AQ136" s="27"/>
    </row>
    <row r="137" spans="1:43" ht="14.25" customHeight="1">
      <c r="A137" s="42">
        <v>24.135999999999999</v>
      </c>
      <c r="B137" s="14">
        <v>2024</v>
      </c>
      <c r="C137" s="15">
        <v>136</v>
      </c>
      <c r="D137" s="16" t="str">
        <f ca="1">IFERROR(__xludf.DUMMYFUNCTION("IMPORTXML(AI137, ""//h1[@itemprop='headline']/span"")"),"136. Maaco")</f>
        <v>136. Maaco</v>
      </c>
      <c r="E137" s="17" t="str">
        <f ca="1">IFERROR(__xludf.DUMMYFUNCTION("REGEXEXTRACT(D137, ""\.\s*(.+)"")"),"Maaco")</f>
        <v>Maaco</v>
      </c>
      <c r="F137" s="18" t="str">
        <f ca="1">IFERROR(__xludf.DUMMYFUNCTION("IMPORTXML(AI137, ""//li[strong[text()='Investment Range:']]"")"),"#N/A")</f>
        <v>#N/A</v>
      </c>
      <c r="G137" s="43"/>
      <c r="H137" s="18" t="str">
        <f ca="1">IFERROR(__xludf.DUMMYFUNCTION("SUBSTITUTE(REGEXEXTRACT(G137, ""\$(\d{1,3}(?:,\d{3})*)""), "","", ""."")
"),"#N/A")</f>
        <v>#N/A</v>
      </c>
      <c r="I137" s="19" t="str">
        <f ca="1">IFERROR(__xludf.DUMMYFUNCTION("SUBSTITUTE(REGEXEXTRACT(G137, ""-\s*\$(\d{1,3}(?:,\d{3})*)""), "","", ""."")
"),"#N/A")</f>
        <v>#N/A</v>
      </c>
      <c r="J137" s="19" t="str">
        <f ca="1">IFERROR(__xludf.DUMMYFUNCTION("IMPORTXML(AI137, ""//li[strong[text()='Initial Investment:']]"")"),"Loading...")</f>
        <v>Loading...</v>
      </c>
      <c r="K137" s="24"/>
      <c r="L137" s="20" t="str">
        <f ca="1">IFERROR(__xludf.DUMMYFUNCTION("IMPORTXML(AI137, ""//li[strong[text()='Category:']]"")"),"Loading...")</f>
        <v>Loading...</v>
      </c>
      <c r="M137" s="24"/>
      <c r="N137" s="19" t="str">
        <f ca="1">IFERROR(__xludf.DUMMYFUNCTION("IMPORTXML(AI137, ""//li[strong[text()='Global Sales:']]"")"),"Loading...")</f>
        <v>Loading...</v>
      </c>
      <c r="O137" s="24"/>
      <c r="P137" s="19" t="str">
        <f t="shared" si="0"/>
        <v/>
      </c>
      <c r="Q137" s="19" t="str">
        <f ca="1">IFERROR(__xludf.DUMMYFUNCTION("IMPORTXML(AI137, ""//li[strong[text()='US Units:']]"")"),"Loading...")</f>
        <v>Loading...</v>
      </c>
      <c r="R137" s="24"/>
      <c r="S137" s="19" t="str">
        <f ca="1">IFERROR(__xludf.DUMMYFUNCTION("IMPORTXML(AI137, ""//li[strong[text()='International Units:']]"")"),"Loading...")</f>
        <v>Loading...</v>
      </c>
      <c r="T137" s="44"/>
      <c r="U137" s="19" t="str">
        <f ca="1">IFERROR(__xludf.DUMMYFUNCTION("IMPORTXML(AI137, ""//li[strong[text()='Percent Franchised:']]"")"),"Loading...")</f>
        <v>Loading...</v>
      </c>
      <c r="V137" s="24"/>
      <c r="W137" s="19" t="str">
        <f ca="1">IFERROR(__xludf.DUMMYFUNCTION("IMPORTXML(AI137, ""//li[strong[text()='% International Units:']]"")"),"#N/A")</f>
        <v>#N/A</v>
      </c>
      <c r="X137" s="24"/>
      <c r="Y137" s="19" t="str">
        <f ca="1">IFERROR(__xludf.DUMMYFUNCTION("IMPORTXML(AI137, ""//li[strong[text()='US Franchised Units:']]"")"),"Loading...")</f>
        <v>Loading...</v>
      </c>
      <c r="Z137" s="24"/>
      <c r="AA137" s="14" t="str">
        <f t="shared" si="1"/>
        <v/>
      </c>
      <c r="AB137" s="19" t="str">
        <f ca="1">IFERROR(__xludf.DUMMYFUNCTION("IMPORTXML(AI137, ""//li[strong[text()='International Franchised Units:']]"")"),"Loading...")</f>
        <v>Loading...</v>
      </c>
      <c r="AC137" s="24"/>
      <c r="AD137" s="14" t="str">
        <f t="shared" si="2"/>
        <v/>
      </c>
      <c r="AE137" s="25" t="str">
        <f ca="1">IFERROR(__xludf.DUMMYFUNCTION("IMPORTXML(AI137, ""//li[strong[text()='Sales Growth %:']]"")"),"Loading...")</f>
        <v>Loading...</v>
      </c>
      <c r="AF137" s="24"/>
      <c r="AG137" s="25" t="str">
        <f ca="1">IFERROR(__xludf.DUMMYFUNCTION("IMPORTXML(AI137, ""//li[strong[text()='Unit Growth %:']]"")"),"#N/A")</f>
        <v>#N/A</v>
      </c>
      <c r="AH137" s="25"/>
      <c r="AI137" s="48" t="s">
        <v>152</v>
      </c>
      <c r="AJ137" s="27"/>
      <c r="AK137" s="27"/>
      <c r="AL137" s="27"/>
      <c r="AM137" s="27"/>
      <c r="AN137" s="27"/>
      <c r="AO137" s="27"/>
      <c r="AP137" s="27"/>
      <c r="AQ137" s="27"/>
    </row>
    <row r="138" spans="1:43" ht="14.25" customHeight="1">
      <c r="A138" s="42">
        <v>24.137</v>
      </c>
      <c r="B138" s="14">
        <v>2024</v>
      </c>
      <c r="C138" s="32">
        <v>137</v>
      </c>
      <c r="D138" s="16" t="str">
        <f ca="1">IFERROR(__xludf.DUMMYFUNCTION("IMPORTXML(AI138, ""//h1[@itemprop='headline']/span"")"),"137. Captain D’s")</f>
        <v>137. Captain D’s</v>
      </c>
      <c r="E138" s="17" t="str">
        <f ca="1">IFERROR(__xludf.DUMMYFUNCTION("REGEXEXTRACT(D138, ""\.\s*(.+)"")"),"Captain D’s")</f>
        <v>Captain D’s</v>
      </c>
      <c r="F138" s="18" t="str">
        <f ca="1">IFERROR(__xludf.DUMMYFUNCTION("IMPORTXML(AI138, ""//li[strong[text()='Investment Range:']]"")"),"#N/A")</f>
        <v>#N/A</v>
      </c>
      <c r="G138" s="43"/>
      <c r="H138" s="18" t="str">
        <f ca="1">IFERROR(__xludf.DUMMYFUNCTION("SUBSTITUTE(REGEXEXTRACT(G138, ""\$(\d{1,3}(?:,\d{3})*)""), "","", ""."")
"),"#N/A")</f>
        <v>#N/A</v>
      </c>
      <c r="I138" s="19" t="str">
        <f ca="1">IFERROR(__xludf.DUMMYFUNCTION("SUBSTITUTE(REGEXEXTRACT(G138, ""-\s*\$(\d{1,3}(?:,\d{3})*)""), "","", ""."")
"),"#N/A")</f>
        <v>#N/A</v>
      </c>
      <c r="J138" s="19" t="str">
        <f ca="1">IFERROR(__xludf.DUMMYFUNCTION("IMPORTXML(AI138, ""//li[strong[text()='Initial Investment:']]"")"),"Loading...")</f>
        <v>Loading...</v>
      </c>
      <c r="K138" s="24"/>
      <c r="L138" s="20" t="str">
        <f ca="1">IFERROR(__xludf.DUMMYFUNCTION("IMPORTXML(AI138, ""//li[strong[text()='Category:']]"")"),"Loading...")</f>
        <v>Loading...</v>
      </c>
      <c r="M138" s="24"/>
      <c r="N138" s="19" t="str">
        <f ca="1">IFERROR(__xludf.DUMMYFUNCTION("IMPORTXML(AI138, ""//li[strong[text()='Global Sales:']]"")"),"Loading...")</f>
        <v>Loading...</v>
      </c>
      <c r="O138" s="24"/>
      <c r="P138" s="19" t="str">
        <f t="shared" si="0"/>
        <v/>
      </c>
      <c r="Q138" s="19" t="str">
        <f ca="1">IFERROR(__xludf.DUMMYFUNCTION("IMPORTXML(AI138, ""//li[strong[text()='US Units:']]"")"),"Loading...")</f>
        <v>Loading...</v>
      </c>
      <c r="R138" s="24"/>
      <c r="S138" s="19" t="str">
        <f ca="1">IFERROR(__xludf.DUMMYFUNCTION("IMPORTXML(AI138, ""//li[strong[text()='International Units:']]"")"),"Loading...")</f>
        <v>Loading...</v>
      </c>
      <c r="T138" s="44"/>
      <c r="U138" s="19" t="str">
        <f ca="1">IFERROR(__xludf.DUMMYFUNCTION("IMPORTXML(AI138, ""//li[strong[text()='Percent Franchised:']]"")"),"Loading...")</f>
        <v>Loading...</v>
      </c>
      <c r="V138" s="24"/>
      <c r="W138" s="19" t="str">
        <f ca="1">IFERROR(__xludf.DUMMYFUNCTION("IMPORTXML(AI138, ""//li[strong[text()='% International Units:']]"")"),"Loading...")</f>
        <v>Loading...</v>
      </c>
      <c r="X138" s="24"/>
      <c r="Y138" s="19" t="str">
        <f ca="1">IFERROR(__xludf.DUMMYFUNCTION("IMPORTXML(AI138, ""//li[strong[text()='US Franchised Units:']]"")"),"Loading...")</f>
        <v>Loading...</v>
      </c>
      <c r="Z138" s="24"/>
      <c r="AA138" s="14" t="str">
        <f t="shared" si="1"/>
        <v/>
      </c>
      <c r="AB138" s="19" t="str">
        <f ca="1">IFERROR(__xludf.DUMMYFUNCTION("IMPORTXML(AI138, ""//li[strong[text()='International Franchised Units:']]"")"),"Loading...")</f>
        <v>Loading...</v>
      </c>
      <c r="AC138" s="24"/>
      <c r="AD138" s="14" t="str">
        <f t="shared" si="2"/>
        <v/>
      </c>
      <c r="AE138" s="25" t="str">
        <f ca="1">IFERROR(__xludf.DUMMYFUNCTION("IMPORTXML(AI138, ""//li[strong[text()='Sales Growth %:']]"")"),"Loading...")</f>
        <v>Loading...</v>
      </c>
      <c r="AF138" s="24"/>
      <c r="AG138" s="25" t="str">
        <f ca="1">IFERROR(__xludf.DUMMYFUNCTION("IMPORTXML(AI138, ""//li[strong[text()='Unit Growth %:']]"")"),"Loading...")</f>
        <v>Loading...</v>
      </c>
      <c r="AH138" s="25"/>
      <c r="AI138" s="48" t="s">
        <v>153</v>
      </c>
      <c r="AJ138" s="27"/>
      <c r="AK138" s="27"/>
      <c r="AL138" s="27"/>
      <c r="AM138" s="27"/>
      <c r="AN138" s="27"/>
      <c r="AO138" s="27"/>
      <c r="AP138" s="27"/>
      <c r="AQ138" s="27"/>
    </row>
    <row r="139" spans="1:43" ht="14.25" customHeight="1">
      <c r="A139" s="42">
        <v>24.138000000000002</v>
      </c>
      <c r="B139" s="14">
        <v>2024</v>
      </c>
      <c r="C139" s="36">
        <v>138</v>
      </c>
      <c r="D139" s="16" t="str">
        <f ca="1">IFERROR(__xludf.DUMMYFUNCTION("IMPORTXML(AI139, ""//h1[@itemprop='headline']/span"")"),"138. Scooter’s Coffee")</f>
        <v>138. Scooter’s Coffee</v>
      </c>
      <c r="E139" s="17" t="str">
        <f ca="1">IFERROR(__xludf.DUMMYFUNCTION("REGEXEXTRACT(D139, ""\.\s*(.+)"")"),"Scooter’s Coffee")</f>
        <v>Scooter’s Coffee</v>
      </c>
      <c r="F139" s="18" t="str">
        <f ca="1">IFERROR(__xludf.DUMMYFUNCTION("IMPORTXML(AI139, ""//li[strong[text()='Investment Range:']]"")"),"#REF!")</f>
        <v>#REF!</v>
      </c>
      <c r="G139" s="43"/>
      <c r="H139" s="18" t="str">
        <f ca="1">IFERROR(__xludf.DUMMYFUNCTION("SUBSTITUTE(REGEXEXTRACT(G139, ""\$(\d{1,3}(?:,\d{3})*)""), "","", ""."")
"),"#N/A")</f>
        <v>#N/A</v>
      </c>
      <c r="I139" s="19" t="str">
        <f ca="1">IFERROR(__xludf.DUMMYFUNCTION("SUBSTITUTE(REGEXEXTRACT(G139, ""-\s*\$(\d{1,3}(?:,\d{3})*)""), "","", ""."")
"),"#N/A")</f>
        <v>#N/A</v>
      </c>
      <c r="J139" s="19" t="str">
        <f ca="1">IFERROR(__xludf.DUMMYFUNCTION("IMPORTXML(AI139, ""//li[strong[text()='Initial Investment:']]"")"),"Loading...")</f>
        <v>Loading...</v>
      </c>
      <c r="K139" s="24"/>
      <c r="L139" s="20" t="str">
        <f ca="1">IFERROR(__xludf.DUMMYFUNCTION("IMPORTXML(AI139, ""//li[strong[text()='Category:']]"")"),"Loading...")</f>
        <v>Loading...</v>
      </c>
      <c r="M139" s="24"/>
      <c r="N139" s="19" t="str">
        <f ca="1">IFERROR(__xludf.DUMMYFUNCTION("IMPORTXML(AI139, ""//li[strong[text()='Global Sales:']]"")"),"Loading...")</f>
        <v>Loading...</v>
      </c>
      <c r="O139" s="24"/>
      <c r="P139" s="19" t="str">
        <f t="shared" si="0"/>
        <v/>
      </c>
      <c r="Q139" s="19" t="str">
        <f ca="1">IFERROR(__xludf.DUMMYFUNCTION("IMPORTXML(AI139, ""//li[strong[text()='US Units:']]"")"),"Loading...")</f>
        <v>Loading...</v>
      </c>
      <c r="R139" s="24"/>
      <c r="S139" s="19" t="str">
        <f ca="1">IFERROR(__xludf.DUMMYFUNCTION("IMPORTXML(AI139, ""//li[strong[text()='International Units:']]"")"),"Loading...")</f>
        <v>Loading...</v>
      </c>
      <c r="T139" s="44"/>
      <c r="U139" s="19" t="str">
        <f ca="1">IFERROR(__xludf.DUMMYFUNCTION("IMPORTXML(AI139, ""//li[strong[text()='Percent Franchised:']]"")"),"Loading...")</f>
        <v>Loading...</v>
      </c>
      <c r="V139" s="24"/>
      <c r="W139" s="19" t="str">
        <f ca="1">IFERROR(__xludf.DUMMYFUNCTION("IMPORTXML(AI139, ""//li[strong[text()='% International Units:']]"")"),"Loading...")</f>
        <v>Loading...</v>
      </c>
      <c r="X139" s="24"/>
      <c r="Y139" s="19" t="str">
        <f ca="1">IFERROR(__xludf.DUMMYFUNCTION("IMPORTXML(AI139, ""//li[strong[text()='US Franchised Units:']]"")"),"Loading...")</f>
        <v>Loading...</v>
      </c>
      <c r="Z139" s="24"/>
      <c r="AA139" s="14" t="str">
        <f t="shared" si="1"/>
        <v/>
      </c>
      <c r="AB139" s="19" t="str">
        <f ca="1">IFERROR(__xludf.DUMMYFUNCTION("IMPORTXML(AI139, ""//li[strong[text()='International Franchised Units:']]"")"),"Loading...")</f>
        <v>Loading...</v>
      </c>
      <c r="AC139" s="24"/>
      <c r="AD139" s="14" t="str">
        <f t="shared" si="2"/>
        <v/>
      </c>
      <c r="AE139" s="25" t="str">
        <f ca="1">IFERROR(__xludf.DUMMYFUNCTION("IMPORTXML(AI139, ""//li[strong[text()='Sales Growth %:']]"")"),"Loading...")</f>
        <v>Loading...</v>
      </c>
      <c r="AF139" s="24"/>
      <c r="AG139" s="25" t="str">
        <f ca="1">IFERROR(__xludf.DUMMYFUNCTION("IMPORTXML(AI139, ""//li[strong[text()='Unit Growth %:']]"")"),"Loading...")</f>
        <v>Loading...</v>
      </c>
      <c r="AH139" s="25"/>
      <c r="AI139" s="48" t="s">
        <v>154</v>
      </c>
      <c r="AJ139" s="27"/>
      <c r="AK139" s="27"/>
      <c r="AL139" s="27"/>
      <c r="AM139" s="27"/>
      <c r="AN139" s="27"/>
      <c r="AO139" s="27"/>
      <c r="AP139" s="27"/>
      <c r="AQ139" s="27"/>
    </row>
    <row r="140" spans="1:43" ht="14.25" customHeight="1">
      <c r="A140" s="42">
        <v>24.138999999999999</v>
      </c>
      <c r="B140" s="14">
        <v>2024</v>
      </c>
      <c r="C140" s="36">
        <v>139</v>
      </c>
      <c r="D140" s="16" t="str">
        <f ca="1">IFERROR(__xludf.DUMMYFUNCTION("IMPORTXML(AI140, ""//h1[@itemprop='headline']/span"")"),"139. Potbelly Sandwich Shop")</f>
        <v>139. Potbelly Sandwich Shop</v>
      </c>
      <c r="E140" s="17" t="str">
        <f ca="1">IFERROR(__xludf.DUMMYFUNCTION("REGEXEXTRACT(D140, ""\.\s*(.+)"")"),"Potbelly Sandwich Shop")</f>
        <v>Potbelly Sandwich Shop</v>
      </c>
      <c r="F140" s="18" t="str">
        <f ca="1">IFERROR(__xludf.DUMMYFUNCTION("IMPORTXML(AI140, ""//li[strong[text()='Investment Range:']]"")"),"#N/A")</f>
        <v>#N/A</v>
      </c>
      <c r="G140" s="43"/>
      <c r="H140" s="18" t="str">
        <f ca="1">IFERROR(__xludf.DUMMYFUNCTION("SUBSTITUTE(REGEXEXTRACT(G140, ""\$(\d{1,3}(?:,\d{3})*)""), "","", ""."")
"),"#N/A")</f>
        <v>#N/A</v>
      </c>
      <c r="I140" s="19" t="str">
        <f ca="1">IFERROR(__xludf.DUMMYFUNCTION("SUBSTITUTE(REGEXEXTRACT(G140, ""-\s*\$(\d{1,3}(?:,\d{3})*)""), "","", ""."")
"),"#N/A")</f>
        <v>#N/A</v>
      </c>
      <c r="J140" s="19" t="str">
        <f ca="1">IFERROR(__xludf.DUMMYFUNCTION("IMPORTXML(AI140, ""//li[strong[text()='Initial Investment:']]"")"),"Loading...")</f>
        <v>Loading...</v>
      </c>
      <c r="K140" s="24"/>
      <c r="L140" s="20" t="str">
        <f ca="1">IFERROR(__xludf.DUMMYFUNCTION("IMPORTXML(AI140, ""//li[strong[text()='Category:']]"")"),"Loading...")</f>
        <v>Loading...</v>
      </c>
      <c r="M140" s="24"/>
      <c r="N140" s="19" t="str">
        <f ca="1">IFERROR(__xludf.DUMMYFUNCTION("IMPORTXML(AI140, ""//li[strong[text()='Global Sales:']]"")"),"Loading...")</f>
        <v>Loading...</v>
      </c>
      <c r="O140" s="24"/>
      <c r="P140" s="19" t="str">
        <f t="shared" si="0"/>
        <v/>
      </c>
      <c r="Q140" s="19" t="str">
        <f ca="1">IFERROR(__xludf.DUMMYFUNCTION("IMPORTXML(AI140, ""//li[strong[text()='US Units:']]"")"),"Loading...")</f>
        <v>Loading...</v>
      </c>
      <c r="R140" s="24"/>
      <c r="S140" s="19" t="str">
        <f ca="1">IFERROR(__xludf.DUMMYFUNCTION("IMPORTXML(AI140, ""//li[strong[text()='International Units:']]"")"),"Loading...")</f>
        <v>Loading...</v>
      </c>
      <c r="T140" s="44"/>
      <c r="U140" s="19" t="str">
        <f ca="1">IFERROR(__xludf.DUMMYFUNCTION("IMPORTXML(AI140, ""//li[strong[text()='Percent Franchised:']]"")"),"Loading...")</f>
        <v>Loading...</v>
      </c>
      <c r="V140" s="24"/>
      <c r="W140" s="19" t="str">
        <f ca="1">IFERROR(__xludf.DUMMYFUNCTION("IMPORTXML(AI140, ""//li[strong[text()='% International Units:']]"")"),"Loading...")</f>
        <v>Loading...</v>
      </c>
      <c r="X140" s="24"/>
      <c r="Y140" s="19" t="str">
        <f ca="1">IFERROR(__xludf.DUMMYFUNCTION("IMPORTXML(AI140, ""//li[strong[text()='US Franchised Units:']]"")"),"Loading...")</f>
        <v>Loading...</v>
      </c>
      <c r="Z140" s="24"/>
      <c r="AA140" s="14" t="str">
        <f t="shared" si="1"/>
        <v/>
      </c>
      <c r="AB140" s="19" t="str">
        <f ca="1">IFERROR(__xludf.DUMMYFUNCTION("IMPORTXML(AI140, ""//li[strong[text()='International Franchised Units:']]"")"),"Loading...")</f>
        <v>Loading...</v>
      </c>
      <c r="AC140" s="24"/>
      <c r="AD140" s="14" t="str">
        <f t="shared" si="2"/>
        <v/>
      </c>
      <c r="AE140" s="25" t="str">
        <f ca="1">IFERROR(__xludf.DUMMYFUNCTION("IMPORTXML(AI140, ""//li[strong[text()='Sales Growth %:']]"")"),"Loading...")</f>
        <v>Loading...</v>
      </c>
      <c r="AF140" s="24"/>
      <c r="AG140" s="25" t="str">
        <f ca="1">IFERROR(__xludf.DUMMYFUNCTION("IMPORTXML(AI140, ""//li[strong[text()='Unit Growth %:']]"")"),"Loading...")</f>
        <v>Loading...</v>
      </c>
      <c r="AH140" s="25"/>
      <c r="AI140" s="48" t="s">
        <v>155</v>
      </c>
      <c r="AJ140" s="27"/>
      <c r="AK140" s="27"/>
      <c r="AL140" s="27"/>
      <c r="AM140" s="27"/>
      <c r="AN140" s="27"/>
      <c r="AO140" s="27"/>
      <c r="AP140" s="27"/>
      <c r="AQ140" s="27"/>
    </row>
    <row r="141" spans="1:43" ht="14.25" customHeight="1">
      <c r="A141" s="42">
        <v>24.14</v>
      </c>
      <c r="B141" s="14">
        <v>2024</v>
      </c>
      <c r="C141" s="15">
        <v>140</v>
      </c>
      <c r="D141" s="16" t="str">
        <f ca="1">IFERROR(__xludf.DUMMYFUNCTION("IMPORTXML(AI141, ""//h1[@itemprop='headline']/span"")"),"140. Gong Cha")</f>
        <v>140. Gong Cha</v>
      </c>
      <c r="E141" s="17" t="str">
        <f ca="1">IFERROR(__xludf.DUMMYFUNCTION("REGEXEXTRACT(D141, ""\.\s*(.+)"")"),"Gong Cha")</f>
        <v>Gong Cha</v>
      </c>
      <c r="F141" s="18" t="str">
        <f ca="1">IFERROR(__xludf.DUMMYFUNCTION("IMPORTXML(AI141, ""//li[strong[text()='Investment Range:']]"")"),"Investment Range:")</f>
        <v>Investment Range:</v>
      </c>
      <c r="G141" s="43" t="str">
        <f ca="1">IFERROR(__xludf.DUMMYFUNCTION("""COMPUTED_VALUE""")," Low: $174,500 / High: $619,500")</f>
        <v xml:space="preserve"> Low: $174,500 / High: $619,500</v>
      </c>
      <c r="H141" s="18" t="str">
        <f ca="1">IFERROR(__xludf.DUMMYFUNCTION("SUBSTITUTE(REGEXEXTRACT(G141, ""\$(\d{1,3}(?:,\d{3})*)""), "","", ""."")
"),"174.500")</f>
        <v>174.500</v>
      </c>
      <c r="I141" s="19" t="str">
        <f ca="1">IFERROR(__xludf.DUMMYFUNCTION("SUBSTITUTE(REGEXEXTRACT(G141, ""-\s*\$(\d{1,3}(?:,\d{3})*)""), "","", ""."")
"),"#N/A")</f>
        <v>#N/A</v>
      </c>
      <c r="J141" s="19" t="str">
        <f ca="1">IFERROR(__xludf.DUMMYFUNCTION("IMPORTXML(AI141, ""//li[strong[text()='Initial Investment:']]"")"),"Loading...")</f>
        <v>Loading...</v>
      </c>
      <c r="K141" s="24"/>
      <c r="L141" s="20" t="str">
        <f ca="1">IFERROR(__xludf.DUMMYFUNCTION("IMPORTXML(AI141, ""//li[strong[text()='Category:']]"")"),"Loading...")</f>
        <v>Loading...</v>
      </c>
      <c r="M141" s="24"/>
      <c r="N141" s="19" t="str">
        <f ca="1">IFERROR(__xludf.DUMMYFUNCTION("IMPORTXML(AI141, ""//li[strong[text()='Global Sales:']]"")"),"Loading...")</f>
        <v>Loading...</v>
      </c>
      <c r="O141" s="24"/>
      <c r="P141" s="19" t="str">
        <f t="shared" si="0"/>
        <v/>
      </c>
      <c r="Q141" s="19" t="str">
        <f ca="1">IFERROR(__xludf.DUMMYFUNCTION("IMPORTXML(AI141, ""//li[strong[text()='US Units:']]"")"),"Loading...")</f>
        <v>Loading...</v>
      </c>
      <c r="R141" s="24"/>
      <c r="S141" s="19" t="str">
        <f ca="1">IFERROR(__xludf.DUMMYFUNCTION("IMPORTXML(AI141, ""//li[strong[text()='International Units:']]"")"),"Loading...")</f>
        <v>Loading...</v>
      </c>
      <c r="T141" s="44"/>
      <c r="U141" s="19" t="str">
        <f ca="1">IFERROR(__xludf.DUMMYFUNCTION("IMPORTXML(AI141, ""//li[strong[text()='Percent Franchised:']]"")"),"Loading...")</f>
        <v>Loading...</v>
      </c>
      <c r="V141" s="24"/>
      <c r="W141" s="19" t="str">
        <f ca="1">IFERROR(__xludf.DUMMYFUNCTION("IMPORTXML(AI141, ""//li[strong[text()='% International Units:']]"")"),"Loading...")</f>
        <v>Loading...</v>
      </c>
      <c r="X141" s="24"/>
      <c r="Y141" s="19" t="str">
        <f ca="1">IFERROR(__xludf.DUMMYFUNCTION("IMPORTXML(AI141, ""//li[strong[text()='US Franchised Units:']]"")"),"Loading...")</f>
        <v>Loading...</v>
      </c>
      <c r="Z141" s="24"/>
      <c r="AA141" s="14" t="str">
        <f t="shared" si="1"/>
        <v/>
      </c>
      <c r="AB141" s="19" t="str">
        <f ca="1">IFERROR(__xludf.DUMMYFUNCTION("IMPORTXML(AI141, ""//li[strong[text()='International Franchised Units:']]"")"),"Loading...")</f>
        <v>Loading...</v>
      </c>
      <c r="AC141" s="24"/>
      <c r="AD141" s="14" t="str">
        <f t="shared" si="2"/>
        <v/>
      </c>
      <c r="AE141" s="25" t="str">
        <f ca="1">IFERROR(__xludf.DUMMYFUNCTION("IMPORTXML(AI141, ""//li[strong[text()='Sales Growth %:']]"")"),"Loading...")</f>
        <v>Loading...</v>
      </c>
      <c r="AF141" s="24"/>
      <c r="AG141" s="25" t="str">
        <f ca="1">IFERROR(__xludf.DUMMYFUNCTION("IMPORTXML(AI141, ""//li[strong[text()='Unit Growth %:']]"")"),"Loading...")</f>
        <v>Loading...</v>
      </c>
      <c r="AH141" s="25"/>
      <c r="AI141" s="48" t="s">
        <v>156</v>
      </c>
      <c r="AJ141" s="27"/>
      <c r="AK141" s="27"/>
      <c r="AL141" s="27"/>
      <c r="AM141" s="27"/>
      <c r="AN141" s="27"/>
      <c r="AO141" s="27"/>
      <c r="AP141" s="27"/>
      <c r="AQ141" s="27"/>
    </row>
    <row r="142" spans="1:43" ht="14.25" customHeight="1">
      <c r="A142" s="42">
        <v>24.140999999999998</v>
      </c>
      <c r="B142" s="14">
        <v>2024</v>
      </c>
      <c r="C142" s="32">
        <v>141</v>
      </c>
      <c r="D142" s="16" t="str">
        <f ca="1">IFERROR(__xludf.DUMMYFUNCTION("IMPORTXML(AI142, ""//h1[@itemprop='headline']/span"")"),"141. Pinch A Penny")</f>
        <v>141. Pinch A Penny</v>
      </c>
      <c r="E142" s="17" t="str">
        <f ca="1">IFERROR(__xludf.DUMMYFUNCTION("REGEXEXTRACT(D142, ""\.\s*(.+)"")"),"Pinch A Penny")</f>
        <v>Pinch A Penny</v>
      </c>
      <c r="F142" s="18" t="str">
        <f ca="1">IFERROR(__xludf.DUMMYFUNCTION("IMPORTXML(AI142, ""//li[strong[text()='Investment Range:']]"")"),"#N/A")</f>
        <v>#N/A</v>
      </c>
      <c r="G142" s="43"/>
      <c r="H142" s="18" t="str">
        <f ca="1">IFERROR(__xludf.DUMMYFUNCTION("SUBSTITUTE(REGEXEXTRACT(G142, ""\$(\d{1,3}(?:,\d{3})*)""), "","", ""."")
"),"#N/A")</f>
        <v>#N/A</v>
      </c>
      <c r="I142" s="19" t="str">
        <f ca="1">IFERROR(__xludf.DUMMYFUNCTION("SUBSTITUTE(REGEXEXTRACT(G142, ""-\s*\$(\d{1,3}(?:,\d{3})*)""), "","", ""."")
"),"#N/A")</f>
        <v>#N/A</v>
      </c>
      <c r="J142" s="19" t="str">
        <f ca="1">IFERROR(__xludf.DUMMYFUNCTION("IMPORTXML(AI142, ""//li[strong[text()='Initial Investment:']]"")"),"Loading...")</f>
        <v>Loading...</v>
      </c>
      <c r="K142" s="24"/>
      <c r="L142" s="20" t="str">
        <f ca="1">IFERROR(__xludf.DUMMYFUNCTION("IMPORTXML(AI142, ""//li[strong[text()='Category:']]"")"),"Loading...")</f>
        <v>Loading...</v>
      </c>
      <c r="M142" s="24"/>
      <c r="N142" s="19" t="str">
        <f ca="1">IFERROR(__xludf.DUMMYFUNCTION("IMPORTXML(AI142, ""//li[strong[text()='Global Sales:']]"")"),"Loading...")</f>
        <v>Loading...</v>
      </c>
      <c r="O142" s="24"/>
      <c r="P142" s="19" t="str">
        <f t="shared" si="0"/>
        <v/>
      </c>
      <c r="Q142" s="19" t="str">
        <f ca="1">IFERROR(__xludf.DUMMYFUNCTION("IMPORTXML(AI142, ""//li[strong[text()='US Units:']]"")"),"Loading...")</f>
        <v>Loading...</v>
      </c>
      <c r="R142" s="24"/>
      <c r="S142" s="19" t="str">
        <f ca="1">IFERROR(__xludf.DUMMYFUNCTION("IMPORTXML(AI142, ""//li[strong[text()='International Units:']]"")"),"Loading...")</f>
        <v>Loading...</v>
      </c>
      <c r="T142" s="44"/>
      <c r="U142" s="19" t="str">
        <f ca="1">IFERROR(__xludf.DUMMYFUNCTION("IMPORTXML(AI142, ""//li[strong[text()='Percent Franchised:']]"")"),"Loading...")</f>
        <v>Loading...</v>
      </c>
      <c r="V142" s="24"/>
      <c r="W142" s="19" t="str">
        <f ca="1">IFERROR(__xludf.DUMMYFUNCTION("IMPORTXML(AI142, ""//li[strong[text()='% International Units:']]"")"),"Loading...")</f>
        <v>Loading...</v>
      </c>
      <c r="X142" s="24"/>
      <c r="Y142" s="19" t="str">
        <f ca="1">IFERROR(__xludf.DUMMYFUNCTION("IMPORTXML(AI142, ""//li[strong[text()='US Franchised Units:']]"")"),"Loading...")</f>
        <v>Loading...</v>
      </c>
      <c r="Z142" s="24"/>
      <c r="AA142" s="14" t="str">
        <f t="shared" si="1"/>
        <v/>
      </c>
      <c r="AB142" s="19" t="str">
        <f ca="1">IFERROR(__xludf.DUMMYFUNCTION("IMPORTXML(AI142, ""//li[strong[text()='International Franchised Units:']]"")"),"Loading...")</f>
        <v>Loading...</v>
      </c>
      <c r="AC142" s="24"/>
      <c r="AD142" s="14" t="str">
        <f t="shared" si="2"/>
        <v/>
      </c>
      <c r="AE142" s="25" t="str">
        <f ca="1">IFERROR(__xludf.DUMMYFUNCTION("IMPORTXML(AI142, ""//li[strong[text()='Sales Growth %:']]"")"),"Loading...")</f>
        <v>Loading...</v>
      </c>
      <c r="AF142" s="24"/>
      <c r="AG142" s="25" t="str">
        <f ca="1">IFERROR(__xludf.DUMMYFUNCTION("IMPORTXML(AI142, ""//li[strong[text()='Unit Growth %:']]"")"),"Loading...")</f>
        <v>Loading...</v>
      </c>
      <c r="AH142" s="25"/>
      <c r="AI142" s="48" t="s">
        <v>157</v>
      </c>
      <c r="AJ142" s="27"/>
      <c r="AK142" s="27"/>
      <c r="AL142" s="27"/>
      <c r="AM142" s="27"/>
      <c r="AN142" s="27"/>
      <c r="AO142" s="27"/>
      <c r="AP142" s="27"/>
      <c r="AQ142" s="27"/>
    </row>
    <row r="143" spans="1:43" ht="14.25" customHeight="1">
      <c r="A143" s="42">
        <v>24.141999999999999</v>
      </c>
      <c r="B143" s="14">
        <v>2024</v>
      </c>
      <c r="C143" s="36">
        <v>142</v>
      </c>
      <c r="D143" s="16" t="str">
        <f ca="1">IFERROR(__xludf.DUMMYFUNCTION("IMPORTXML(AI143, ""//h1[@itemprop='headline']/span"")"),"272. Great American Cookies")</f>
        <v>272. Great American Cookies</v>
      </c>
      <c r="E143" s="17" t="str">
        <f ca="1">IFERROR(__xludf.DUMMYFUNCTION("REGEXEXTRACT(D143, ""\.\s*(.+)"")"),"Great American Cookies")</f>
        <v>Great American Cookies</v>
      </c>
      <c r="F143" s="18" t="str">
        <f ca="1">IFERROR(__xludf.DUMMYFUNCTION("IMPORTXML(AI143, ""//li[strong[text()='Investment Range:']]"")"),"Investment Range:")</f>
        <v>Investment Range:</v>
      </c>
      <c r="G143" s="43" t="str">
        <f ca="1">IFERROR(__xludf.DUMMYFUNCTION("""COMPUTED_VALUE""")," $308,500 - $484,650")</f>
        <v xml:space="preserve"> $308,500 - $484,650</v>
      </c>
      <c r="H143" s="18" t="str">
        <f ca="1">IFERROR(__xludf.DUMMYFUNCTION("SUBSTITUTE(REGEXEXTRACT(G143, ""\$(\d{1,3}(?:,\d{3})*)""), "","", ""."")
"),"308.500")</f>
        <v>308.500</v>
      </c>
      <c r="I143" s="19" t="str">
        <f ca="1">IFERROR(__xludf.DUMMYFUNCTION("SUBSTITUTE(REGEXEXTRACT(G143, ""-\s*\$(\d{1,3}(?:,\d{3})*)""), "","", ""."")
"),"484.650")</f>
        <v>484.650</v>
      </c>
      <c r="J143" s="19" t="str">
        <f ca="1">IFERROR(__xludf.DUMMYFUNCTION("IMPORTXML(AI143, ""//li[strong[text()='Initial Investment:']]"")"),"Loading...")</f>
        <v>Loading...</v>
      </c>
      <c r="K143" s="24"/>
      <c r="L143" s="20" t="str">
        <f ca="1">IFERROR(__xludf.DUMMYFUNCTION("IMPORTXML(AI143, ""//li[strong[text()='Category:']]"")"),"Loading...")</f>
        <v>Loading...</v>
      </c>
      <c r="M143" s="24"/>
      <c r="N143" s="19" t="str">
        <f ca="1">IFERROR(__xludf.DUMMYFUNCTION("IMPORTXML(AI143, ""//li[strong[text()='Global Sales:']]"")"),"Global Sales:")</f>
        <v>Global Sales:</v>
      </c>
      <c r="O143" s="24" t="str">
        <f ca="1">IFERROR(__xludf.DUMMYFUNCTION("""COMPUTED_VALUE""")," $163,425,446")</f>
        <v xml:space="preserve"> $163,425,446</v>
      </c>
      <c r="P143" s="19" t="str">
        <f t="shared" ca="1" si="0"/>
        <v xml:space="preserve"> 163.425.446</v>
      </c>
      <c r="Q143" s="19" t="str">
        <f ca="1">IFERROR(__xludf.DUMMYFUNCTION("IMPORTXML(AI143, ""//li[strong[text()='US Units:']]"")"),"Loading...")</f>
        <v>Loading...</v>
      </c>
      <c r="R143" s="24"/>
      <c r="S143" s="19" t="str">
        <f ca="1">IFERROR(__xludf.DUMMYFUNCTION("IMPORTXML(AI143, ""//li[strong[text()='International Units:']]"")"),"Loading...")</f>
        <v>Loading...</v>
      </c>
      <c r="T143" s="44"/>
      <c r="U143" s="19" t="str">
        <f ca="1">IFERROR(__xludf.DUMMYFUNCTION("IMPORTXML(AI143, ""//li[strong[text()='Percent Franchised:']]"")"),"Loading...")</f>
        <v>Loading...</v>
      </c>
      <c r="V143" s="24"/>
      <c r="W143" s="19" t="str">
        <f ca="1">IFERROR(__xludf.DUMMYFUNCTION("IMPORTXML(AI143, ""//li[strong[text()='% International Units:']]"")"),"Loading...")</f>
        <v>Loading...</v>
      </c>
      <c r="X143" s="24"/>
      <c r="Y143" s="19" t="str">
        <f ca="1">IFERROR(__xludf.DUMMYFUNCTION("IMPORTXML(AI143, ""//li[strong[text()='US Franchised Units:']]"")"),"Loading...")</f>
        <v>Loading...</v>
      </c>
      <c r="Z143" s="24"/>
      <c r="AA143" s="14" t="str">
        <f t="shared" si="1"/>
        <v/>
      </c>
      <c r="AB143" s="19" t="str">
        <f ca="1">IFERROR(__xludf.DUMMYFUNCTION("IMPORTXML(AI143, ""//li[strong[text()='International Franchised Units:']]"")"),"Loading...")</f>
        <v>Loading...</v>
      </c>
      <c r="AC143" s="24"/>
      <c r="AD143" s="14" t="str">
        <f t="shared" si="2"/>
        <v/>
      </c>
      <c r="AE143" s="25" t="str">
        <f ca="1">IFERROR(__xludf.DUMMYFUNCTION("IMPORTXML(AI143, ""//li[strong[text()='Sales Growth %:']]"")"),"Loading...")</f>
        <v>Loading...</v>
      </c>
      <c r="AF143" s="24"/>
      <c r="AG143" s="25" t="str">
        <f ca="1">IFERROR(__xludf.DUMMYFUNCTION("IMPORTXML(AI143, ""//li[strong[text()='Unit Growth %:']]"")"),"Loading...")</f>
        <v>Loading...</v>
      </c>
      <c r="AH143" s="25"/>
      <c r="AI143" s="48" t="s">
        <v>158</v>
      </c>
      <c r="AJ143" s="27"/>
      <c r="AK143" s="27"/>
      <c r="AL143" s="27"/>
      <c r="AM143" s="27"/>
      <c r="AN143" s="27"/>
      <c r="AO143" s="27"/>
      <c r="AP143" s="27"/>
      <c r="AQ143" s="27"/>
    </row>
    <row r="144" spans="1:43" ht="14.25" customHeight="1">
      <c r="A144" s="42">
        <v>24.143000000000001</v>
      </c>
      <c r="B144" s="14">
        <v>2024</v>
      </c>
      <c r="C144" s="36">
        <v>143</v>
      </c>
      <c r="D144" s="16" t="str">
        <f ca="1">IFERROR(__xludf.DUMMYFUNCTION("IMPORTXML(AI144, ""//h1[@itemprop='headline']/span"")"),"143. AAMCO Transmission")</f>
        <v>143. AAMCO Transmission</v>
      </c>
      <c r="E144" s="17" t="str">
        <f ca="1">IFERROR(__xludf.DUMMYFUNCTION("REGEXEXTRACT(D144, ""\.\s*(.+)"")"),"AAMCO Transmission")</f>
        <v>AAMCO Transmission</v>
      </c>
      <c r="F144" s="18" t="str">
        <f ca="1">IFERROR(__xludf.DUMMYFUNCTION("IMPORTXML(AI144, ""//li[strong[text()='Investment Range:']]"")"),"Investment Range:")</f>
        <v>Investment Range:</v>
      </c>
      <c r="G144" s="43" t="str">
        <f ca="1">IFERROR(__xludf.DUMMYFUNCTION("""COMPUTED_VALUE""")," $236,800 - $361,200")</f>
        <v xml:space="preserve"> $236,800 - $361,200</v>
      </c>
      <c r="H144" s="18" t="str">
        <f ca="1">IFERROR(__xludf.DUMMYFUNCTION("SUBSTITUTE(REGEXEXTRACT(G144, ""\$(\d{1,3}(?:,\d{3})*)""), "","", ""."")
"),"236.800")</f>
        <v>236.800</v>
      </c>
      <c r="I144" s="19" t="str">
        <f ca="1">IFERROR(__xludf.DUMMYFUNCTION("SUBSTITUTE(REGEXEXTRACT(G144, ""-\s*\$(\d{1,3}(?:,\d{3})*)""), "","", ""."")
"),"361.200")</f>
        <v>361.200</v>
      </c>
      <c r="J144" s="19" t="str">
        <f ca="1">IFERROR(__xludf.DUMMYFUNCTION("IMPORTXML(AI144, ""//li[strong[text()='Initial Investment:']]"")"),"Loading...")</f>
        <v>Loading...</v>
      </c>
      <c r="K144" s="24"/>
      <c r="L144" s="20" t="str">
        <f ca="1">IFERROR(__xludf.DUMMYFUNCTION("IMPORTXML(AI144, ""//li[strong[text()='Category:']]"")"),"Loading...")</f>
        <v>Loading...</v>
      </c>
      <c r="M144" s="24"/>
      <c r="N144" s="19" t="str">
        <f ca="1">IFERROR(__xludf.DUMMYFUNCTION("IMPORTXML(AI144, ""//li[strong[text()='Global Sales:']]"")"),"Loading...")</f>
        <v>Loading...</v>
      </c>
      <c r="O144" s="24"/>
      <c r="P144" s="19" t="str">
        <f t="shared" si="0"/>
        <v/>
      </c>
      <c r="Q144" s="19" t="str">
        <f ca="1">IFERROR(__xludf.DUMMYFUNCTION("IMPORTXML(AI144, ""//li[strong[text()='US Units:']]"")"),"US Units:")</f>
        <v>US Units:</v>
      </c>
      <c r="R144" s="24">
        <f ca="1">IFERROR(__xludf.DUMMYFUNCTION("""COMPUTED_VALUE"""),545)</f>
        <v>545</v>
      </c>
      <c r="S144" s="19" t="str">
        <f ca="1">IFERROR(__xludf.DUMMYFUNCTION("IMPORTXML(AI144, ""//li[strong[text()='International Units:']]"")"),"Loading...")</f>
        <v>Loading...</v>
      </c>
      <c r="T144" s="44"/>
      <c r="U144" s="19" t="str">
        <f ca="1">IFERROR(__xludf.DUMMYFUNCTION("IMPORTXML(AI144, ""//li[strong[text()='Percent Franchised:']]"")"),"Loading...")</f>
        <v>Loading...</v>
      </c>
      <c r="V144" s="24"/>
      <c r="W144" s="19" t="str">
        <f ca="1">IFERROR(__xludf.DUMMYFUNCTION("IMPORTXML(AI144, ""//li[strong[text()='% International Units:']]"")"),"Loading...")</f>
        <v>Loading...</v>
      </c>
      <c r="X144" s="24"/>
      <c r="Y144" s="19" t="str">
        <f ca="1">IFERROR(__xludf.DUMMYFUNCTION("IMPORTXML(AI144, ""//li[strong[text()='US Franchised Units:']]"")"),"Loading...")</f>
        <v>Loading...</v>
      </c>
      <c r="Z144" s="24"/>
      <c r="AA144" s="14" t="str">
        <f t="shared" si="1"/>
        <v/>
      </c>
      <c r="AB144" s="19" t="str">
        <f ca="1">IFERROR(__xludf.DUMMYFUNCTION("IMPORTXML(AI144, ""//li[strong[text()='International Franchised Units:']]"")"),"Loading...")</f>
        <v>Loading...</v>
      </c>
      <c r="AC144" s="24"/>
      <c r="AD144" s="14" t="str">
        <f t="shared" si="2"/>
        <v/>
      </c>
      <c r="AE144" s="25" t="str">
        <f ca="1">IFERROR(__xludf.DUMMYFUNCTION("IMPORTXML(AI144, ""//li[strong[text()='Sales Growth %:']]"")"),"Sales Growth %:")</f>
        <v>Sales Growth %:</v>
      </c>
      <c r="AF144" s="24" t="str">
        <f ca="1">IFERROR(__xludf.DUMMYFUNCTION("""COMPUTED_VALUE""")," 4.8%")</f>
        <v xml:space="preserve"> 4.8%</v>
      </c>
      <c r="AG144" s="25" t="str">
        <f ca="1">IFERROR(__xludf.DUMMYFUNCTION("IMPORTXML(AI144, ""//li[strong[text()='Unit Growth %:']]"")"),"Loading...")</f>
        <v>Loading...</v>
      </c>
      <c r="AH144" s="25"/>
      <c r="AI144" s="48" t="s">
        <v>159</v>
      </c>
      <c r="AJ144" s="27"/>
      <c r="AK144" s="27"/>
      <c r="AL144" s="27"/>
      <c r="AM144" s="27"/>
      <c r="AN144" s="27"/>
      <c r="AO144" s="27"/>
      <c r="AP144" s="27"/>
      <c r="AQ144" s="27"/>
    </row>
    <row r="145" spans="1:43" ht="14.25" customHeight="1">
      <c r="A145" s="42">
        <v>24.143999999999998</v>
      </c>
      <c r="B145" s="14">
        <v>2024</v>
      </c>
      <c r="C145" s="15">
        <v>144</v>
      </c>
      <c r="D145" s="16" t="str">
        <f ca="1">IFERROR(__xludf.DUMMYFUNCTION("IMPORTXML(AI145, ""//h1[@itemprop='headline']/span"")"),"Loading...")</f>
        <v>Loading...</v>
      </c>
      <c r="E145" s="17" t="str">
        <f ca="1">IFERROR(__xludf.DUMMYFUNCTION("REGEXEXTRACT(D145, ""\.\s*(.+)"")"),"Loading...")</f>
        <v>Loading...</v>
      </c>
      <c r="F145" s="18" t="str">
        <f ca="1">IFERROR(__xludf.DUMMYFUNCTION("IMPORTXML(AI145, ""//li[strong[text()='Investment Range:']]"")"),"#N/A")</f>
        <v>#N/A</v>
      </c>
      <c r="G145" s="43"/>
      <c r="H145" s="18" t="str">
        <f ca="1">IFERROR(__xludf.DUMMYFUNCTION("SUBSTITUTE(REGEXEXTRACT(G145, ""\$(\d{1,3}(?:,\d{3})*)""), "","", ""."")
"),"#N/A")</f>
        <v>#N/A</v>
      </c>
      <c r="I145" s="19" t="str">
        <f ca="1">IFERROR(__xludf.DUMMYFUNCTION("SUBSTITUTE(REGEXEXTRACT(G145, ""-\s*\$(\d{1,3}(?:,\d{3})*)""), "","", ""."")
"),"#N/A")</f>
        <v>#N/A</v>
      </c>
      <c r="J145" s="19" t="str">
        <f ca="1">IFERROR(__xludf.DUMMYFUNCTION("IMPORTXML(AI145, ""//li[strong[text()='Initial Investment:']]"")"),"Loading...")</f>
        <v>Loading...</v>
      </c>
      <c r="K145" s="24"/>
      <c r="L145" s="20" t="str">
        <f ca="1">IFERROR(__xludf.DUMMYFUNCTION("IMPORTXML(AI145, ""//li[strong[text()='Category:']]"")"),"Loading...")</f>
        <v>Loading...</v>
      </c>
      <c r="M145" s="24"/>
      <c r="N145" s="19" t="str">
        <f ca="1">IFERROR(__xludf.DUMMYFUNCTION("IMPORTXML(AI145, ""//li[strong[text()='Global Sales:']]"")"),"Loading...")</f>
        <v>Loading...</v>
      </c>
      <c r="O145" s="24"/>
      <c r="P145" s="19" t="str">
        <f t="shared" si="0"/>
        <v/>
      </c>
      <c r="Q145" s="19" t="str">
        <f ca="1">IFERROR(__xludf.DUMMYFUNCTION("IMPORTXML(AI145, ""//li[strong[text()='US Units:']]"")"),"Loading...")</f>
        <v>Loading...</v>
      </c>
      <c r="R145" s="24"/>
      <c r="S145" s="19" t="str">
        <f ca="1">IFERROR(__xludf.DUMMYFUNCTION("IMPORTXML(AI145, ""//li[strong[text()='International Units:']]"")"),"Loading...")</f>
        <v>Loading...</v>
      </c>
      <c r="T145" s="44"/>
      <c r="U145" s="19" t="str">
        <f ca="1">IFERROR(__xludf.DUMMYFUNCTION("IMPORTXML(AI145, ""//li[strong[text()='Percent Franchised:']]"")"),"Loading...")</f>
        <v>Loading...</v>
      </c>
      <c r="V145" s="24"/>
      <c r="W145" s="19" t="str">
        <f ca="1">IFERROR(__xludf.DUMMYFUNCTION("IMPORTXML(AI145, ""//li[strong[text()='% International Units:']]"")"),"Loading...")</f>
        <v>Loading...</v>
      </c>
      <c r="X145" s="24"/>
      <c r="Y145" s="19" t="str">
        <f ca="1">IFERROR(__xludf.DUMMYFUNCTION("IMPORTXML(AI145, ""//li[strong[text()='US Franchised Units:']]"")"),"Loading...")</f>
        <v>Loading...</v>
      </c>
      <c r="Z145" s="24"/>
      <c r="AA145" s="14" t="str">
        <f t="shared" si="1"/>
        <v/>
      </c>
      <c r="AB145" s="19" t="str">
        <f ca="1">IFERROR(__xludf.DUMMYFUNCTION("IMPORTXML(AI145, ""//li[strong[text()='International Franchised Units:']]"")"),"#N/A")</f>
        <v>#N/A</v>
      </c>
      <c r="AC145" s="24"/>
      <c r="AD145" s="14" t="str">
        <f t="shared" si="2"/>
        <v/>
      </c>
      <c r="AE145" s="25" t="str">
        <f ca="1">IFERROR(__xludf.DUMMYFUNCTION("IMPORTXML(AI145, ""//li[strong[text()='Sales Growth %:']]"")"),"Sales Growth %:")</f>
        <v>Sales Growth %:</v>
      </c>
      <c r="AF145" s="24" t="str">
        <f ca="1">IFERROR(__xludf.DUMMYFUNCTION("""COMPUTED_VALUE""")," 0.7%")</f>
        <v xml:space="preserve"> 0.7%</v>
      </c>
      <c r="AG145" s="25" t="str">
        <f ca="1">IFERROR(__xludf.DUMMYFUNCTION("IMPORTXML(AI145, ""//li[strong[text()='Unit Growth %:']]"")"),"Loading...")</f>
        <v>Loading...</v>
      </c>
      <c r="AH145" s="25"/>
      <c r="AI145" s="48" t="s">
        <v>160</v>
      </c>
      <c r="AJ145" s="27"/>
      <c r="AK145" s="27"/>
      <c r="AL145" s="27"/>
      <c r="AM145" s="27"/>
      <c r="AN145" s="27"/>
      <c r="AO145" s="27"/>
      <c r="AP145" s="27"/>
      <c r="AQ145" s="27"/>
    </row>
    <row r="146" spans="1:43" ht="14.25" customHeight="1">
      <c r="A146" s="42">
        <v>24.145</v>
      </c>
      <c r="B146" s="14">
        <v>2024</v>
      </c>
      <c r="C146" s="32">
        <v>145</v>
      </c>
      <c r="D146" s="16" t="str">
        <f ca="1">IFERROR(__xludf.DUMMYFUNCTION("IMPORTXML(AI146, ""//h1[@itemprop='headline']/span"")"),"145. Jamba")</f>
        <v>145. Jamba</v>
      </c>
      <c r="E146" s="17" t="str">
        <f ca="1">IFERROR(__xludf.DUMMYFUNCTION("REGEXEXTRACT(D146, ""\.\s*(.+)"")"),"Jamba")</f>
        <v>Jamba</v>
      </c>
      <c r="F146" s="18" t="str">
        <f ca="1">IFERROR(__xludf.DUMMYFUNCTION("IMPORTXML(AI146, ""//li[strong[text()='Investment Range:']]"")"),"Investment Range:")</f>
        <v>Investment Range:</v>
      </c>
      <c r="G146" s="43" t="str">
        <f ca="1">IFERROR(__xludf.DUMMYFUNCTION("""COMPUTED_VALUE""")," $529,750 - $1,013,050 Estimated Initial Investment for a Traditional 
Location")</f>
        <v xml:space="preserve"> $529,750 - $1,013,050 Estimated Initial Investment for a Traditional 
Location</v>
      </c>
      <c r="H146" s="18" t="str">
        <f ca="1">IFERROR(__xludf.DUMMYFUNCTION("SUBSTITUTE(REGEXEXTRACT(G146, ""\$(\d{1,3}(?:,\d{3})*)""), "","", ""."")
"),"529.750")</f>
        <v>529.750</v>
      </c>
      <c r="I146" s="19" t="str">
        <f ca="1">IFERROR(__xludf.DUMMYFUNCTION("SUBSTITUTE(REGEXEXTRACT(G146, ""-\s*\$(\d{1,3}(?:,\d{3})*)""), "","", ""."")
"),"1.013.050")</f>
        <v>1.013.050</v>
      </c>
      <c r="J146" s="19" t="str">
        <f ca="1">IFERROR(__xludf.DUMMYFUNCTION("IMPORTXML(AI146, ""//li[strong[text()='Initial Investment:']]"")"),"Loading...")</f>
        <v>Loading...</v>
      </c>
      <c r="K146" s="24"/>
      <c r="L146" s="20" t="str">
        <f ca="1">IFERROR(__xludf.DUMMYFUNCTION("IMPORTXML(AI146, ""//li[strong[text()='Category:']]"")"),"Loading...")</f>
        <v>Loading...</v>
      </c>
      <c r="M146" s="24"/>
      <c r="N146" s="19" t="str">
        <f ca="1">IFERROR(__xludf.DUMMYFUNCTION("IMPORTXML(AI146, ""//li[strong[text()='Global Sales:']]"")"),"Loading...")</f>
        <v>Loading...</v>
      </c>
      <c r="O146" s="24"/>
      <c r="P146" s="19" t="str">
        <f t="shared" si="0"/>
        <v/>
      </c>
      <c r="Q146" s="19" t="str">
        <f ca="1">IFERROR(__xludf.DUMMYFUNCTION("IMPORTXML(AI146, ""//li[strong[text()='US Units:']]"")"),"Loading...")</f>
        <v>Loading...</v>
      </c>
      <c r="R146" s="24"/>
      <c r="S146" s="19" t="str">
        <f ca="1">IFERROR(__xludf.DUMMYFUNCTION("IMPORTXML(AI146, ""//li[strong[text()='International Units:']]"")"),"Loading...")</f>
        <v>Loading...</v>
      </c>
      <c r="T146" s="44"/>
      <c r="U146" s="19" t="str">
        <f ca="1">IFERROR(__xludf.DUMMYFUNCTION("IMPORTXML(AI146, ""//li[strong[text()='Percent Franchised:']]"")"),"Loading...")</f>
        <v>Loading...</v>
      </c>
      <c r="V146" s="24"/>
      <c r="W146" s="19" t="str">
        <f ca="1">IFERROR(__xludf.DUMMYFUNCTION("IMPORTXML(AI146, ""//li[strong[text()='% International Units:']]"")"),"Loading...")</f>
        <v>Loading...</v>
      </c>
      <c r="X146" s="24"/>
      <c r="Y146" s="19" t="str">
        <f ca="1">IFERROR(__xludf.DUMMYFUNCTION("IMPORTXML(AI146, ""//li[strong[text()='US Franchised Units:']]"")"),"Loading...")</f>
        <v>Loading...</v>
      </c>
      <c r="Z146" s="24"/>
      <c r="AA146" s="14" t="str">
        <f t="shared" si="1"/>
        <v/>
      </c>
      <c r="AB146" s="19" t="str">
        <f ca="1">IFERROR(__xludf.DUMMYFUNCTION("IMPORTXML(AI146, ""//li[strong[text()='International Franchised Units:']]"")"),"Loading...")</f>
        <v>Loading...</v>
      </c>
      <c r="AC146" s="24"/>
      <c r="AD146" s="14" t="str">
        <f t="shared" si="2"/>
        <v/>
      </c>
      <c r="AE146" s="25" t="str">
        <f ca="1">IFERROR(__xludf.DUMMYFUNCTION("IMPORTXML(AI146, ""//li[strong[text()='Sales Growth %:']]"")"),"Loading...")</f>
        <v>Loading...</v>
      </c>
      <c r="AF146" s="24"/>
      <c r="AG146" s="25" t="str">
        <f ca="1">IFERROR(__xludf.DUMMYFUNCTION("IMPORTXML(AI146, ""//li[strong[text()='Unit Growth %:']]"")"),"Loading...")</f>
        <v>Loading...</v>
      </c>
      <c r="AH146" s="25"/>
      <c r="AI146" s="48" t="s">
        <v>161</v>
      </c>
      <c r="AJ146" s="27"/>
      <c r="AK146" s="27"/>
      <c r="AL146" s="27"/>
      <c r="AM146" s="27"/>
      <c r="AN146" s="27"/>
      <c r="AO146" s="27"/>
      <c r="AP146" s="27"/>
      <c r="AQ146" s="27"/>
    </row>
    <row r="147" spans="1:43" ht="14.25" customHeight="1">
      <c r="A147" s="42">
        <v>24.146000000000001</v>
      </c>
      <c r="B147" s="14">
        <v>2024</v>
      </c>
      <c r="C147" s="36">
        <v>146</v>
      </c>
      <c r="D147" s="16" t="str">
        <f ca="1">IFERROR(__xludf.DUMMYFUNCTION("IMPORTXML(AI147, ""//h1[@itemprop='headline']/span"")"),"146. 1-800-GOT-JUNK?")</f>
        <v>146. 1-800-GOT-JUNK?</v>
      </c>
      <c r="E147" s="17" t="str">
        <f ca="1">IFERROR(__xludf.DUMMYFUNCTION("REGEXEXTRACT(D147, ""\.\s*(.+)"")"),"1-800-GOT-JUNK?")</f>
        <v>1-800-GOT-JUNK?</v>
      </c>
      <c r="F147" s="18" t="str">
        <f ca="1">IFERROR(__xludf.DUMMYFUNCTION("IMPORTXML(AI147, ""//li[strong[text()='Investment Range:']]"")"),"Investment Range:")</f>
        <v>Investment Range:</v>
      </c>
      <c r="G147" s="43" t="str">
        <f ca="1">IFERROR(__xludf.DUMMYFUNCTION("""COMPUTED_VALUE""")," $168,800 - $258,150")</f>
        <v xml:space="preserve"> $168,800 - $258,150</v>
      </c>
      <c r="H147" s="18" t="str">
        <f ca="1">IFERROR(__xludf.DUMMYFUNCTION("SUBSTITUTE(REGEXEXTRACT(G147, ""\$(\d{1,3}(?:,\d{3})*)""), "","", ""."")
"),"168.800")</f>
        <v>168.800</v>
      </c>
      <c r="I147" s="19" t="str">
        <f ca="1">IFERROR(__xludf.DUMMYFUNCTION("SUBSTITUTE(REGEXEXTRACT(G147, ""-\s*\$(\d{1,3}(?:,\d{3})*)""), "","", ""."")
"),"258.150")</f>
        <v>258.150</v>
      </c>
      <c r="J147" s="19" t="str">
        <f ca="1">IFERROR(__xludf.DUMMYFUNCTION("IMPORTXML(AI147, ""//li[strong[text()='Initial Investment:']]"")"),"Loading...")</f>
        <v>Loading...</v>
      </c>
      <c r="K147" s="24"/>
      <c r="L147" s="20" t="str">
        <f ca="1">IFERROR(__xludf.DUMMYFUNCTION("IMPORTXML(AI147, ""//li[strong[text()='Category:']]"")"),"Loading...")</f>
        <v>Loading...</v>
      </c>
      <c r="M147" s="24"/>
      <c r="N147" s="19" t="str">
        <f ca="1">IFERROR(__xludf.DUMMYFUNCTION("IMPORTXML(AI147, ""//li[strong[text()='Global Sales:']]"")"),"Global Sales:")</f>
        <v>Global Sales:</v>
      </c>
      <c r="O147" s="24" t="str">
        <f ca="1">IFERROR(__xludf.DUMMYFUNCTION("""COMPUTED_VALUE""")," $525,190,289")</f>
        <v xml:space="preserve"> $525,190,289</v>
      </c>
      <c r="P147" s="19" t="str">
        <f t="shared" ca="1" si="0"/>
        <v xml:space="preserve"> 525.190.289</v>
      </c>
      <c r="Q147" s="19" t="str">
        <f ca="1">IFERROR(__xludf.DUMMYFUNCTION("IMPORTXML(AI147, ""//li[strong[text()='US Units:']]"")"),"Loading...")</f>
        <v>Loading...</v>
      </c>
      <c r="R147" s="24"/>
      <c r="S147" s="19" t="str">
        <f ca="1">IFERROR(__xludf.DUMMYFUNCTION("IMPORTXML(AI147, ""//li[strong[text()='International Units:']]"")"),"Loading...")</f>
        <v>Loading...</v>
      </c>
      <c r="T147" s="44"/>
      <c r="U147" s="19" t="str">
        <f ca="1">IFERROR(__xludf.DUMMYFUNCTION("IMPORTXML(AI147, ""//li[strong[text()='Percent Franchised:']]"")"),"Loading...")</f>
        <v>Loading...</v>
      </c>
      <c r="V147" s="24"/>
      <c r="W147" s="19" t="str">
        <f ca="1">IFERROR(__xludf.DUMMYFUNCTION("IMPORTXML(AI147, ""//li[strong[text()='% International Units:']]"")"),"Loading...")</f>
        <v>Loading...</v>
      </c>
      <c r="X147" s="24"/>
      <c r="Y147" s="19" t="str">
        <f ca="1">IFERROR(__xludf.DUMMYFUNCTION("IMPORTXML(AI147, ""//li[strong[text()='US Franchised Units:']]"")"),"Loading...")</f>
        <v>Loading...</v>
      </c>
      <c r="Z147" s="24"/>
      <c r="AA147" s="14" t="str">
        <f t="shared" si="1"/>
        <v/>
      </c>
      <c r="AB147" s="19" t="str">
        <f ca="1">IFERROR(__xludf.DUMMYFUNCTION("IMPORTXML(AI147, ""//li[strong[text()='International Franchised Units:']]"")"),"Loading...")</f>
        <v>Loading...</v>
      </c>
      <c r="AC147" s="24"/>
      <c r="AD147" s="14" t="str">
        <f t="shared" si="2"/>
        <v/>
      </c>
      <c r="AE147" s="25" t="str">
        <f ca="1">IFERROR(__xludf.DUMMYFUNCTION("IMPORTXML(AI147, ""//li[strong[text()='Sales Growth %:']]"")"),"Loading...")</f>
        <v>Loading...</v>
      </c>
      <c r="AF147" s="24"/>
      <c r="AG147" s="25" t="str">
        <f ca="1">IFERROR(__xludf.DUMMYFUNCTION("IMPORTXML(AI147, ""//li[strong[text()='Unit Growth %:']]"")"),"Unit Growth %:")</f>
        <v>Unit Growth %:</v>
      </c>
      <c r="AH147" s="25" t="str">
        <f ca="1">IFERROR(__xludf.DUMMYFUNCTION("""COMPUTED_VALUE""")," 2.9%")</f>
        <v xml:space="preserve"> 2.9%</v>
      </c>
      <c r="AI147" s="48" t="s">
        <v>162</v>
      </c>
      <c r="AJ147" s="27"/>
      <c r="AK147" s="27"/>
      <c r="AL147" s="27"/>
      <c r="AM147" s="27"/>
      <c r="AN147" s="27"/>
      <c r="AO147" s="27"/>
      <c r="AP147" s="27"/>
      <c r="AQ147" s="27"/>
    </row>
    <row r="148" spans="1:43" ht="14.25" customHeight="1">
      <c r="A148" s="42">
        <v>24.146999999999998</v>
      </c>
      <c r="B148" s="14">
        <v>2024</v>
      </c>
      <c r="C148" s="36">
        <v>147</v>
      </c>
      <c r="D148" s="16" t="str">
        <f ca="1">IFERROR(__xludf.DUMMYFUNCTION("IMPORTXML(AI148, ""//h1[@itemprop='headline']/span"")"),"147. Once Upon A Child")</f>
        <v>147. Once Upon A Child</v>
      </c>
      <c r="E148" s="17" t="str">
        <f ca="1">IFERROR(__xludf.DUMMYFUNCTION("REGEXEXTRACT(D148, ""\.\s*(.+)"")"),"Once Upon A Child")</f>
        <v>Once Upon A Child</v>
      </c>
      <c r="F148" s="18" t="str">
        <f ca="1">IFERROR(__xludf.DUMMYFUNCTION("IMPORTXML(AI148, ""//li[strong[text()='Investment Range:']]"")"),"Investment Range:")</f>
        <v>Investment Range:</v>
      </c>
      <c r="G148" s="43" t="str">
        <f ca="1">IFERROR(__xludf.DUMMYFUNCTION("""COMPUTED_VALUE""")," $287,800 - $420,800")</f>
        <v xml:space="preserve"> $287,800 - $420,800</v>
      </c>
      <c r="H148" s="18" t="str">
        <f ca="1">IFERROR(__xludf.DUMMYFUNCTION("SUBSTITUTE(REGEXEXTRACT(G148, ""\$(\d{1,3}(?:,\d{3})*)""), "","", ""."")
"),"287.800")</f>
        <v>287.800</v>
      </c>
      <c r="I148" s="19" t="str">
        <f ca="1">IFERROR(__xludf.DUMMYFUNCTION("SUBSTITUTE(REGEXEXTRACT(G148, ""-\s*\$(\d{1,3}(?:,\d{3})*)""), "","", ""."")
"),"420.800")</f>
        <v>420.800</v>
      </c>
      <c r="J148" s="19" t="str">
        <f ca="1">IFERROR(__xludf.DUMMYFUNCTION("IMPORTXML(AI148, ""//li[strong[text()='Initial Investment:']]"")"),"Loading...")</f>
        <v>Loading...</v>
      </c>
      <c r="K148" s="24"/>
      <c r="L148" s="20" t="str">
        <f ca="1">IFERROR(__xludf.DUMMYFUNCTION("IMPORTXML(AI148, ""//li[strong[text()='Category:']]"")"),"Loading...")</f>
        <v>Loading...</v>
      </c>
      <c r="M148" s="24"/>
      <c r="N148" s="19" t="str">
        <f ca="1">IFERROR(__xludf.DUMMYFUNCTION("IMPORTXML(AI148, ""//li[strong[text()='Global Sales:']]"")"),"Loading...")</f>
        <v>Loading...</v>
      </c>
      <c r="O148" s="24"/>
      <c r="P148" s="19" t="str">
        <f t="shared" si="0"/>
        <v/>
      </c>
      <c r="Q148" s="19" t="str">
        <f ca="1">IFERROR(__xludf.DUMMYFUNCTION("IMPORTXML(AI148, ""//li[strong[text()='US Units:']]"")"),"Loading...")</f>
        <v>Loading...</v>
      </c>
      <c r="R148" s="24"/>
      <c r="S148" s="19" t="str">
        <f ca="1">IFERROR(__xludf.DUMMYFUNCTION("IMPORTXML(AI148, ""//li[strong[text()='International Units:']]"")"),"Loading...")</f>
        <v>Loading...</v>
      </c>
      <c r="T148" s="44"/>
      <c r="U148" s="19" t="str">
        <f ca="1">IFERROR(__xludf.DUMMYFUNCTION("IMPORTXML(AI148, ""//li[strong[text()='Percent Franchised:']]"")"),"Loading...")</f>
        <v>Loading...</v>
      </c>
      <c r="V148" s="24"/>
      <c r="W148" s="19" t="str">
        <f ca="1">IFERROR(__xludf.DUMMYFUNCTION("IMPORTXML(AI148, ""//li[strong[text()='% International Units:']]"")"),"Loading...")</f>
        <v>Loading...</v>
      </c>
      <c r="X148" s="24"/>
      <c r="Y148" s="19" t="str">
        <f ca="1">IFERROR(__xludf.DUMMYFUNCTION("IMPORTXML(AI148, ""//li[strong[text()='US Franchised Units:']]"")"),"Loading...")</f>
        <v>Loading...</v>
      </c>
      <c r="Z148" s="24"/>
      <c r="AA148" s="14" t="str">
        <f t="shared" si="1"/>
        <v/>
      </c>
      <c r="AB148" s="19" t="str">
        <f ca="1">IFERROR(__xludf.DUMMYFUNCTION("IMPORTXML(AI148, ""//li[strong[text()='International Franchised Units:']]"")"),"Loading...")</f>
        <v>Loading...</v>
      </c>
      <c r="AC148" s="24"/>
      <c r="AD148" s="14" t="str">
        <f t="shared" si="2"/>
        <v/>
      </c>
      <c r="AE148" s="25" t="str">
        <f ca="1">IFERROR(__xludf.DUMMYFUNCTION("IMPORTXML(AI148, ""//li[strong[text()='Sales Growth %:']]"")"),"Loading...")</f>
        <v>Loading...</v>
      </c>
      <c r="AF148" s="24"/>
      <c r="AG148" s="25" t="str">
        <f ca="1">IFERROR(__xludf.DUMMYFUNCTION("IMPORTXML(AI148, ""//li[strong[text()='Unit Growth %:']]"")"),"Loading...")</f>
        <v>Loading...</v>
      </c>
      <c r="AH148" s="25"/>
      <c r="AI148" s="48" t="s">
        <v>163</v>
      </c>
      <c r="AJ148" s="27"/>
      <c r="AK148" s="27"/>
      <c r="AL148" s="27"/>
      <c r="AM148" s="27"/>
      <c r="AN148" s="27"/>
      <c r="AO148" s="27"/>
      <c r="AP148" s="27"/>
      <c r="AQ148" s="27"/>
    </row>
    <row r="149" spans="1:43" ht="14.25" customHeight="1">
      <c r="A149" s="42">
        <v>24.148</v>
      </c>
      <c r="B149" s="14">
        <v>2024</v>
      </c>
      <c r="C149" s="15">
        <v>148</v>
      </c>
      <c r="D149" s="16" t="str">
        <f ca="1">IFERROR(__xludf.DUMMYFUNCTION("IMPORTXML(AI149, ""//h1[@itemprop='headline']/span"")"),"148. Sky Zone")</f>
        <v>148. Sky Zone</v>
      </c>
      <c r="E149" s="17" t="str">
        <f ca="1">IFERROR(__xludf.DUMMYFUNCTION("REGEXEXTRACT(D149, ""\.\s*(.+)"")"),"Sky Zone")</f>
        <v>Sky Zone</v>
      </c>
      <c r="F149" s="18" t="str">
        <f ca="1">IFERROR(__xludf.DUMMYFUNCTION("IMPORTXML(AI149, ""//li[strong[text()='Investment Range:']]"")"),"Investment Range:")</f>
        <v>Investment Range:</v>
      </c>
      <c r="G149" s="43" t="str">
        <f ca="1">IFERROR(__xludf.DUMMYFUNCTION("""COMPUTED_VALUE""")," $3M - $3.9M")</f>
        <v xml:space="preserve"> $3M - $3.9M</v>
      </c>
      <c r="H149" s="18" t="str">
        <f ca="1">IFERROR(__xludf.DUMMYFUNCTION("SUBSTITUTE(REGEXEXTRACT(G149, ""\$(\d{1,3}(?:,\d{3})*)""), "","", ""."")
"),"3")</f>
        <v>3</v>
      </c>
      <c r="I149" s="19" t="str">
        <f ca="1">IFERROR(__xludf.DUMMYFUNCTION("SUBSTITUTE(REGEXEXTRACT(G149, ""-\s*\$(\d{1,3}(?:,\d{3})*)""), "","", ""."")
"),"3")</f>
        <v>3</v>
      </c>
      <c r="J149" s="19" t="str">
        <f ca="1">IFERROR(__xludf.DUMMYFUNCTION("IMPORTXML(AI149, ""//li[strong[text()='Initial Investment:']]"")"),"Loading...")</f>
        <v>Loading...</v>
      </c>
      <c r="K149" s="24"/>
      <c r="L149" s="20" t="str">
        <f ca="1">IFERROR(__xludf.DUMMYFUNCTION("IMPORTXML(AI149, ""//li[strong[text()='Category:']]"")"),"Loading...")</f>
        <v>Loading...</v>
      </c>
      <c r="M149" s="24"/>
      <c r="N149" s="19" t="str">
        <f ca="1">IFERROR(__xludf.DUMMYFUNCTION("IMPORTXML(AI149, ""//li[strong[text()='Global Sales:']]"")"),"Loading...")</f>
        <v>Loading...</v>
      </c>
      <c r="O149" s="24"/>
      <c r="P149" s="19" t="str">
        <f t="shared" si="0"/>
        <v/>
      </c>
      <c r="Q149" s="19" t="str">
        <f ca="1">IFERROR(__xludf.DUMMYFUNCTION("IMPORTXML(AI149, ""//li[strong[text()='US Units:']]"")"),"Loading...")</f>
        <v>Loading...</v>
      </c>
      <c r="R149" s="24"/>
      <c r="S149" s="19" t="str">
        <f ca="1">IFERROR(__xludf.DUMMYFUNCTION("IMPORTXML(AI149, ""//li[strong[text()='International Units:']]"")"),"Loading...")</f>
        <v>Loading...</v>
      </c>
      <c r="T149" s="44"/>
      <c r="U149" s="19" t="str">
        <f ca="1">IFERROR(__xludf.DUMMYFUNCTION("IMPORTXML(AI149, ""//li[strong[text()='Percent Franchised:']]"")"),"Loading...")</f>
        <v>Loading...</v>
      </c>
      <c r="V149" s="24"/>
      <c r="W149" s="19" t="str">
        <f ca="1">IFERROR(__xludf.DUMMYFUNCTION("IMPORTXML(AI149, ""//li[strong[text()='% International Units:']]"")"),"Loading...")</f>
        <v>Loading...</v>
      </c>
      <c r="X149" s="24"/>
      <c r="Y149" s="19" t="str">
        <f ca="1">IFERROR(__xludf.DUMMYFUNCTION("IMPORTXML(AI149, ""//li[strong[text()='US Franchised Units:']]"")"),"Loading...")</f>
        <v>Loading...</v>
      </c>
      <c r="Z149" s="24"/>
      <c r="AA149" s="14" t="str">
        <f t="shared" si="1"/>
        <v/>
      </c>
      <c r="AB149" s="19" t="str">
        <f ca="1">IFERROR(__xludf.DUMMYFUNCTION("IMPORTXML(AI149, ""//li[strong[text()='International Franchised Units:']]"")"),"Loading...")</f>
        <v>Loading...</v>
      </c>
      <c r="AC149" s="24"/>
      <c r="AD149" s="14" t="str">
        <f t="shared" si="2"/>
        <v/>
      </c>
      <c r="AE149" s="25" t="str">
        <f ca="1">IFERROR(__xludf.DUMMYFUNCTION("IMPORTXML(AI149, ""//li[strong[text()='Sales Growth %:']]"")"),"Loading...")</f>
        <v>Loading...</v>
      </c>
      <c r="AF149" s="24"/>
      <c r="AG149" s="25" t="str">
        <f ca="1">IFERROR(__xludf.DUMMYFUNCTION("IMPORTXML(AI149, ""//li[strong[text()='Unit Growth %:']]"")"),"Loading...")</f>
        <v>Loading...</v>
      </c>
      <c r="AH149" s="25"/>
      <c r="AI149" s="48" t="s">
        <v>164</v>
      </c>
      <c r="AJ149" s="27"/>
      <c r="AK149" s="27"/>
      <c r="AL149" s="27"/>
      <c r="AM149" s="27"/>
      <c r="AN149" s="27"/>
      <c r="AO149" s="27"/>
      <c r="AP149" s="27"/>
      <c r="AQ149" s="27"/>
    </row>
    <row r="150" spans="1:43" ht="14.25" customHeight="1">
      <c r="A150" s="42">
        <v>24.149000000000001</v>
      </c>
      <c r="B150" s="14">
        <v>2024</v>
      </c>
      <c r="C150" s="32">
        <v>149</v>
      </c>
      <c r="D150" s="16" t="str">
        <f ca="1">IFERROR(__xludf.DUMMYFUNCTION("IMPORTXML(AI150, ""//h1[@itemprop='headline']/span"")"),"149. Cinnabon")</f>
        <v>149. Cinnabon</v>
      </c>
      <c r="E150" s="17" t="str">
        <f ca="1">IFERROR(__xludf.DUMMYFUNCTION("REGEXEXTRACT(D150, ""\.\s*(.+)"")"),"Cinnabon")</f>
        <v>Cinnabon</v>
      </c>
      <c r="F150" s="18" t="str">
        <f ca="1">IFERROR(__xludf.DUMMYFUNCTION("IMPORTXML(AI150, ""//li[strong[text()='Investment Range:']]"")"),"Loading...")</f>
        <v>Loading...</v>
      </c>
      <c r="G150" s="43"/>
      <c r="H150" s="18" t="str">
        <f ca="1">IFERROR(__xludf.DUMMYFUNCTION("SUBSTITUTE(REGEXEXTRACT(G150, ""\$(\d{1,3}(?:,\d{3})*)""), "","", ""."")
"),"#N/A")</f>
        <v>#N/A</v>
      </c>
      <c r="I150" s="19" t="str">
        <f ca="1">IFERROR(__xludf.DUMMYFUNCTION("SUBSTITUTE(REGEXEXTRACT(G150, ""-\s*\$(\d{1,3}(?:,\d{3})*)""), "","", ""."")
"),"#N/A")</f>
        <v>#N/A</v>
      </c>
      <c r="J150" s="19" t="str">
        <f ca="1">IFERROR(__xludf.DUMMYFUNCTION("IMPORTXML(AI150, ""//li[strong[text()='Initial Investment:']]"")"),"Loading...")</f>
        <v>Loading...</v>
      </c>
      <c r="K150" s="24"/>
      <c r="L150" s="20" t="str">
        <f ca="1">IFERROR(__xludf.DUMMYFUNCTION("IMPORTXML(AI150, ""//li[strong[text()='Category:']]"")"),"Loading...")</f>
        <v>Loading...</v>
      </c>
      <c r="M150" s="24"/>
      <c r="N150" s="19" t="str">
        <f ca="1">IFERROR(__xludf.DUMMYFUNCTION("IMPORTXML(AI150, ""//li[strong[text()='Global Sales:']]"")"),"Loading...")</f>
        <v>Loading...</v>
      </c>
      <c r="O150" s="24"/>
      <c r="P150" s="19" t="str">
        <f t="shared" si="0"/>
        <v/>
      </c>
      <c r="Q150" s="19" t="str">
        <f ca="1">IFERROR(__xludf.DUMMYFUNCTION("IMPORTXML(AI150, ""//li[strong[text()='US Units:']]"")"),"Loading...")</f>
        <v>Loading...</v>
      </c>
      <c r="R150" s="24"/>
      <c r="S150" s="19" t="str">
        <f ca="1">IFERROR(__xludf.DUMMYFUNCTION("IMPORTXML(AI150, ""//li[strong[text()='International Units:']]"")"),"Loading...")</f>
        <v>Loading...</v>
      </c>
      <c r="T150" s="44"/>
      <c r="U150" s="19" t="str">
        <f ca="1">IFERROR(__xludf.DUMMYFUNCTION("IMPORTXML(AI150, ""//li[strong[text()='Percent Franchised:']]"")"),"Loading...")</f>
        <v>Loading...</v>
      </c>
      <c r="V150" s="24"/>
      <c r="W150" s="19" t="str">
        <f ca="1">IFERROR(__xludf.DUMMYFUNCTION("IMPORTXML(AI150, ""//li[strong[text()='% International Units:']]"")"),"Loading...")</f>
        <v>Loading...</v>
      </c>
      <c r="X150" s="24"/>
      <c r="Y150" s="19" t="str">
        <f ca="1">IFERROR(__xludf.DUMMYFUNCTION("IMPORTXML(AI150, ""//li[strong[text()='US Franchised Units:']]"")"),"Loading...")</f>
        <v>Loading...</v>
      </c>
      <c r="Z150" s="24"/>
      <c r="AA150" s="14" t="str">
        <f t="shared" si="1"/>
        <v/>
      </c>
      <c r="AB150" s="19" t="str">
        <f ca="1">IFERROR(__xludf.DUMMYFUNCTION("IMPORTXML(AI150, ""//li[strong[text()='International Franchised Units:']]"")"),"Loading...")</f>
        <v>Loading...</v>
      </c>
      <c r="AC150" s="24"/>
      <c r="AD150" s="14" t="str">
        <f t="shared" si="2"/>
        <v/>
      </c>
      <c r="AE150" s="25" t="str">
        <f ca="1">IFERROR(__xludf.DUMMYFUNCTION("IMPORTXML(AI150, ""//li[strong[text()='Sales Growth %:']]"")"),"Loading...")</f>
        <v>Loading...</v>
      </c>
      <c r="AF150" s="24"/>
      <c r="AG150" s="25" t="str">
        <f ca="1">IFERROR(__xludf.DUMMYFUNCTION("IMPORTXML(AI150, ""//li[strong[text()='Unit Growth %:']]"")"),"Loading...")</f>
        <v>Loading...</v>
      </c>
      <c r="AH150" s="25"/>
      <c r="AI150" s="48" t="s">
        <v>165</v>
      </c>
      <c r="AJ150" s="27"/>
      <c r="AK150" s="27"/>
      <c r="AL150" s="27"/>
      <c r="AM150" s="27"/>
      <c r="AN150" s="27"/>
      <c r="AO150" s="27"/>
      <c r="AP150" s="27"/>
      <c r="AQ150" s="27"/>
    </row>
    <row r="151" spans="1:43" ht="14.25" customHeight="1">
      <c r="A151" s="42">
        <v>24.15</v>
      </c>
      <c r="B151" s="14">
        <v>2024</v>
      </c>
      <c r="C151" s="36">
        <v>150</v>
      </c>
      <c r="D151" s="16" t="str">
        <f ca="1">IFERROR(__xludf.DUMMYFUNCTION("IMPORTXML(AI151, ""//h1[@itemprop='headline']/span"")"),"150. The Joint Chiropractic")</f>
        <v>150. The Joint Chiropractic</v>
      </c>
      <c r="E151" s="17" t="str">
        <f ca="1">IFERROR(__xludf.DUMMYFUNCTION("REGEXEXTRACT(D151, ""\.\s*(.+)"")"),"The Joint Chiropractic")</f>
        <v>The Joint Chiropractic</v>
      </c>
      <c r="F151" s="18" t="str">
        <f ca="1">IFERROR(__xludf.DUMMYFUNCTION("IMPORTXML(AI151, ""//li[strong[text()='Investment Range:']]"")"),"Investment Range:")</f>
        <v>Investment Range:</v>
      </c>
      <c r="G151" s="43" t="str">
        <f ca="1">IFERROR(__xludf.DUMMYFUNCTION("""COMPUTED_VALUE""")," $254,250 - $520,800")</f>
        <v xml:space="preserve"> $254,250 - $520,800</v>
      </c>
      <c r="H151" s="18" t="str">
        <f ca="1">IFERROR(__xludf.DUMMYFUNCTION("SUBSTITUTE(REGEXEXTRACT(G151, ""\$(\d{1,3}(?:,\d{3})*)""), "","", ""."")
"),"254.250")</f>
        <v>254.250</v>
      </c>
      <c r="I151" s="19" t="str">
        <f ca="1">IFERROR(__xludf.DUMMYFUNCTION("SUBSTITUTE(REGEXEXTRACT(G151, ""-\s*\$(\d{1,3}(?:,\d{3})*)""), "","", ""."")
"),"520.800")</f>
        <v>520.800</v>
      </c>
      <c r="J151" s="19" t="str">
        <f ca="1">IFERROR(__xludf.DUMMYFUNCTION("IMPORTXML(AI151, ""//li[strong[text()='Initial Investment:']]"")"),"Loading...")</f>
        <v>Loading...</v>
      </c>
      <c r="K151" s="24"/>
      <c r="L151" s="20" t="str">
        <f ca="1">IFERROR(__xludf.DUMMYFUNCTION("IMPORTXML(AI151, ""//li[strong[text()='Category:']]"")"),"Loading...")</f>
        <v>Loading...</v>
      </c>
      <c r="M151" s="24"/>
      <c r="N151" s="19" t="str">
        <f ca="1">IFERROR(__xludf.DUMMYFUNCTION("IMPORTXML(AI151, ""//li[strong[text()='Global Sales:']]"")"),"Loading...")</f>
        <v>Loading...</v>
      </c>
      <c r="O151" s="24"/>
      <c r="P151" s="19" t="str">
        <f t="shared" si="0"/>
        <v/>
      </c>
      <c r="Q151" s="19" t="str">
        <f ca="1">IFERROR(__xludf.DUMMYFUNCTION("IMPORTXML(AI151, ""//li[strong[text()='US Units:']]"")"),"Loading...")</f>
        <v>Loading...</v>
      </c>
      <c r="R151" s="24"/>
      <c r="S151" s="19" t="str">
        <f ca="1">IFERROR(__xludf.DUMMYFUNCTION("IMPORTXML(AI151, ""//li[strong[text()='International Units:']]"")"),"Loading...")</f>
        <v>Loading...</v>
      </c>
      <c r="T151" s="44"/>
      <c r="U151" s="19" t="str">
        <f ca="1">IFERROR(__xludf.DUMMYFUNCTION("IMPORTXML(AI151, ""//li[strong[text()='Percent Franchised:']]"")"),"Loading...")</f>
        <v>Loading...</v>
      </c>
      <c r="V151" s="24"/>
      <c r="W151" s="19" t="str">
        <f ca="1">IFERROR(__xludf.DUMMYFUNCTION("IMPORTXML(AI151, ""//li[strong[text()='% International Units:']]"")"),"Loading...")</f>
        <v>Loading...</v>
      </c>
      <c r="X151" s="24"/>
      <c r="Y151" s="19" t="str">
        <f ca="1">IFERROR(__xludf.DUMMYFUNCTION("IMPORTXML(AI151, ""//li[strong[text()='US Franchised Units:']]"")"),"Loading...")</f>
        <v>Loading...</v>
      </c>
      <c r="Z151" s="24"/>
      <c r="AA151" s="14" t="str">
        <f t="shared" si="1"/>
        <v/>
      </c>
      <c r="AB151" s="19" t="str">
        <f ca="1">IFERROR(__xludf.DUMMYFUNCTION("IMPORTXML(AI151, ""//li[strong[text()='International Franchised Units:']]"")"),"Loading...")</f>
        <v>Loading...</v>
      </c>
      <c r="AC151" s="24"/>
      <c r="AD151" s="14" t="str">
        <f t="shared" si="2"/>
        <v/>
      </c>
      <c r="AE151" s="25" t="str">
        <f ca="1">IFERROR(__xludf.DUMMYFUNCTION("IMPORTXML(AI151, ""//li[strong[text()='Sales Growth %:']]"")"),"Loading...")</f>
        <v>Loading...</v>
      </c>
      <c r="AF151" s="24"/>
      <c r="AG151" s="25" t="str">
        <f ca="1">IFERROR(__xludf.DUMMYFUNCTION("IMPORTXML(AI151, ""//li[strong[text()='Unit Growth %:']]"")"),"Loading...")</f>
        <v>Loading...</v>
      </c>
      <c r="AH151" s="25"/>
      <c r="AI151" s="48" t="s">
        <v>166</v>
      </c>
      <c r="AJ151" s="27"/>
      <c r="AK151" s="27"/>
      <c r="AL151" s="27"/>
      <c r="AM151" s="27"/>
      <c r="AN151" s="27"/>
      <c r="AO151" s="27"/>
      <c r="AP151" s="27"/>
      <c r="AQ151" s="27"/>
    </row>
    <row r="152" spans="1:43" ht="14.25" customHeight="1">
      <c r="A152" s="42">
        <v>24.151</v>
      </c>
      <c r="B152" s="14">
        <v>2024</v>
      </c>
      <c r="C152" s="36">
        <v>151</v>
      </c>
      <c r="D152" s="16" t="str">
        <f ca="1">IFERROR(__xludf.DUMMYFUNCTION("IMPORTXML(AI152, ""//h1[@itemprop='headline']/span"")"),"151. Re-Bath")</f>
        <v>151. Re-Bath</v>
      </c>
      <c r="E152" s="17" t="str">
        <f ca="1">IFERROR(__xludf.DUMMYFUNCTION("REGEXEXTRACT(D152, ""\.\s*(.+)"")"),"Re-Bath")</f>
        <v>Re-Bath</v>
      </c>
      <c r="F152" s="18" t="str">
        <f ca="1">IFERROR(__xludf.DUMMYFUNCTION("IMPORTXML(AI152, ""//li[strong[text()='Investment Range:']]"")"),"#REF!")</f>
        <v>#REF!</v>
      </c>
      <c r="G152" s="43"/>
      <c r="H152" s="18" t="str">
        <f ca="1">IFERROR(__xludf.DUMMYFUNCTION("SUBSTITUTE(REGEXEXTRACT(G152, ""\$(\d{1,3}(?:,\d{3})*)""), "","", ""."")
"),"#N/A")</f>
        <v>#N/A</v>
      </c>
      <c r="I152" s="19" t="str">
        <f ca="1">IFERROR(__xludf.DUMMYFUNCTION("SUBSTITUTE(REGEXEXTRACT(G152, ""-\s*\$(\d{1,3}(?:,\d{3})*)""), "","", ""."")
"),"#N/A")</f>
        <v>#N/A</v>
      </c>
      <c r="J152" s="19" t="str">
        <f ca="1">IFERROR(__xludf.DUMMYFUNCTION("IMPORTXML(AI152, ""//li[strong[text()='Initial Investment:']]"")"),"Loading...")</f>
        <v>Loading...</v>
      </c>
      <c r="K152" s="24"/>
      <c r="L152" s="20" t="str">
        <f ca="1">IFERROR(__xludf.DUMMYFUNCTION("IMPORTXML(AI152, ""//li[strong[text()='Category:']]"")"),"Loading...")</f>
        <v>Loading...</v>
      </c>
      <c r="M152" s="24"/>
      <c r="N152" s="19" t="str">
        <f ca="1">IFERROR(__xludf.DUMMYFUNCTION("IMPORTXML(AI152, ""//li[strong[text()='Global Sales:']]"")"),"Loading...")</f>
        <v>Loading...</v>
      </c>
      <c r="O152" s="24"/>
      <c r="P152" s="19" t="str">
        <f t="shared" si="0"/>
        <v/>
      </c>
      <c r="Q152" s="19" t="str">
        <f ca="1">IFERROR(__xludf.DUMMYFUNCTION("IMPORTXML(AI152, ""//li[strong[text()='US Units:']]"")"),"Loading...")</f>
        <v>Loading...</v>
      </c>
      <c r="R152" s="24"/>
      <c r="S152" s="19" t="str">
        <f ca="1">IFERROR(__xludf.DUMMYFUNCTION("IMPORTXML(AI152, ""//li[strong[text()='International Units:']]"")"),"Loading...")</f>
        <v>Loading...</v>
      </c>
      <c r="T152" s="44"/>
      <c r="U152" s="19" t="str">
        <f ca="1">IFERROR(__xludf.DUMMYFUNCTION("IMPORTXML(AI152, ""//li[strong[text()='Percent Franchised:']]"")"),"Loading...")</f>
        <v>Loading...</v>
      </c>
      <c r="V152" s="24"/>
      <c r="W152" s="19" t="str">
        <f ca="1">IFERROR(__xludf.DUMMYFUNCTION("IMPORTXML(AI152, ""//li[strong[text()='% International Units:']]"")"),"Loading...")</f>
        <v>Loading...</v>
      </c>
      <c r="X152" s="24"/>
      <c r="Y152" s="19" t="str">
        <f ca="1">IFERROR(__xludf.DUMMYFUNCTION("IMPORTXML(AI152, ""//li[strong[text()='US Franchised Units:']]"")"),"Loading...")</f>
        <v>Loading...</v>
      </c>
      <c r="Z152" s="24"/>
      <c r="AA152" s="14" t="str">
        <f t="shared" si="1"/>
        <v/>
      </c>
      <c r="AB152" s="19" t="str">
        <f ca="1">IFERROR(__xludf.DUMMYFUNCTION("IMPORTXML(AI152, ""//li[strong[text()='International Franchised Units:']]"")"),"Loading...")</f>
        <v>Loading...</v>
      </c>
      <c r="AC152" s="24"/>
      <c r="AD152" s="14" t="str">
        <f t="shared" si="2"/>
        <v/>
      </c>
      <c r="AE152" s="25" t="str">
        <f ca="1">IFERROR(__xludf.DUMMYFUNCTION("IMPORTXML(AI152, ""//li[strong[text()='Sales Growth %:']]"")"),"Loading...")</f>
        <v>Loading...</v>
      </c>
      <c r="AF152" s="24"/>
      <c r="AG152" s="25" t="str">
        <f ca="1">IFERROR(__xludf.DUMMYFUNCTION("IMPORTXML(AI152, ""//li[strong[text()='Unit Growth %:']]"")"),"Loading...")</f>
        <v>Loading...</v>
      </c>
      <c r="AH152" s="25"/>
      <c r="AI152" s="48" t="s">
        <v>167</v>
      </c>
      <c r="AJ152" s="27"/>
      <c r="AK152" s="27"/>
      <c r="AL152" s="27"/>
      <c r="AM152" s="27"/>
      <c r="AN152" s="27"/>
      <c r="AO152" s="27"/>
      <c r="AP152" s="27"/>
      <c r="AQ152" s="27"/>
    </row>
    <row r="153" spans="1:43" ht="14.25" customHeight="1">
      <c r="A153" s="42">
        <v>24.152000000000001</v>
      </c>
      <c r="B153" s="14">
        <v>2024</v>
      </c>
      <c r="C153" s="15">
        <v>152</v>
      </c>
      <c r="D153" s="16" t="str">
        <f ca="1">IFERROR(__xludf.DUMMYFUNCTION("IMPORTXML(AI153, ""//h1[@itemprop='headline']/span"")"),"152. Hungry Howie’s Pizza")</f>
        <v>152. Hungry Howie’s Pizza</v>
      </c>
      <c r="E153" s="17" t="str">
        <f ca="1">IFERROR(__xludf.DUMMYFUNCTION("REGEXEXTRACT(D153, ""\.\s*(.+)"")"),"Hungry Howie’s Pizza")</f>
        <v>Hungry Howie’s Pizza</v>
      </c>
      <c r="F153" s="18" t="str">
        <f ca="1">IFERROR(__xludf.DUMMYFUNCTION("IMPORTXML(AI153, ""//li[strong[text()='Investment Range:']]"")"),"Investment Range:")</f>
        <v>Investment Range:</v>
      </c>
      <c r="G153" s="43" t="str">
        <f ca="1">IFERROR(__xludf.DUMMYFUNCTION("""COMPUTED_VALUE""")," $431,873 - $629,908")</f>
        <v xml:space="preserve"> $431,873 - $629,908</v>
      </c>
      <c r="H153" s="18" t="str">
        <f ca="1">IFERROR(__xludf.DUMMYFUNCTION("SUBSTITUTE(REGEXEXTRACT(G153, ""\$(\d{1,3}(?:,\d{3})*)""), "","", ""."")
"),"431.873")</f>
        <v>431.873</v>
      </c>
      <c r="I153" s="19" t="str">
        <f ca="1">IFERROR(__xludf.DUMMYFUNCTION("SUBSTITUTE(REGEXEXTRACT(G153, ""-\s*\$(\d{1,3}(?:,\d{3})*)""), "","", ""."")
"),"629.908")</f>
        <v>629.908</v>
      </c>
      <c r="J153" s="19" t="str">
        <f ca="1">IFERROR(__xludf.DUMMYFUNCTION("IMPORTXML(AI153, ""//li[strong[text()='Initial Investment:']]"")"),"Loading...")</f>
        <v>Loading...</v>
      </c>
      <c r="K153" s="24"/>
      <c r="L153" s="20" t="str">
        <f ca="1">IFERROR(__xludf.DUMMYFUNCTION("IMPORTXML(AI153, ""//li[strong[text()='Category:']]"")"),"Loading...")</f>
        <v>Loading...</v>
      </c>
      <c r="M153" s="24"/>
      <c r="N153" s="19" t="str">
        <f ca="1">IFERROR(__xludf.DUMMYFUNCTION("IMPORTXML(AI153, ""//li[strong[text()='Global Sales:']]"")"),"Loading...")</f>
        <v>Loading...</v>
      </c>
      <c r="O153" s="24"/>
      <c r="P153" s="19" t="str">
        <f t="shared" si="0"/>
        <v/>
      </c>
      <c r="Q153" s="19" t="str">
        <f ca="1">IFERROR(__xludf.DUMMYFUNCTION("IMPORTXML(AI153, ""//li[strong[text()='US Units:']]"")"),"Loading...")</f>
        <v>Loading...</v>
      </c>
      <c r="R153" s="24"/>
      <c r="S153" s="19" t="str">
        <f ca="1">IFERROR(__xludf.DUMMYFUNCTION("IMPORTXML(AI153, ""//li[strong[text()='International Units:']]"")"),"Loading...")</f>
        <v>Loading...</v>
      </c>
      <c r="T153" s="44"/>
      <c r="U153" s="19" t="str">
        <f ca="1">IFERROR(__xludf.DUMMYFUNCTION("IMPORTXML(AI153, ""//li[strong[text()='Percent Franchised:']]"")"),"Loading...")</f>
        <v>Loading...</v>
      </c>
      <c r="V153" s="24"/>
      <c r="W153" s="19" t="str">
        <f ca="1">IFERROR(__xludf.DUMMYFUNCTION("IMPORTXML(AI153, ""//li[strong[text()='% International Units:']]"")"),"Loading...")</f>
        <v>Loading...</v>
      </c>
      <c r="X153" s="24"/>
      <c r="Y153" s="19" t="str">
        <f ca="1">IFERROR(__xludf.DUMMYFUNCTION("IMPORTXML(AI153, ""//li[strong[text()='US Franchised Units:']]"")"),"Loading...")</f>
        <v>Loading...</v>
      </c>
      <c r="Z153" s="24"/>
      <c r="AA153" s="14" t="str">
        <f t="shared" si="1"/>
        <v/>
      </c>
      <c r="AB153" s="19" t="str">
        <f ca="1">IFERROR(__xludf.DUMMYFUNCTION("IMPORTXML(AI153, ""//li[strong[text()='International Franchised Units:']]"")"),"Loading...")</f>
        <v>Loading...</v>
      </c>
      <c r="AC153" s="24"/>
      <c r="AD153" s="14" t="str">
        <f t="shared" si="2"/>
        <v/>
      </c>
      <c r="AE153" s="25" t="str">
        <f ca="1">IFERROR(__xludf.DUMMYFUNCTION("IMPORTXML(AI153, ""//li[strong[text()='Sales Growth %:']]"")"),"Loading...")</f>
        <v>Loading...</v>
      </c>
      <c r="AF153" s="24"/>
      <c r="AG153" s="25" t="str">
        <f ca="1">IFERROR(__xludf.DUMMYFUNCTION("IMPORTXML(AI153, ""//li[strong[text()='Unit Growth %:']]"")"),"Loading...")</f>
        <v>Loading...</v>
      </c>
      <c r="AH153" s="25"/>
      <c r="AI153" s="48" t="s">
        <v>168</v>
      </c>
      <c r="AJ153" s="27"/>
      <c r="AK153" s="27"/>
      <c r="AL153" s="27"/>
      <c r="AM153" s="27"/>
      <c r="AN153" s="27"/>
      <c r="AO153" s="27"/>
      <c r="AP153" s="27"/>
      <c r="AQ153" s="27"/>
    </row>
    <row r="154" spans="1:43" ht="14.25" customHeight="1">
      <c r="A154" s="42">
        <v>24.152999999999999</v>
      </c>
      <c r="B154" s="14">
        <v>2024</v>
      </c>
      <c r="C154" s="32">
        <v>153</v>
      </c>
      <c r="D154" s="16" t="str">
        <f ca="1">IFERROR(__xludf.DUMMYFUNCTION("IMPORTXML(AI154, ""//h1[@itemprop='headline']/span"")"),"41. Home Instead Senior Care")</f>
        <v>41. Home Instead Senior Care</v>
      </c>
      <c r="E154" s="17" t="str">
        <f ca="1">IFERROR(__xludf.DUMMYFUNCTION("REGEXEXTRACT(D154, ""\.\s*(.+)"")"),"Home Instead Senior Care")</f>
        <v>Home Instead Senior Care</v>
      </c>
      <c r="F154" s="18" t="str">
        <f ca="1">IFERROR(__xludf.DUMMYFUNCTION("IMPORTXML(AI154, ""//li[strong[text()='Investment Range:']]"")"),"Investment Range:")</f>
        <v>Investment Range:</v>
      </c>
      <c r="G154" s="43" t="str">
        <f ca="1">IFERROR(__xludf.DUMMYFUNCTION("""COMPUTED_VALUE""")," $112,500 - $156,500")</f>
        <v xml:space="preserve"> $112,500 - $156,500</v>
      </c>
      <c r="H154" s="18" t="str">
        <f ca="1">IFERROR(__xludf.DUMMYFUNCTION("SUBSTITUTE(REGEXEXTRACT(G154, ""\$(\d{1,3}(?:,\d{3})*)""), "","", ""."")
"),"112.500")</f>
        <v>112.500</v>
      </c>
      <c r="I154" s="19" t="str">
        <f ca="1">IFERROR(__xludf.DUMMYFUNCTION("SUBSTITUTE(REGEXEXTRACT(G154, ""-\s*\$(\d{1,3}(?:,\d{3})*)""), "","", ""."")
"),"156.500")</f>
        <v>156.500</v>
      </c>
      <c r="J154" s="19" t="str">
        <f ca="1">IFERROR(__xludf.DUMMYFUNCTION("IMPORTXML(AI154, ""//li[strong[text()='Initial Investment:']]"")"),"Loading...")</f>
        <v>Loading...</v>
      </c>
      <c r="K154" s="24"/>
      <c r="L154" s="20" t="str">
        <f ca="1">IFERROR(__xludf.DUMMYFUNCTION("IMPORTXML(AI154, ""//li[strong[text()='Category:']]"")"),"Loading...")</f>
        <v>Loading...</v>
      </c>
      <c r="M154" s="24"/>
      <c r="N154" s="19" t="str">
        <f ca="1">IFERROR(__xludf.DUMMYFUNCTION("IMPORTXML(AI154, ""//li[strong[text()='Global Sales:']]"")"),"Loading...")</f>
        <v>Loading...</v>
      </c>
      <c r="O154" s="24"/>
      <c r="P154" s="19" t="str">
        <f t="shared" si="0"/>
        <v/>
      </c>
      <c r="Q154" s="19" t="str">
        <f ca="1">IFERROR(__xludf.DUMMYFUNCTION("IMPORTXML(AI154, ""//li[strong[text()='US Units:']]"")"),"Loading...")</f>
        <v>Loading...</v>
      </c>
      <c r="R154" s="24"/>
      <c r="S154" s="19" t="str">
        <f ca="1">IFERROR(__xludf.DUMMYFUNCTION("IMPORTXML(AI154, ""//li[strong[text()='International Units:']]"")"),"Loading...")</f>
        <v>Loading...</v>
      </c>
      <c r="T154" s="44"/>
      <c r="U154" s="19" t="str">
        <f ca="1">IFERROR(__xludf.DUMMYFUNCTION("IMPORTXML(AI154, ""//li[strong[text()='Percent Franchised:']]"")"),"Loading...")</f>
        <v>Loading...</v>
      </c>
      <c r="V154" s="24"/>
      <c r="W154" s="19" t="str">
        <f ca="1">IFERROR(__xludf.DUMMYFUNCTION("IMPORTXML(AI154, ""//li[strong[text()='% International Units:']]"")"),"Loading...")</f>
        <v>Loading...</v>
      </c>
      <c r="X154" s="24"/>
      <c r="Y154" s="19" t="str">
        <f ca="1">IFERROR(__xludf.DUMMYFUNCTION("IMPORTXML(AI154, ""//li[strong[text()='US Franchised Units:']]"")"),"Loading...")</f>
        <v>Loading...</v>
      </c>
      <c r="Z154" s="24"/>
      <c r="AA154" s="14" t="str">
        <f t="shared" si="1"/>
        <v/>
      </c>
      <c r="AB154" s="19" t="str">
        <f ca="1">IFERROR(__xludf.DUMMYFUNCTION("IMPORTXML(AI154, ""//li[strong[text()='International Franchised Units:']]"")"),"Loading...")</f>
        <v>Loading...</v>
      </c>
      <c r="AC154" s="24"/>
      <c r="AD154" s="14" t="str">
        <f t="shared" si="2"/>
        <v/>
      </c>
      <c r="AE154" s="25" t="str">
        <f ca="1">IFERROR(__xludf.DUMMYFUNCTION("IMPORTXML(AI154, ""//li[strong[text()='Sales Growth %:']]"")"),"Loading...")</f>
        <v>Loading...</v>
      </c>
      <c r="AF154" s="24"/>
      <c r="AG154" s="25" t="str">
        <f ca="1">IFERROR(__xludf.DUMMYFUNCTION("IMPORTXML(AI154, ""//li[strong[text()='Unit Growth %:']]"")"),"#N/A")</f>
        <v>#N/A</v>
      </c>
      <c r="AH154" s="25"/>
      <c r="AI154" s="48" t="s">
        <v>58</v>
      </c>
      <c r="AJ154" s="27"/>
      <c r="AK154" s="27"/>
      <c r="AL154" s="27"/>
      <c r="AM154" s="27"/>
      <c r="AN154" s="27"/>
      <c r="AO154" s="27"/>
      <c r="AP154" s="27"/>
      <c r="AQ154" s="27"/>
    </row>
    <row r="155" spans="1:43" ht="14.25" customHeight="1">
      <c r="A155" s="42">
        <v>24.154</v>
      </c>
      <c r="B155" s="14">
        <v>2024</v>
      </c>
      <c r="C155" s="36">
        <v>154</v>
      </c>
      <c r="D155" s="16" t="str">
        <f ca="1">IFERROR(__xludf.DUMMYFUNCTION("IMPORTXML(AI155, ""//h1[@itemprop='headline']/span"")"),"154. PuroClean")</f>
        <v>154. PuroClean</v>
      </c>
      <c r="E155" s="17" t="str">
        <f ca="1">IFERROR(__xludf.DUMMYFUNCTION("REGEXEXTRACT(D155, ""\.\s*(.+)"")"),"PuroClean")</f>
        <v>PuroClean</v>
      </c>
      <c r="F155" s="18" t="str">
        <f ca="1">IFERROR(__xludf.DUMMYFUNCTION("IMPORTXML(AI155, ""//li[strong[text()='Investment Range:']]"")"),"Investment Range:")</f>
        <v>Investment Range:</v>
      </c>
      <c r="G155" s="43" t="str">
        <f ca="1">IFERROR(__xludf.DUMMYFUNCTION("""COMPUTED_VALUE""")," $219,030 to $245,920")</f>
        <v xml:space="preserve"> $219,030 to $245,920</v>
      </c>
      <c r="H155" s="18" t="str">
        <f ca="1">IFERROR(__xludf.DUMMYFUNCTION("SUBSTITUTE(REGEXEXTRACT(G155, ""\$(\d{1,3}(?:,\d{3})*)""), "","", ""."")
"),"219.030")</f>
        <v>219.030</v>
      </c>
      <c r="I155" s="19" t="str">
        <f ca="1">IFERROR(__xludf.DUMMYFUNCTION("SUBSTITUTE(REGEXEXTRACT(G155, ""-\s*\$(\d{1,3}(?:,\d{3})*)""), "","", ""."")
"),"#N/A")</f>
        <v>#N/A</v>
      </c>
      <c r="J155" s="19" t="str">
        <f ca="1">IFERROR(__xludf.DUMMYFUNCTION("IMPORTXML(AI155, ""//li[strong[text()='Initial Investment:']]"")"),"#N/A")</f>
        <v>#N/A</v>
      </c>
      <c r="K155" s="24"/>
      <c r="L155" s="20" t="str">
        <f ca="1">IFERROR(__xludf.DUMMYFUNCTION("IMPORTXML(AI155, ""//li[strong[text()='Category:']]"")"),"Loading...")</f>
        <v>Loading...</v>
      </c>
      <c r="M155" s="24"/>
      <c r="N155" s="19" t="str">
        <f ca="1">IFERROR(__xludf.DUMMYFUNCTION("IMPORTXML(AI155, ""//li[strong[text()='Global Sales:']]"")"),"Loading...")</f>
        <v>Loading...</v>
      </c>
      <c r="O155" s="24"/>
      <c r="P155" s="19" t="str">
        <f t="shared" si="0"/>
        <v/>
      </c>
      <c r="Q155" s="19" t="str">
        <f ca="1">IFERROR(__xludf.DUMMYFUNCTION("IMPORTXML(AI155, ""//li[strong[text()='US Units:']]"")"),"Loading...")</f>
        <v>Loading...</v>
      </c>
      <c r="R155" s="24"/>
      <c r="S155" s="19" t="str">
        <f ca="1">IFERROR(__xludf.DUMMYFUNCTION("IMPORTXML(AI155, ""//li[strong[text()='International Units:']]"")"),"Loading...")</f>
        <v>Loading...</v>
      </c>
      <c r="T155" s="44"/>
      <c r="U155" s="19" t="str">
        <f ca="1">IFERROR(__xludf.DUMMYFUNCTION("IMPORTXML(AI155, ""//li[strong[text()='Percent Franchised:']]"")"),"Loading...")</f>
        <v>Loading...</v>
      </c>
      <c r="V155" s="24"/>
      <c r="W155" s="19" t="str">
        <f ca="1">IFERROR(__xludf.DUMMYFUNCTION("IMPORTXML(AI155, ""//li[strong[text()='% International Units:']]"")"),"Loading...")</f>
        <v>Loading...</v>
      </c>
      <c r="X155" s="24"/>
      <c r="Y155" s="19" t="str">
        <f ca="1">IFERROR(__xludf.DUMMYFUNCTION("IMPORTXML(AI155, ""//li[strong[text()='US Franchised Units:']]"")"),"Loading...")</f>
        <v>Loading...</v>
      </c>
      <c r="Z155" s="24"/>
      <c r="AA155" s="14" t="str">
        <f t="shared" si="1"/>
        <v/>
      </c>
      <c r="AB155" s="19" t="str">
        <f ca="1">IFERROR(__xludf.DUMMYFUNCTION("IMPORTXML(AI155, ""//li[strong[text()='International Franchised Units:']]"")"),"Loading...")</f>
        <v>Loading...</v>
      </c>
      <c r="AC155" s="24"/>
      <c r="AD155" s="14" t="str">
        <f t="shared" si="2"/>
        <v/>
      </c>
      <c r="AE155" s="25" t="str">
        <f ca="1">IFERROR(__xludf.DUMMYFUNCTION("IMPORTXML(AI155, ""//li[strong[text()='Sales Growth %:']]"")"),"Loading...")</f>
        <v>Loading...</v>
      </c>
      <c r="AF155" s="24"/>
      <c r="AG155" s="25" t="str">
        <f ca="1">IFERROR(__xludf.DUMMYFUNCTION("IMPORTXML(AI155, ""//li[strong[text()='Unit Growth %:']]"")"),"Loading...")</f>
        <v>Loading...</v>
      </c>
      <c r="AH155" s="25"/>
      <c r="AI155" s="48" t="s">
        <v>169</v>
      </c>
      <c r="AJ155" s="27"/>
      <c r="AK155" s="27"/>
      <c r="AL155" s="27"/>
      <c r="AM155" s="27"/>
      <c r="AN155" s="27"/>
      <c r="AO155" s="27"/>
      <c r="AP155" s="27"/>
      <c r="AQ155" s="27"/>
    </row>
    <row r="156" spans="1:43" ht="14.25" customHeight="1">
      <c r="A156" s="42">
        <v>24.155000000000001</v>
      </c>
      <c r="B156" s="14">
        <v>2024</v>
      </c>
      <c r="C156" s="36">
        <v>155</v>
      </c>
      <c r="D156" s="16" t="str">
        <f ca="1">IFERROR(__xludf.DUMMYFUNCTION("IMPORTXML(AI156, ""//h1[@itemprop='headline']/span"")"),"155. Mr. Rooter")</f>
        <v>155. Mr. Rooter</v>
      </c>
      <c r="E156" s="17" t="str">
        <f ca="1">IFERROR(__xludf.DUMMYFUNCTION("REGEXEXTRACT(D156, ""\.\s*(.+)"")"),"Mr. Rooter")</f>
        <v>Mr. Rooter</v>
      </c>
      <c r="F156" s="18" t="str">
        <f ca="1">IFERROR(__xludf.DUMMYFUNCTION("IMPORTXML(AI156, ""//li[strong[text()='Investment Range:']]"")"),"Investment Range:")</f>
        <v>Investment Range:</v>
      </c>
      <c r="G156" s="43" t="str">
        <f ca="1">IFERROR(__xludf.DUMMYFUNCTION("""COMPUTED_VALUE""")," $122,303 - $263,800")</f>
        <v xml:space="preserve"> $122,303 - $263,800</v>
      </c>
      <c r="H156" s="18" t="str">
        <f ca="1">IFERROR(__xludf.DUMMYFUNCTION("SUBSTITUTE(REGEXEXTRACT(G156, ""\$(\d{1,3}(?:,\d{3})*)""), "","", ""."")
"),"122.303")</f>
        <v>122.303</v>
      </c>
      <c r="I156" s="19" t="str">
        <f ca="1">IFERROR(__xludf.DUMMYFUNCTION("SUBSTITUTE(REGEXEXTRACT(G156, ""-\s*\$(\d{1,3}(?:,\d{3})*)""), "","", ""."")
"),"263.800")</f>
        <v>263.800</v>
      </c>
      <c r="J156" s="19" t="str">
        <f ca="1">IFERROR(__xludf.DUMMYFUNCTION("IMPORTXML(AI156, ""//li[strong[text()='Initial Investment:']]"")"),"Loading...")</f>
        <v>Loading...</v>
      </c>
      <c r="K156" s="24"/>
      <c r="L156" s="20" t="str">
        <f ca="1">IFERROR(__xludf.DUMMYFUNCTION("IMPORTXML(AI156, ""//li[strong[text()='Category:']]"")"),"Loading...")</f>
        <v>Loading...</v>
      </c>
      <c r="M156" s="24"/>
      <c r="N156" s="19" t="str">
        <f ca="1">IFERROR(__xludf.DUMMYFUNCTION("IMPORTXML(AI156, ""//li[strong[text()='Global Sales:']]"")"),"Loading...")</f>
        <v>Loading...</v>
      </c>
      <c r="O156" s="24"/>
      <c r="P156" s="19" t="str">
        <f t="shared" si="0"/>
        <v/>
      </c>
      <c r="Q156" s="19" t="str">
        <f ca="1">IFERROR(__xludf.DUMMYFUNCTION("IMPORTXML(AI156, ""//li[strong[text()='US Units:']]"")"),"Loading...")</f>
        <v>Loading...</v>
      </c>
      <c r="R156" s="24"/>
      <c r="S156" s="19" t="str">
        <f ca="1">IFERROR(__xludf.DUMMYFUNCTION("IMPORTXML(AI156, ""//li[strong[text()='International Units:']]"")"),"Loading...")</f>
        <v>Loading...</v>
      </c>
      <c r="T156" s="44"/>
      <c r="U156" s="19" t="str">
        <f ca="1">IFERROR(__xludf.DUMMYFUNCTION("IMPORTXML(AI156, ""//li[strong[text()='Percent Franchised:']]"")"),"Loading...")</f>
        <v>Loading...</v>
      </c>
      <c r="V156" s="24"/>
      <c r="W156" s="19" t="str">
        <f ca="1">IFERROR(__xludf.DUMMYFUNCTION("IMPORTXML(AI156, ""//li[strong[text()='% International Units:']]"")"),"Loading...")</f>
        <v>Loading...</v>
      </c>
      <c r="X156" s="24"/>
      <c r="Y156" s="19" t="str">
        <f ca="1">IFERROR(__xludf.DUMMYFUNCTION("IMPORTXML(AI156, ""//li[strong[text()='US Franchised Units:']]"")"),"Loading...")</f>
        <v>Loading...</v>
      </c>
      <c r="Z156" s="24"/>
      <c r="AA156" s="14" t="str">
        <f t="shared" si="1"/>
        <v/>
      </c>
      <c r="AB156" s="19" t="str">
        <f ca="1">IFERROR(__xludf.DUMMYFUNCTION("IMPORTXML(AI156, ""//li[strong[text()='International Franchised Units:']]"")"),"Loading...")</f>
        <v>Loading...</v>
      </c>
      <c r="AC156" s="24"/>
      <c r="AD156" s="14" t="str">
        <f t="shared" si="2"/>
        <v/>
      </c>
      <c r="AE156" s="25" t="str">
        <f ca="1">IFERROR(__xludf.DUMMYFUNCTION("IMPORTXML(AI156, ""//li[strong[text()='Sales Growth %:']]"")"),"Loading...")</f>
        <v>Loading...</v>
      </c>
      <c r="AF156" s="24"/>
      <c r="AG156" s="25" t="str">
        <f ca="1">IFERROR(__xludf.DUMMYFUNCTION("IMPORTXML(AI156, ""//li[strong[text()='Unit Growth %:']]"")"),"Loading...")</f>
        <v>Loading...</v>
      </c>
      <c r="AH156" s="25"/>
      <c r="AI156" s="48" t="s">
        <v>170</v>
      </c>
      <c r="AJ156" s="27"/>
      <c r="AK156" s="27"/>
      <c r="AL156" s="27"/>
      <c r="AM156" s="27"/>
      <c r="AN156" s="27"/>
      <c r="AO156" s="27"/>
      <c r="AP156" s="27"/>
      <c r="AQ156" s="27"/>
    </row>
    <row r="157" spans="1:43" ht="14.25" customHeight="1">
      <c r="A157" s="42">
        <v>24.155999999999999</v>
      </c>
      <c r="B157" s="14">
        <v>2024</v>
      </c>
      <c r="C157" s="15">
        <v>156</v>
      </c>
      <c r="D157" s="16" t="str">
        <f ca="1">IFERROR(__xludf.DUMMYFUNCTION("IMPORTXML(AI157, ""//h1[@itemprop='headline']/span"")"),"97. Papa Murphy's")</f>
        <v>97. Papa Murphy's</v>
      </c>
      <c r="E157" s="17" t="str">
        <f ca="1">IFERROR(__xludf.DUMMYFUNCTION("REGEXEXTRACT(D157, ""\.\s*(.+)"")"),"Papa Murphy's")</f>
        <v>Papa Murphy's</v>
      </c>
      <c r="F157" s="18" t="str">
        <f ca="1">IFERROR(__xludf.DUMMYFUNCTION("IMPORTXML(AI157, ""//li[strong[text()='Investment Range:']]"")"),"Investment Range:")</f>
        <v>Investment Range:</v>
      </c>
      <c r="G157" s="43" t="str">
        <f ca="1">IFERROR(__xludf.DUMMYFUNCTION("""COMPUTED_VALUE""")," $367,244 - $670,498")</f>
        <v xml:space="preserve"> $367,244 - $670,498</v>
      </c>
      <c r="H157" s="18" t="str">
        <f ca="1">IFERROR(__xludf.DUMMYFUNCTION("SUBSTITUTE(REGEXEXTRACT(G157, ""\$(\d{1,3}(?:,\d{3})*)""), "","", ""."")
"),"367.244")</f>
        <v>367.244</v>
      </c>
      <c r="I157" s="19" t="str">
        <f ca="1">IFERROR(__xludf.DUMMYFUNCTION("SUBSTITUTE(REGEXEXTRACT(G157, ""-\s*\$(\d{1,3}(?:,\d{3})*)""), "","", ""."")
"),"670.498")</f>
        <v>670.498</v>
      </c>
      <c r="J157" s="19" t="str">
        <f ca="1">IFERROR(__xludf.DUMMYFUNCTION("IMPORTXML(AI157, ""//li[strong[text()='Initial Investment:']]"")"),"Loading...")</f>
        <v>Loading...</v>
      </c>
      <c r="K157" s="24"/>
      <c r="L157" s="20" t="str">
        <f ca="1">IFERROR(__xludf.DUMMYFUNCTION("IMPORTXML(AI157, ""//li[strong[text()='Category:']]"")"),"Loading...")</f>
        <v>Loading...</v>
      </c>
      <c r="M157" s="24"/>
      <c r="N157" s="19" t="str">
        <f ca="1">IFERROR(__xludf.DUMMYFUNCTION("IMPORTXML(AI157, ""//li[strong[text()='Global Sales:']]"")"),"Loading...")</f>
        <v>Loading...</v>
      </c>
      <c r="O157" s="24"/>
      <c r="P157" s="19" t="str">
        <f t="shared" si="0"/>
        <v/>
      </c>
      <c r="Q157" s="19" t="str">
        <f ca="1">IFERROR(__xludf.DUMMYFUNCTION("IMPORTXML(AI157, ""//li[strong[text()='US Units:']]"")"),"Loading...")</f>
        <v>Loading...</v>
      </c>
      <c r="R157" s="24"/>
      <c r="S157" s="19" t="str">
        <f ca="1">IFERROR(__xludf.DUMMYFUNCTION("IMPORTXML(AI157, ""//li[strong[text()='International Units:']]"")"),"Loading...")</f>
        <v>Loading...</v>
      </c>
      <c r="T157" s="44"/>
      <c r="U157" s="19" t="str">
        <f ca="1">IFERROR(__xludf.DUMMYFUNCTION("IMPORTXML(AI157, ""//li[strong[text()='Percent Franchised:']]"")"),"Loading...")</f>
        <v>Loading...</v>
      </c>
      <c r="V157" s="24"/>
      <c r="W157" s="19" t="str">
        <f ca="1">IFERROR(__xludf.DUMMYFUNCTION("IMPORTXML(AI157, ""//li[strong[text()='% International Units:']]"")"),"Loading...")</f>
        <v>Loading...</v>
      </c>
      <c r="X157" s="24"/>
      <c r="Y157" s="19" t="str">
        <f ca="1">IFERROR(__xludf.DUMMYFUNCTION("IMPORTXML(AI157, ""//li[strong[text()='US Franchised Units:']]"")"),"Loading...")</f>
        <v>Loading...</v>
      </c>
      <c r="Z157" s="24"/>
      <c r="AA157" s="14" t="str">
        <f t="shared" si="1"/>
        <v/>
      </c>
      <c r="AB157" s="19" t="str">
        <f ca="1">IFERROR(__xludf.DUMMYFUNCTION("IMPORTXML(AI157, ""//li[strong[text()='International Franchised Units:']]"")"),"Loading...")</f>
        <v>Loading...</v>
      </c>
      <c r="AC157" s="24"/>
      <c r="AD157" s="14" t="str">
        <f t="shared" si="2"/>
        <v/>
      </c>
      <c r="AE157" s="25" t="str">
        <f ca="1">IFERROR(__xludf.DUMMYFUNCTION("IMPORTXML(AI157, ""//li[strong[text()='Sales Growth %:']]"")"),"Loading...")</f>
        <v>Loading...</v>
      </c>
      <c r="AF157" s="24"/>
      <c r="AG157" s="25" t="str">
        <f ca="1">IFERROR(__xludf.DUMMYFUNCTION("IMPORTXML(AI157, ""//li[strong[text()='Unit Growth %:']]"")"),"Loading...")</f>
        <v>Loading...</v>
      </c>
      <c r="AH157" s="25"/>
      <c r="AI157" s="48" t="s">
        <v>113</v>
      </c>
      <c r="AJ157" s="27"/>
      <c r="AK157" s="27"/>
      <c r="AL157" s="27"/>
      <c r="AM157" s="27"/>
      <c r="AN157" s="27"/>
      <c r="AO157" s="27"/>
      <c r="AP157" s="27"/>
      <c r="AQ157" s="27"/>
    </row>
    <row r="158" spans="1:43" ht="14.25" customHeight="1">
      <c r="A158" s="42">
        <v>24.157</v>
      </c>
      <c r="B158" s="14">
        <v>2024</v>
      </c>
      <c r="C158" s="32">
        <v>157</v>
      </c>
      <c r="D158" s="16" t="str">
        <f ca="1">IFERROR(__xludf.DUMMYFUNCTION("IMPORTXML(AI158, ""//h1[@itemprop='headline']/span"")"),"157. Black Bear Diner")</f>
        <v>157. Black Bear Diner</v>
      </c>
      <c r="E158" s="17" t="str">
        <f ca="1">IFERROR(__xludf.DUMMYFUNCTION("REGEXEXTRACT(D158, ""\.\s*(.+)"")"),"Black Bear Diner")</f>
        <v>Black Bear Diner</v>
      </c>
      <c r="F158" s="18" t="str">
        <f ca="1">IFERROR(__xludf.DUMMYFUNCTION("IMPORTXML(AI158, ""//li[strong[text()='Investment Range:']]"")"),"#N/A")</f>
        <v>#N/A</v>
      </c>
      <c r="G158" s="43"/>
      <c r="H158" s="18" t="str">
        <f ca="1">IFERROR(__xludf.DUMMYFUNCTION("SUBSTITUTE(REGEXEXTRACT(G158, ""\$(\d{1,3}(?:,\d{3})*)""), "","", ""."")
"),"#N/A")</f>
        <v>#N/A</v>
      </c>
      <c r="I158" s="19" t="str">
        <f ca="1">IFERROR(__xludf.DUMMYFUNCTION("SUBSTITUTE(REGEXEXTRACT(G158, ""-\s*\$(\d{1,3}(?:,\d{3})*)""), "","", ""."")
"),"#N/A")</f>
        <v>#N/A</v>
      </c>
      <c r="J158" s="19" t="str">
        <f ca="1">IFERROR(__xludf.DUMMYFUNCTION("IMPORTXML(AI158, ""//li[strong[text()='Initial Investment:']]"")"),"Loading...")</f>
        <v>Loading...</v>
      </c>
      <c r="K158" s="24"/>
      <c r="L158" s="20" t="str">
        <f ca="1">IFERROR(__xludf.DUMMYFUNCTION("IMPORTXML(AI158, ""//li[strong[text()='Category:']]"")"),"Loading...")</f>
        <v>Loading...</v>
      </c>
      <c r="M158" s="24"/>
      <c r="N158" s="19" t="str">
        <f ca="1">IFERROR(__xludf.DUMMYFUNCTION("IMPORTXML(AI158, ""//li[strong[text()='Global Sales:']]"")"),"Loading...")</f>
        <v>Loading...</v>
      </c>
      <c r="O158" s="24"/>
      <c r="P158" s="19" t="str">
        <f t="shared" si="0"/>
        <v/>
      </c>
      <c r="Q158" s="19" t="str">
        <f ca="1">IFERROR(__xludf.DUMMYFUNCTION("IMPORTXML(AI158, ""//li[strong[text()='US Units:']]"")"),"Loading...")</f>
        <v>Loading...</v>
      </c>
      <c r="R158" s="24"/>
      <c r="S158" s="19" t="str">
        <f ca="1">IFERROR(__xludf.DUMMYFUNCTION("IMPORTXML(AI158, ""//li[strong[text()='International Units:']]"")"),"Loading...")</f>
        <v>Loading...</v>
      </c>
      <c r="T158" s="44"/>
      <c r="U158" s="19" t="str">
        <f ca="1">IFERROR(__xludf.DUMMYFUNCTION("IMPORTXML(AI158, ""//li[strong[text()='Percent Franchised:']]"")"),"Loading...")</f>
        <v>Loading...</v>
      </c>
      <c r="V158" s="24"/>
      <c r="W158" s="19" t="str">
        <f ca="1">IFERROR(__xludf.DUMMYFUNCTION("IMPORTXML(AI158, ""//li[strong[text()='% International Units:']]"")"),"Loading...")</f>
        <v>Loading...</v>
      </c>
      <c r="X158" s="24"/>
      <c r="Y158" s="19" t="str">
        <f ca="1">IFERROR(__xludf.DUMMYFUNCTION("IMPORTXML(AI158, ""//li[strong[text()='US Franchised Units:']]"")"),"Loading...")</f>
        <v>Loading...</v>
      </c>
      <c r="Z158" s="24"/>
      <c r="AA158" s="14" t="str">
        <f t="shared" si="1"/>
        <v/>
      </c>
      <c r="AB158" s="19" t="str">
        <f ca="1">IFERROR(__xludf.DUMMYFUNCTION("IMPORTXML(AI158, ""//li[strong[text()='International Franchised Units:']]"")"),"Loading...")</f>
        <v>Loading...</v>
      </c>
      <c r="AC158" s="24"/>
      <c r="AD158" s="14" t="str">
        <f t="shared" si="2"/>
        <v/>
      </c>
      <c r="AE158" s="25" t="str">
        <f ca="1">IFERROR(__xludf.DUMMYFUNCTION("IMPORTXML(AI158, ""//li[strong[text()='Sales Growth %:']]"")"),"Loading...")</f>
        <v>Loading...</v>
      </c>
      <c r="AF158" s="24"/>
      <c r="AG158" s="25" t="str">
        <f ca="1">IFERROR(__xludf.DUMMYFUNCTION("IMPORTXML(AI158, ""//li[strong[text()='Unit Growth %:']]"")"),"Loading...")</f>
        <v>Loading...</v>
      </c>
      <c r="AH158" s="25"/>
      <c r="AI158" s="48" t="s">
        <v>171</v>
      </c>
      <c r="AJ158" s="27"/>
      <c r="AK158" s="27"/>
      <c r="AL158" s="27"/>
      <c r="AM158" s="27"/>
      <c r="AN158" s="27"/>
      <c r="AO158" s="27"/>
      <c r="AP158" s="27"/>
      <c r="AQ158" s="27"/>
    </row>
    <row r="159" spans="1:43" ht="14.25" customHeight="1">
      <c r="A159" s="42">
        <v>24.158000000000001</v>
      </c>
      <c r="B159" s="14">
        <v>2024</v>
      </c>
      <c r="C159" s="36">
        <v>158</v>
      </c>
      <c r="D159" s="16" t="str">
        <f ca="1">IFERROR(__xludf.DUMMYFUNCTION("IMPORTXML(AI159, ""//h1[@itemprop='headline']/span"")"),"158. Taco John’s")</f>
        <v>158. Taco John’s</v>
      </c>
      <c r="E159" s="17" t="str">
        <f ca="1">IFERROR(__xludf.DUMMYFUNCTION("REGEXEXTRACT(D159, ""\.\s*(.+)"")"),"Taco John’s")</f>
        <v>Taco John’s</v>
      </c>
      <c r="F159" s="18" t="str">
        <f ca="1">IFERROR(__xludf.DUMMYFUNCTION("IMPORTXML(AI159, ""//li[strong[text()='Investment Range:']]"")"),"Investment Range:")</f>
        <v>Investment Range:</v>
      </c>
      <c r="G159" s="43" t="str">
        <f ca="1">IFERROR(__xludf.DUMMYFUNCTION("""COMPUTED_VALUE""")," $1,330,000 - $2,079,000")</f>
        <v xml:space="preserve"> $1,330,000 - $2,079,000</v>
      </c>
      <c r="H159" s="18" t="str">
        <f ca="1">IFERROR(__xludf.DUMMYFUNCTION("SUBSTITUTE(REGEXEXTRACT(G159, ""\$(\d{1,3}(?:,\d{3})*)""), "","", ""."")
"),"1.330.000")</f>
        <v>1.330.000</v>
      </c>
      <c r="I159" s="19" t="str">
        <f ca="1">IFERROR(__xludf.DUMMYFUNCTION("SUBSTITUTE(REGEXEXTRACT(G159, ""-\s*\$(\d{1,3}(?:,\d{3})*)""), "","", ""."")
"),"2.079.000")</f>
        <v>2.079.000</v>
      </c>
      <c r="J159" s="19" t="str">
        <f ca="1">IFERROR(__xludf.DUMMYFUNCTION("IMPORTXML(AI159, ""//li[strong[text()='Initial Investment:']]"")"),"Loading...")</f>
        <v>Loading...</v>
      </c>
      <c r="K159" s="24"/>
      <c r="L159" s="20" t="str">
        <f ca="1">IFERROR(__xludf.DUMMYFUNCTION("IMPORTXML(AI159, ""//li[strong[text()='Category:']]"")"),"Loading...")</f>
        <v>Loading...</v>
      </c>
      <c r="M159" s="24"/>
      <c r="N159" s="19" t="str">
        <f ca="1">IFERROR(__xludf.DUMMYFUNCTION("IMPORTXML(AI159, ""//li[strong[text()='Global Sales:']]"")"),"Loading...")</f>
        <v>Loading...</v>
      </c>
      <c r="O159" s="24"/>
      <c r="P159" s="19" t="str">
        <f t="shared" si="0"/>
        <v/>
      </c>
      <c r="Q159" s="19" t="str">
        <f ca="1">IFERROR(__xludf.DUMMYFUNCTION("IMPORTXML(AI159, ""//li[strong[text()='US Units:']]"")"),"Loading...")</f>
        <v>Loading...</v>
      </c>
      <c r="R159" s="24"/>
      <c r="S159" s="19" t="str">
        <f ca="1">IFERROR(__xludf.DUMMYFUNCTION("IMPORTXML(AI159, ""//li[strong[text()='International Units:']]"")"),"Loading...")</f>
        <v>Loading...</v>
      </c>
      <c r="T159" s="44"/>
      <c r="U159" s="19" t="str">
        <f ca="1">IFERROR(__xludf.DUMMYFUNCTION("IMPORTXML(AI159, ""//li[strong[text()='Percent Franchised:']]"")"),"Loading...")</f>
        <v>Loading...</v>
      </c>
      <c r="V159" s="24"/>
      <c r="W159" s="19" t="str">
        <f ca="1">IFERROR(__xludf.DUMMYFUNCTION("IMPORTXML(AI159, ""//li[strong[text()='% International Units:']]"")"),"Loading...")</f>
        <v>Loading...</v>
      </c>
      <c r="X159" s="24"/>
      <c r="Y159" s="19" t="str">
        <f ca="1">IFERROR(__xludf.DUMMYFUNCTION("IMPORTXML(AI159, ""//li[strong[text()='US Franchised Units:']]"")"),"Loading...")</f>
        <v>Loading...</v>
      </c>
      <c r="Z159" s="24"/>
      <c r="AA159" s="14" t="str">
        <f t="shared" si="1"/>
        <v/>
      </c>
      <c r="AB159" s="19" t="str">
        <f ca="1">IFERROR(__xludf.DUMMYFUNCTION("IMPORTXML(AI159, ""//li[strong[text()='International Franchised Units:']]"")"),"Loading...")</f>
        <v>Loading...</v>
      </c>
      <c r="AC159" s="24"/>
      <c r="AD159" s="14" t="str">
        <f t="shared" si="2"/>
        <v/>
      </c>
      <c r="AE159" s="25" t="str">
        <f ca="1">IFERROR(__xludf.DUMMYFUNCTION("IMPORTXML(AI159, ""//li[strong[text()='Sales Growth %:']]"")"),"Loading...")</f>
        <v>Loading...</v>
      </c>
      <c r="AF159" s="24"/>
      <c r="AG159" s="25" t="str">
        <f ca="1">IFERROR(__xludf.DUMMYFUNCTION("IMPORTXML(AI159, ""//li[strong[text()='Unit Growth %:']]"")"),"Loading...")</f>
        <v>Loading...</v>
      </c>
      <c r="AH159" s="25"/>
      <c r="AI159" s="48" t="s">
        <v>172</v>
      </c>
      <c r="AJ159" s="27"/>
      <c r="AK159" s="27"/>
      <c r="AL159" s="27"/>
      <c r="AM159" s="27"/>
      <c r="AN159" s="27"/>
      <c r="AO159" s="27"/>
      <c r="AP159" s="27"/>
      <c r="AQ159" s="27"/>
    </row>
    <row r="160" spans="1:43" ht="14.25" customHeight="1">
      <c r="A160" s="42">
        <v>24.158999999999999</v>
      </c>
      <c r="B160" s="14">
        <v>2024</v>
      </c>
      <c r="C160" s="36">
        <v>159</v>
      </c>
      <c r="D160" s="16" t="str">
        <f ca="1">IFERROR(__xludf.DUMMYFUNCTION("IMPORTXML(AI160, ""//h1[@itemprop='headline']/span"")"),"159. Spherion Staffing")</f>
        <v>159. Spherion Staffing</v>
      </c>
      <c r="E160" s="17" t="str">
        <f ca="1">IFERROR(__xludf.DUMMYFUNCTION("REGEXEXTRACT(D160, ""\.\s*(.+)"")"),"Spherion Staffing")</f>
        <v>Spherion Staffing</v>
      </c>
      <c r="F160" s="18" t="str">
        <f ca="1">IFERROR(__xludf.DUMMYFUNCTION("IMPORTXML(AI160, ""//li[strong[text()='Investment Range:']]"")"),"Investment Range:")</f>
        <v>Investment Range:</v>
      </c>
      <c r="G160" s="43" t="str">
        <f ca="1">IFERROR(__xludf.DUMMYFUNCTION("""COMPUTED_VALUE""")," $214,325 - $342,575")</f>
        <v xml:space="preserve"> $214,325 - $342,575</v>
      </c>
      <c r="H160" s="18" t="str">
        <f ca="1">IFERROR(__xludf.DUMMYFUNCTION("SUBSTITUTE(REGEXEXTRACT(G160, ""\$(\d{1,3}(?:,\d{3})*)""), "","", ""."")
"),"214.325")</f>
        <v>214.325</v>
      </c>
      <c r="I160" s="19" t="str">
        <f ca="1">IFERROR(__xludf.DUMMYFUNCTION("SUBSTITUTE(REGEXEXTRACT(G160, ""-\s*\$(\d{1,3}(?:,\d{3})*)""), "","", ""."")
"),"342.575")</f>
        <v>342.575</v>
      </c>
      <c r="J160" s="19" t="str">
        <f ca="1">IFERROR(__xludf.DUMMYFUNCTION("IMPORTXML(AI160, ""//li[strong[text()='Initial Investment:']]"")"),"Loading...")</f>
        <v>Loading...</v>
      </c>
      <c r="K160" s="24"/>
      <c r="L160" s="20" t="str">
        <f ca="1">IFERROR(__xludf.DUMMYFUNCTION("IMPORTXML(AI160, ""//li[strong[text()='Category:']]"")"),"Loading...")</f>
        <v>Loading...</v>
      </c>
      <c r="M160" s="24"/>
      <c r="N160" s="19" t="str">
        <f ca="1">IFERROR(__xludf.DUMMYFUNCTION("IMPORTXML(AI160, ""//li[strong[text()='Global Sales:']]"")"),"Loading...")</f>
        <v>Loading...</v>
      </c>
      <c r="O160" s="24"/>
      <c r="P160" s="19" t="str">
        <f t="shared" si="0"/>
        <v/>
      </c>
      <c r="Q160" s="19" t="str">
        <f ca="1">IFERROR(__xludf.DUMMYFUNCTION("IMPORTXML(AI160, ""//li[strong[text()='US Units:']]"")"),"Loading...")</f>
        <v>Loading...</v>
      </c>
      <c r="R160" s="24"/>
      <c r="S160" s="19" t="str">
        <f ca="1">IFERROR(__xludf.DUMMYFUNCTION("IMPORTXML(AI160, ""//li[strong[text()='International Units:']]"")"),"Loading...")</f>
        <v>Loading...</v>
      </c>
      <c r="T160" s="44"/>
      <c r="U160" s="19" t="str">
        <f ca="1">IFERROR(__xludf.DUMMYFUNCTION("IMPORTXML(AI160, ""//li[strong[text()='Percent Franchised:']]"")"),"Loading...")</f>
        <v>Loading...</v>
      </c>
      <c r="V160" s="24"/>
      <c r="W160" s="19" t="str">
        <f ca="1">IFERROR(__xludf.DUMMYFUNCTION("IMPORTXML(AI160, ""//li[strong[text()='% International Units:']]"")"),"Loading...")</f>
        <v>Loading...</v>
      </c>
      <c r="X160" s="24"/>
      <c r="Y160" s="19" t="str">
        <f ca="1">IFERROR(__xludf.DUMMYFUNCTION("IMPORTXML(AI160, ""//li[strong[text()='US Franchised Units:']]"")"),"Loading...")</f>
        <v>Loading...</v>
      </c>
      <c r="Z160" s="24"/>
      <c r="AA160" s="14" t="str">
        <f t="shared" si="1"/>
        <v/>
      </c>
      <c r="AB160" s="19" t="str">
        <f ca="1">IFERROR(__xludf.DUMMYFUNCTION("IMPORTXML(AI160, ""//li[strong[text()='International Franchised Units:']]"")"),"Loading...")</f>
        <v>Loading...</v>
      </c>
      <c r="AC160" s="24"/>
      <c r="AD160" s="14" t="str">
        <f t="shared" si="2"/>
        <v/>
      </c>
      <c r="AE160" s="25" t="str">
        <f ca="1">IFERROR(__xludf.DUMMYFUNCTION("IMPORTXML(AI160, ""//li[strong[text()='Sales Growth %:']]"")"),"Loading...")</f>
        <v>Loading...</v>
      </c>
      <c r="AF160" s="24"/>
      <c r="AG160" s="25" t="str">
        <f ca="1">IFERROR(__xludf.DUMMYFUNCTION("IMPORTXML(AI160, ""//li[strong[text()='Unit Growth %:']]"")"),"Loading...")</f>
        <v>Loading...</v>
      </c>
      <c r="AH160" s="25"/>
      <c r="AI160" s="48" t="s">
        <v>173</v>
      </c>
      <c r="AJ160" s="27"/>
      <c r="AK160" s="27"/>
      <c r="AL160" s="27"/>
      <c r="AM160" s="27"/>
      <c r="AN160" s="27"/>
      <c r="AO160" s="27"/>
      <c r="AP160" s="27"/>
      <c r="AQ160" s="27"/>
    </row>
    <row r="161" spans="1:43" ht="14.25" customHeight="1">
      <c r="A161" s="42">
        <v>24.16</v>
      </c>
      <c r="B161" s="14">
        <v>2024</v>
      </c>
      <c r="C161" s="15">
        <v>160</v>
      </c>
      <c r="D161" s="16" t="str">
        <f ca="1">IFERROR(__xludf.DUMMYFUNCTION("IMPORTXML(AI161, ""//h1[@itemprop='headline']/span"")"),"160. Signarama")</f>
        <v>160. Signarama</v>
      </c>
      <c r="E161" s="17" t="str">
        <f ca="1">IFERROR(__xludf.DUMMYFUNCTION("REGEXEXTRACT(D161, ""\.\s*(.+)"")"),"Signarama")</f>
        <v>Signarama</v>
      </c>
      <c r="F161" s="18" t="str">
        <f ca="1">IFERROR(__xludf.DUMMYFUNCTION("IMPORTXML(AI161, ""//li[strong[text()='Investment Range:']]"")"),"#N/A")</f>
        <v>#N/A</v>
      </c>
      <c r="G161" s="43"/>
      <c r="H161" s="18" t="str">
        <f ca="1">IFERROR(__xludf.DUMMYFUNCTION("SUBSTITUTE(REGEXEXTRACT(G161, ""\$(\d{1,3}(?:,\d{3})*)""), "","", ""."")
"),"#N/A")</f>
        <v>#N/A</v>
      </c>
      <c r="I161" s="19" t="str">
        <f ca="1">IFERROR(__xludf.DUMMYFUNCTION("SUBSTITUTE(REGEXEXTRACT(G161, ""-\s*\$(\d{1,3}(?:,\d{3})*)""), "","", ""."")
"),"#N/A")</f>
        <v>#N/A</v>
      </c>
      <c r="J161" s="19" t="str">
        <f ca="1">IFERROR(__xludf.DUMMYFUNCTION("IMPORTXML(AI161, ""//li[strong[text()='Initial Investment:']]"")"),"Loading...")</f>
        <v>Loading...</v>
      </c>
      <c r="K161" s="24"/>
      <c r="L161" s="20" t="str">
        <f ca="1">IFERROR(__xludf.DUMMYFUNCTION("IMPORTXML(AI161, ""//li[strong[text()='Category:']]"")"),"Loading...")</f>
        <v>Loading...</v>
      </c>
      <c r="M161" s="24"/>
      <c r="N161" s="19" t="str">
        <f ca="1">IFERROR(__xludf.DUMMYFUNCTION("IMPORTXML(AI161, ""//li[strong[text()='Global Sales:']]"")"),"Loading...")</f>
        <v>Loading...</v>
      </c>
      <c r="O161" s="24"/>
      <c r="P161" s="19" t="str">
        <f t="shared" si="0"/>
        <v/>
      </c>
      <c r="Q161" s="19" t="str">
        <f ca="1">IFERROR(__xludf.DUMMYFUNCTION("IMPORTXML(AI161, ""//li[strong[text()='US Units:']]"")"),"Loading...")</f>
        <v>Loading...</v>
      </c>
      <c r="R161" s="24"/>
      <c r="S161" s="19" t="str">
        <f ca="1">IFERROR(__xludf.DUMMYFUNCTION("IMPORTXML(AI161, ""//li[strong[text()='International Units:']]"")"),"#N/A")</f>
        <v>#N/A</v>
      </c>
      <c r="T161" s="44"/>
      <c r="U161" s="19" t="str">
        <f ca="1">IFERROR(__xludf.DUMMYFUNCTION("IMPORTXML(AI161, ""//li[strong[text()='Percent Franchised:']]"")"),"Loading...")</f>
        <v>Loading...</v>
      </c>
      <c r="V161" s="24"/>
      <c r="W161" s="19" t="str">
        <f ca="1">IFERROR(__xludf.DUMMYFUNCTION("IMPORTXML(AI161, ""//li[strong[text()='% International Units:']]"")"),"Loading...")</f>
        <v>Loading...</v>
      </c>
      <c r="X161" s="24"/>
      <c r="Y161" s="19" t="str">
        <f ca="1">IFERROR(__xludf.DUMMYFUNCTION("IMPORTXML(AI161, ""//li[strong[text()='US Franchised Units:']]"")"),"Loading...")</f>
        <v>Loading...</v>
      </c>
      <c r="Z161" s="24"/>
      <c r="AA161" s="14" t="str">
        <f t="shared" si="1"/>
        <v/>
      </c>
      <c r="AB161" s="19" t="str">
        <f ca="1">IFERROR(__xludf.DUMMYFUNCTION("IMPORTXML(AI161, ""//li[strong[text()='International Franchised Units:']]"")"),"Loading...")</f>
        <v>Loading...</v>
      </c>
      <c r="AC161" s="24"/>
      <c r="AD161" s="14" t="str">
        <f t="shared" si="2"/>
        <v/>
      </c>
      <c r="AE161" s="25" t="str">
        <f ca="1">IFERROR(__xludf.DUMMYFUNCTION("IMPORTXML(AI161, ""//li[strong[text()='Sales Growth %:']]"")"),"Loading...")</f>
        <v>Loading...</v>
      </c>
      <c r="AF161" s="24"/>
      <c r="AG161" s="25" t="str">
        <f ca="1">IFERROR(__xludf.DUMMYFUNCTION("IMPORTXML(AI161, ""//li[strong[text()='Unit Growth %:']]"")"),"Loading...")</f>
        <v>Loading...</v>
      </c>
      <c r="AH161" s="25"/>
      <c r="AI161" s="48" t="s">
        <v>174</v>
      </c>
      <c r="AJ161" s="27"/>
      <c r="AK161" s="27"/>
      <c r="AL161" s="27"/>
      <c r="AM161" s="27"/>
      <c r="AN161" s="27"/>
      <c r="AO161" s="27"/>
      <c r="AP161" s="27"/>
      <c r="AQ161" s="27"/>
    </row>
    <row r="162" spans="1:43" ht="14.25" customHeight="1">
      <c r="A162" s="42">
        <v>24.161000000000001</v>
      </c>
      <c r="B162" s="14">
        <v>2024</v>
      </c>
      <c r="C162" s="32">
        <v>161</v>
      </c>
      <c r="D162" s="16" t="str">
        <f ca="1">IFERROR(__xludf.DUMMYFUNCTION("IMPORTXML(AI162, ""//h1[@itemprop='headline']/span"")"),"161. One Hour Heating &amp; Air Conditioning")</f>
        <v>161. One Hour Heating &amp; Air Conditioning</v>
      </c>
      <c r="E162" s="17" t="str">
        <f ca="1">IFERROR(__xludf.DUMMYFUNCTION("REGEXEXTRACT(D162, ""\.\s*(.+)"")"),"One Hour Heating &amp; Air Conditioning")</f>
        <v>One Hour Heating &amp; Air Conditioning</v>
      </c>
      <c r="F162" s="18" t="str">
        <f ca="1">IFERROR(__xludf.DUMMYFUNCTION("IMPORTXML(AI162, ""//li[strong[text()='Investment Range:']]"")"),"Investment Range:")</f>
        <v>Investment Range:</v>
      </c>
      <c r="G162" s="43" t="str">
        <f ca="1">IFERROR(__xludf.DUMMYFUNCTION("""COMPUTED_VALUE""")," $73,992 - $188,476")</f>
        <v xml:space="preserve"> $73,992 - $188,476</v>
      </c>
      <c r="H162" s="18" t="str">
        <f ca="1">IFERROR(__xludf.DUMMYFUNCTION("SUBSTITUTE(REGEXEXTRACT(G162, ""\$(\d{1,3}(?:,\d{3})*)""), "","", ""."")
"),"73.992")</f>
        <v>73.992</v>
      </c>
      <c r="I162" s="19" t="str">
        <f ca="1">IFERROR(__xludf.DUMMYFUNCTION("SUBSTITUTE(REGEXEXTRACT(G162, ""-\s*\$(\d{1,3}(?:,\d{3})*)""), "","", ""."")
"),"188.476")</f>
        <v>188.476</v>
      </c>
      <c r="J162" s="19" t="str">
        <f ca="1">IFERROR(__xludf.DUMMYFUNCTION("IMPORTXML(AI162, ""//li[strong[text()='Initial Investment:']]"")"),"Loading...")</f>
        <v>Loading...</v>
      </c>
      <c r="K162" s="24"/>
      <c r="L162" s="20" t="str">
        <f ca="1">IFERROR(__xludf.DUMMYFUNCTION("IMPORTXML(AI162, ""//li[strong[text()='Category:']]"")"),"Loading...")</f>
        <v>Loading...</v>
      </c>
      <c r="M162" s="24"/>
      <c r="N162" s="19" t="str">
        <f ca="1">IFERROR(__xludf.DUMMYFUNCTION("IMPORTXML(AI162, ""//li[strong[text()='Global Sales:']]"")"),"Loading...")</f>
        <v>Loading...</v>
      </c>
      <c r="O162" s="24"/>
      <c r="P162" s="19" t="str">
        <f t="shared" si="0"/>
        <v/>
      </c>
      <c r="Q162" s="19" t="str">
        <f ca="1">IFERROR(__xludf.DUMMYFUNCTION("IMPORTXML(AI162, ""//li[strong[text()='US Units:']]"")"),"Loading...")</f>
        <v>Loading...</v>
      </c>
      <c r="R162" s="24"/>
      <c r="S162" s="19" t="str">
        <f ca="1">IFERROR(__xludf.DUMMYFUNCTION("IMPORTXML(AI162, ""//li[strong[text()='International Units:']]"")"),"Loading...")</f>
        <v>Loading...</v>
      </c>
      <c r="T162" s="44"/>
      <c r="U162" s="19" t="str">
        <f ca="1">IFERROR(__xludf.DUMMYFUNCTION("IMPORTXML(AI162, ""//li[strong[text()='Percent Franchised:']]"")"),"Loading...")</f>
        <v>Loading...</v>
      </c>
      <c r="V162" s="24"/>
      <c r="W162" s="19" t="str">
        <f ca="1">IFERROR(__xludf.DUMMYFUNCTION("IMPORTXML(AI162, ""//li[strong[text()='% International Units:']]"")"),"Loading...")</f>
        <v>Loading...</v>
      </c>
      <c r="X162" s="24"/>
      <c r="Y162" s="19" t="str">
        <f ca="1">IFERROR(__xludf.DUMMYFUNCTION("IMPORTXML(AI162, ""//li[strong[text()='US Franchised Units:']]"")"),"Loading...")</f>
        <v>Loading...</v>
      </c>
      <c r="Z162" s="24"/>
      <c r="AA162" s="14" t="str">
        <f t="shared" si="1"/>
        <v/>
      </c>
      <c r="AB162" s="19" t="str">
        <f ca="1">IFERROR(__xludf.DUMMYFUNCTION("IMPORTXML(AI162, ""//li[strong[text()='International Franchised Units:']]"")"),"Loading...")</f>
        <v>Loading...</v>
      </c>
      <c r="AC162" s="24"/>
      <c r="AD162" s="14" t="str">
        <f t="shared" si="2"/>
        <v/>
      </c>
      <c r="AE162" s="25" t="str">
        <f ca="1">IFERROR(__xludf.DUMMYFUNCTION("IMPORTXML(AI162, ""//li[strong[text()='Sales Growth %:']]"")"),"Loading...")</f>
        <v>Loading...</v>
      </c>
      <c r="AF162" s="24"/>
      <c r="AG162" s="25" t="str">
        <f ca="1">IFERROR(__xludf.DUMMYFUNCTION("IMPORTXML(AI162, ""//li[strong[text()='Unit Growth %:']]"")"),"Loading...")</f>
        <v>Loading...</v>
      </c>
      <c r="AH162" s="25"/>
      <c r="AI162" s="48" t="s">
        <v>175</v>
      </c>
      <c r="AJ162" s="27"/>
      <c r="AK162" s="27"/>
      <c r="AL162" s="27"/>
      <c r="AM162" s="27"/>
      <c r="AN162" s="27"/>
      <c r="AO162" s="27"/>
      <c r="AP162" s="27"/>
      <c r="AQ162" s="27"/>
    </row>
    <row r="163" spans="1:43" ht="14.25" customHeight="1">
      <c r="A163" s="42">
        <v>24.161999999999999</v>
      </c>
      <c r="B163" s="14">
        <v>2024</v>
      </c>
      <c r="C163" s="36">
        <v>162</v>
      </c>
      <c r="D163" s="16" t="str">
        <f ca="1">IFERROR(__xludf.DUMMYFUNCTION("IMPORTXML(AI163, ""//h1[@itemprop='headline']/span"")"),"162. 1-800-Radiator")</f>
        <v>162. 1-800-Radiator</v>
      </c>
      <c r="E163" s="17" t="str">
        <f ca="1">IFERROR(__xludf.DUMMYFUNCTION("REGEXEXTRACT(D163, ""\.\s*(.+)"")"),"1-800-Radiator")</f>
        <v>1-800-Radiator</v>
      </c>
      <c r="F163" s="18" t="str">
        <f ca="1">IFERROR(__xludf.DUMMYFUNCTION("IMPORTXML(AI163, ""//li[strong[text()='Investment Range:']]"")"),"Investment Range:")</f>
        <v>Investment Range:</v>
      </c>
      <c r="G163" s="43" t="str">
        <f ca="1">IFERROR(__xludf.DUMMYFUNCTION("""COMPUTED_VALUE""")," $457,500 - $1,269,000")</f>
        <v xml:space="preserve"> $457,500 - $1,269,000</v>
      </c>
      <c r="H163" s="18" t="str">
        <f ca="1">IFERROR(__xludf.DUMMYFUNCTION("SUBSTITUTE(REGEXEXTRACT(G163, ""\$(\d{1,3}(?:,\d{3})*)""), "","", ""."")
"),"457.500")</f>
        <v>457.500</v>
      </c>
      <c r="I163" s="19" t="str">
        <f ca="1">IFERROR(__xludf.DUMMYFUNCTION("SUBSTITUTE(REGEXEXTRACT(G163, ""-\s*\$(\d{1,3}(?:,\d{3})*)""), "","", ""."")
"),"1.269.000")</f>
        <v>1.269.000</v>
      </c>
      <c r="J163" s="19" t="str">
        <f ca="1">IFERROR(__xludf.DUMMYFUNCTION("IMPORTXML(AI163, ""//li[strong[text()='Initial Investment:']]"")"),"Loading...")</f>
        <v>Loading...</v>
      </c>
      <c r="K163" s="24"/>
      <c r="L163" s="20" t="str">
        <f ca="1">IFERROR(__xludf.DUMMYFUNCTION("IMPORTXML(AI163, ""//li[strong[text()='Category:']]"")"),"Loading...")</f>
        <v>Loading...</v>
      </c>
      <c r="M163" s="24"/>
      <c r="N163" s="19" t="str">
        <f ca="1">IFERROR(__xludf.DUMMYFUNCTION("IMPORTXML(AI163, ""//li[strong[text()='Global Sales:']]"")"),"Loading...")</f>
        <v>Loading...</v>
      </c>
      <c r="O163" s="24"/>
      <c r="P163" s="19" t="str">
        <f t="shared" si="0"/>
        <v/>
      </c>
      <c r="Q163" s="19" t="str">
        <f ca="1">IFERROR(__xludf.DUMMYFUNCTION("IMPORTXML(AI163, ""//li[strong[text()='US Units:']]"")"),"Loading...")</f>
        <v>Loading...</v>
      </c>
      <c r="R163" s="24"/>
      <c r="S163" s="19" t="str">
        <f ca="1">IFERROR(__xludf.DUMMYFUNCTION("IMPORTXML(AI163, ""//li[strong[text()='International Units:']]"")"),"Loading...")</f>
        <v>Loading...</v>
      </c>
      <c r="T163" s="44"/>
      <c r="U163" s="19" t="str">
        <f ca="1">IFERROR(__xludf.DUMMYFUNCTION("IMPORTXML(AI163, ""//li[strong[text()='Percent Franchised:']]"")"),"Loading...")</f>
        <v>Loading...</v>
      </c>
      <c r="V163" s="24"/>
      <c r="W163" s="19" t="str">
        <f ca="1">IFERROR(__xludf.DUMMYFUNCTION("IMPORTXML(AI163, ""//li[strong[text()='% International Units:']]"")"),"Loading...")</f>
        <v>Loading...</v>
      </c>
      <c r="X163" s="24"/>
      <c r="Y163" s="19" t="str">
        <f ca="1">IFERROR(__xludf.DUMMYFUNCTION("IMPORTXML(AI163, ""//li[strong[text()='US Franchised Units:']]"")"),"Loading...")</f>
        <v>Loading...</v>
      </c>
      <c r="Z163" s="24"/>
      <c r="AA163" s="14" t="str">
        <f t="shared" si="1"/>
        <v/>
      </c>
      <c r="AB163" s="19" t="str">
        <f ca="1">IFERROR(__xludf.DUMMYFUNCTION("IMPORTXML(AI163, ""//li[strong[text()='International Franchised Units:']]"")"),"Loading...")</f>
        <v>Loading...</v>
      </c>
      <c r="AC163" s="24"/>
      <c r="AD163" s="14" t="str">
        <f t="shared" si="2"/>
        <v/>
      </c>
      <c r="AE163" s="25" t="str">
        <f ca="1">IFERROR(__xludf.DUMMYFUNCTION("IMPORTXML(AI163, ""//li[strong[text()='Sales Growth %:']]"")"),"Loading...")</f>
        <v>Loading...</v>
      </c>
      <c r="AF163" s="24"/>
      <c r="AG163" s="25" t="str">
        <f ca="1">IFERROR(__xludf.DUMMYFUNCTION("IMPORTXML(AI163, ""//li[strong[text()='Unit Growth %:']]"")"),"Loading...")</f>
        <v>Loading...</v>
      </c>
      <c r="AH163" s="25"/>
      <c r="AI163" s="48" t="s">
        <v>176</v>
      </c>
      <c r="AJ163" s="27"/>
      <c r="AK163" s="27"/>
      <c r="AL163" s="27"/>
      <c r="AM163" s="27"/>
      <c r="AN163" s="27"/>
      <c r="AO163" s="27"/>
      <c r="AP163" s="27"/>
      <c r="AQ163" s="27"/>
    </row>
    <row r="164" spans="1:43" ht="14.25" customHeight="1">
      <c r="A164" s="42">
        <v>24.163</v>
      </c>
      <c r="B164" s="14">
        <v>2024</v>
      </c>
      <c r="C164" s="36">
        <v>163</v>
      </c>
      <c r="D164" s="16" t="str">
        <f ca="1">IFERROR(__xludf.DUMMYFUNCTION("IMPORTXML(AI164, ""//h1[@itemprop='headline']/span"")"),"163. Round Table Pizza")</f>
        <v>163. Round Table Pizza</v>
      </c>
      <c r="E164" s="17" t="str">
        <f ca="1">IFERROR(__xludf.DUMMYFUNCTION("REGEXEXTRACT(D164, ""\.\s*(.+)"")"),"Round Table Pizza")</f>
        <v>Round Table Pizza</v>
      </c>
      <c r="F164" s="18" t="str">
        <f ca="1">IFERROR(__xludf.DUMMYFUNCTION("IMPORTXML(AI164, ""//li[strong[text()='Investment Range:']]"")"),"Investment Range:")</f>
        <v>Investment Range:</v>
      </c>
      <c r="G164" s="43" t="str">
        <f ca="1">IFERROR(__xludf.DUMMYFUNCTION("""COMPUTED_VALUE""")," $504,100 - $1,091,500")</f>
        <v xml:space="preserve"> $504,100 - $1,091,500</v>
      </c>
      <c r="H164" s="18" t="str">
        <f ca="1">IFERROR(__xludf.DUMMYFUNCTION("SUBSTITUTE(REGEXEXTRACT(G164, ""\$(\d{1,3}(?:,\d{3})*)""), "","", ""."")
"),"504.100")</f>
        <v>504.100</v>
      </c>
      <c r="I164" s="19" t="str">
        <f ca="1">IFERROR(__xludf.DUMMYFUNCTION("SUBSTITUTE(REGEXEXTRACT(G164, ""-\s*\$(\d{1,3}(?:,\d{3})*)""), "","", ""."")
"),"1.091.500")</f>
        <v>1.091.500</v>
      </c>
      <c r="J164" s="19" t="str">
        <f ca="1">IFERROR(__xludf.DUMMYFUNCTION("IMPORTXML(AI164, ""//li[strong[text()='Initial Investment:']]"")"),"Loading...")</f>
        <v>Loading...</v>
      </c>
      <c r="K164" s="24"/>
      <c r="L164" s="20" t="str">
        <f ca="1">IFERROR(__xludf.DUMMYFUNCTION("IMPORTXML(AI164, ""//li[strong[text()='Category:']]"")"),"Loading...")</f>
        <v>Loading...</v>
      </c>
      <c r="M164" s="24"/>
      <c r="N164" s="19" t="str">
        <f ca="1">IFERROR(__xludf.DUMMYFUNCTION("IMPORTXML(AI164, ""//li[strong[text()='Global Sales:']]"")"),"Loading...")</f>
        <v>Loading...</v>
      </c>
      <c r="O164" s="24"/>
      <c r="P164" s="19" t="str">
        <f t="shared" si="0"/>
        <v/>
      </c>
      <c r="Q164" s="19" t="str">
        <f ca="1">IFERROR(__xludf.DUMMYFUNCTION("IMPORTXML(AI164, ""//li[strong[text()='US Units:']]"")"),"Loading...")</f>
        <v>Loading...</v>
      </c>
      <c r="R164" s="24"/>
      <c r="S164" s="19" t="str">
        <f ca="1">IFERROR(__xludf.DUMMYFUNCTION("IMPORTXML(AI164, ""//li[strong[text()='International Units:']]"")"),"Loading...")</f>
        <v>Loading...</v>
      </c>
      <c r="T164" s="44"/>
      <c r="U164" s="19" t="str">
        <f ca="1">IFERROR(__xludf.DUMMYFUNCTION("IMPORTXML(AI164, ""//li[strong[text()='Percent Franchised:']]"")"),"Percent Franchised:")</f>
        <v>Percent Franchised:</v>
      </c>
      <c r="V164" s="45">
        <f ca="1">IFERROR(__xludf.DUMMYFUNCTION("""COMPUTED_VALUE"""),1)</f>
        <v>1</v>
      </c>
      <c r="W164" s="19" t="str">
        <f ca="1">IFERROR(__xludf.DUMMYFUNCTION("IMPORTXML(AI164, ""//li[strong[text()='% International Units:']]"")"),"Loading...")</f>
        <v>Loading...</v>
      </c>
      <c r="X164" s="24"/>
      <c r="Y164" s="19" t="str">
        <f ca="1">IFERROR(__xludf.DUMMYFUNCTION("IMPORTXML(AI164, ""//li[strong[text()='US Franchised Units:']]"")"),"Loading...")</f>
        <v>Loading...</v>
      </c>
      <c r="Z164" s="24"/>
      <c r="AA164" s="14" t="str">
        <f t="shared" si="1"/>
        <v/>
      </c>
      <c r="AB164" s="19" t="str">
        <f ca="1">IFERROR(__xludf.DUMMYFUNCTION("IMPORTXML(AI164, ""//li[strong[text()='International Franchised Units:']]"")"),"Loading...")</f>
        <v>Loading...</v>
      </c>
      <c r="AC164" s="24"/>
      <c r="AD164" s="14" t="str">
        <f t="shared" si="2"/>
        <v/>
      </c>
      <c r="AE164" s="25" t="str">
        <f ca="1">IFERROR(__xludf.DUMMYFUNCTION("IMPORTXML(AI164, ""//li[strong[text()='Sales Growth %:']]"")"),"Loading...")</f>
        <v>Loading...</v>
      </c>
      <c r="AF164" s="24"/>
      <c r="AG164" s="25" t="str">
        <f ca="1">IFERROR(__xludf.DUMMYFUNCTION("IMPORTXML(AI164, ""//li[strong[text()='Unit Growth %:']]"")"),"Loading...")</f>
        <v>Loading...</v>
      </c>
      <c r="AH164" s="25"/>
      <c r="AI164" s="48" t="s">
        <v>177</v>
      </c>
      <c r="AJ164" s="27"/>
      <c r="AK164" s="27"/>
      <c r="AL164" s="27"/>
      <c r="AM164" s="27"/>
      <c r="AN164" s="27"/>
      <c r="AO164" s="27"/>
      <c r="AP164" s="27"/>
      <c r="AQ164" s="27"/>
    </row>
    <row r="165" spans="1:43" ht="14.25" customHeight="1">
      <c r="A165" s="42">
        <v>24.164000000000001</v>
      </c>
      <c r="B165" s="14">
        <v>2024</v>
      </c>
      <c r="C165" s="15">
        <v>164</v>
      </c>
      <c r="D165" s="16" t="str">
        <f ca="1">IFERROR(__xludf.DUMMYFUNCTION("IMPORTXML(AI165, ""//h1[@itemprop='headline']/span"")"),"164. Chester's")</f>
        <v>164. Chester's</v>
      </c>
      <c r="E165" s="17" t="str">
        <f ca="1">IFERROR(__xludf.DUMMYFUNCTION("REGEXEXTRACT(D165, ""\.\s*(.+)"")"),"Chester's")</f>
        <v>Chester's</v>
      </c>
      <c r="F165" s="18" t="str">
        <f ca="1">IFERROR(__xludf.DUMMYFUNCTION("IMPORTXML(AI165, ""//li[strong[text()='Investment Range:']]"")"),"#N/A")</f>
        <v>#N/A</v>
      </c>
      <c r="G165" s="43"/>
      <c r="H165" s="18" t="str">
        <f ca="1">IFERROR(__xludf.DUMMYFUNCTION("SUBSTITUTE(REGEXEXTRACT(G165, ""\$(\d{1,3}(?:,\d{3})*)""), "","", ""."")
"),"#N/A")</f>
        <v>#N/A</v>
      </c>
      <c r="I165" s="19" t="str">
        <f ca="1">IFERROR(__xludf.DUMMYFUNCTION("SUBSTITUTE(REGEXEXTRACT(G165, ""-\s*\$(\d{1,3}(?:,\d{3})*)""), "","", ""."")
"),"#N/A")</f>
        <v>#N/A</v>
      </c>
      <c r="J165" s="19" t="str">
        <f ca="1">IFERROR(__xludf.DUMMYFUNCTION("IMPORTXML(AI165, ""//li[strong[text()='Initial Investment:']]"")"),"#N/A")</f>
        <v>#N/A</v>
      </c>
      <c r="K165" s="24"/>
      <c r="L165" s="20" t="str">
        <f ca="1">IFERROR(__xludf.DUMMYFUNCTION("IMPORTXML(AI165, ""//li[strong[text()='Category:']]"")"),"Loading...")</f>
        <v>Loading...</v>
      </c>
      <c r="M165" s="24"/>
      <c r="N165" s="19" t="str">
        <f ca="1">IFERROR(__xludf.DUMMYFUNCTION("IMPORTXML(AI165, ""//li[strong[text()='Global Sales:']]"")"),"Loading...")</f>
        <v>Loading...</v>
      </c>
      <c r="O165" s="24"/>
      <c r="P165" s="19" t="str">
        <f t="shared" si="0"/>
        <v/>
      </c>
      <c r="Q165" s="19" t="str">
        <f ca="1">IFERROR(__xludf.DUMMYFUNCTION("IMPORTXML(AI165, ""//li[strong[text()='US Units:']]"")"),"Loading...")</f>
        <v>Loading...</v>
      </c>
      <c r="R165" s="24"/>
      <c r="S165" s="19" t="str">
        <f ca="1">IFERROR(__xludf.DUMMYFUNCTION("IMPORTXML(AI165, ""//li[strong[text()='International Units:']]"")"),"Loading...")</f>
        <v>Loading...</v>
      </c>
      <c r="T165" s="44"/>
      <c r="U165" s="19" t="str">
        <f ca="1">IFERROR(__xludf.DUMMYFUNCTION("IMPORTXML(AI165, ""//li[strong[text()='Percent Franchised:']]"")"),"Loading...")</f>
        <v>Loading...</v>
      </c>
      <c r="V165" s="24"/>
      <c r="W165" s="19" t="str">
        <f ca="1">IFERROR(__xludf.DUMMYFUNCTION("IMPORTXML(AI165, ""//li[strong[text()='% International Units:']]"")"),"Loading...")</f>
        <v>Loading...</v>
      </c>
      <c r="X165" s="24"/>
      <c r="Y165" s="19" t="str">
        <f ca="1">IFERROR(__xludf.DUMMYFUNCTION("IMPORTXML(AI165, ""//li[strong[text()='US Franchised Units:']]"")"),"Loading...")</f>
        <v>Loading...</v>
      </c>
      <c r="Z165" s="24"/>
      <c r="AA165" s="14" t="str">
        <f t="shared" si="1"/>
        <v/>
      </c>
      <c r="AB165" s="19" t="str">
        <f ca="1">IFERROR(__xludf.DUMMYFUNCTION("IMPORTXML(AI165, ""//li[strong[text()='International Franchised Units:']]"")"),"Loading...")</f>
        <v>Loading...</v>
      </c>
      <c r="AC165" s="24"/>
      <c r="AD165" s="14" t="str">
        <f t="shared" si="2"/>
        <v/>
      </c>
      <c r="AE165" s="25" t="str">
        <f ca="1">IFERROR(__xludf.DUMMYFUNCTION("IMPORTXML(AI165, ""//li[strong[text()='Sales Growth %:']]"")"),"Loading...")</f>
        <v>Loading...</v>
      </c>
      <c r="AF165" s="24"/>
      <c r="AG165" s="25" t="str">
        <f ca="1">IFERROR(__xludf.DUMMYFUNCTION("IMPORTXML(AI165, ""//li[strong[text()='Unit Growth %:']]"")"),"Loading...")</f>
        <v>Loading...</v>
      </c>
      <c r="AH165" s="25"/>
      <c r="AI165" s="48" t="s">
        <v>178</v>
      </c>
      <c r="AJ165" s="27"/>
      <c r="AK165" s="27"/>
      <c r="AL165" s="27"/>
      <c r="AM165" s="27"/>
      <c r="AN165" s="27"/>
      <c r="AO165" s="27"/>
      <c r="AP165" s="27"/>
      <c r="AQ165" s="27"/>
    </row>
    <row r="166" spans="1:43" ht="14.25" customHeight="1">
      <c r="A166" s="42">
        <v>24.164999999999999</v>
      </c>
      <c r="B166" s="14">
        <v>2024</v>
      </c>
      <c r="C166" s="32">
        <v>165</v>
      </c>
      <c r="D166" s="16" t="str">
        <f ca="1">IFERROR(__xludf.DUMMYFUNCTION("IMPORTXML(AI166, ""//h1[@itemprop='headline']/span"")"),"165. Dave's Hot Chicken")</f>
        <v>165. Dave's Hot Chicken</v>
      </c>
      <c r="E166" s="17" t="str">
        <f ca="1">IFERROR(__xludf.DUMMYFUNCTION("REGEXEXTRACT(D166, ""\.\s*(.+)"")"),"Dave's Hot Chicken")</f>
        <v>Dave's Hot Chicken</v>
      </c>
      <c r="F166" s="18" t="str">
        <f ca="1">IFERROR(__xludf.DUMMYFUNCTION("IMPORTXML(AI166, ""//li[strong[text()='Investment Range:']]"")"),"Investment Range:")</f>
        <v>Investment Range:</v>
      </c>
      <c r="G166" s="43" t="str">
        <f ca="1">IFERROR(__xludf.DUMMYFUNCTION("""COMPUTED_VALUE""")," $619,800 - $1,963,000")</f>
        <v xml:space="preserve"> $619,800 - $1,963,000</v>
      </c>
      <c r="H166" s="18" t="str">
        <f ca="1">IFERROR(__xludf.DUMMYFUNCTION("SUBSTITUTE(REGEXEXTRACT(G166, ""\$(\d{1,3}(?:,\d{3})*)""), "","", ""."")
"),"619.800")</f>
        <v>619.800</v>
      </c>
      <c r="I166" s="19" t="str">
        <f ca="1">IFERROR(__xludf.DUMMYFUNCTION("SUBSTITUTE(REGEXEXTRACT(G166, ""-\s*\$(\d{1,3}(?:,\d{3})*)""), "","", ""."")
"),"1.963.000")</f>
        <v>1.963.000</v>
      </c>
      <c r="J166" s="19" t="str">
        <f ca="1">IFERROR(__xludf.DUMMYFUNCTION("IMPORTXML(AI166, ""//li[strong[text()='Initial Investment:']]"")"),"Loading...")</f>
        <v>Loading...</v>
      </c>
      <c r="K166" s="24"/>
      <c r="L166" s="20" t="str">
        <f ca="1">IFERROR(__xludf.DUMMYFUNCTION("IMPORTXML(AI166, ""//li[strong[text()='Category:']]"")"),"Loading...")</f>
        <v>Loading...</v>
      </c>
      <c r="M166" s="24"/>
      <c r="N166" s="19" t="str">
        <f ca="1">IFERROR(__xludf.DUMMYFUNCTION("IMPORTXML(AI166, ""//li[strong[text()='Global Sales:']]"")"),"Loading...")</f>
        <v>Loading...</v>
      </c>
      <c r="O166" s="24"/>
      <c r="P166" s="19" t="str">
        <f t="shared" si="0"/>
        <v/>
      </c>
      <c r="Q166" s="19" t="str">
        <f ca="1">IFERROR(__xludf.DUMMYFUNCTION("IMPORTXML(AI166, ""//li[strong[text()='US Units:']]"")"),"Loading...")</f>
        <v>Loading...</v>
      </c>
      <c r="R166" s="24"/>
      <c r="S166" s="19" t="str">
        <f ca="1">IFERROR(__xludf.DUMMYFUNCTION("IMPORTXML(AI166, ""//li[strong[text()='International Units:']]"")"),"Loading...")</f>
        <v>Loading...</v>
      </c>
      <c r="T166" s="44"/>
      <c r="U166" s="19" t="str">
        <f ca="1">IFERROR(__xludf.DUMMYFUNCTION("IMPORTXML(AI166, ""//li[strong[text()='Percent Franchised:']]"")"),"Loading...")</f>
        <v>Loading...</v>
      </c>
      <c r="V166" s="24"/>
      <c r="W166" s="19" t="str">
        <f ca="1">IFERROR(__xludf.DUMMYFUNCTION("IMPORTXML(AI166, ""//li[strong[text()='% International Units:']]"")"),"Loading...")</f>
        <v>Loading...</v>
      </c>
      <c r="X166" s="24"/>
      <c r="Y166" s="19" t="str">
        <f ca="1">IFERROR(__xludf.DUMMYFUNCTION("IMPORTXML(AI166, ""//li[strong[text()='US Franchised Units:']]"")"),"Loading...")</f>
        <v>Loading...</v>
      </c>
      <c r="Z166" s="24"/>
      <c r="AA166" s="14" t="str">
        <f t="shared" si="1"/>
        <v/>
      </c>
      <c r="AB166" s="19" t="str">
        <f ca="1">IFERROR(__xludf.DUMMYFUNCTION("IMPORTXML(AI166, ""//li[strong[text()='International Franchised Units:']]"")"),"Loading...")</f>
        <v>Loading...</v>
      </c>
      <c r="AC166" s="24"/>
      <c r="AD166" s="14" t="str">
        <f t="shared" si="2"/>
        <v/>
      </c>
      <c r="AE166" s="25" t="str">
        <f ca="1">IFERROR(__xludf.DUMMYFUNCTION("IMPORTXML(AI166, ""//li[strong[text()='Sales Growth %:']]"")"),"Loading...")</f>
        <v>Loading...</v>
      </c>
      <c r="AF166" s="24"/>
      <c r="AG166" s="25" t="str">
        <f ca="1">IFERROR(__xludf.DUMMYFUNCTION("IMPORTXML(AI166, ""//li[strong[text()='Unit Growth %:']]"")"),"Loading...")</f>
        <v>Loading...</v>
      </c>
      <c r="AH166" s="25"/>
      <c r="AI166" s="48" t="s">
        <v>179</v>
      </c>
      <c r="AJ166" s="27"/>
      <c r="AK166" s="27"/>
      <c r="AL166" s="27"/>
      <c r="AM166" s="27"/>
      <c r="AN166" s="27"/>
      <c r="AO166" s="27"/>
      <c r="AP166" s="27"/>
      <c r="AQ166" s="27"/>
    </row>
    <row r="167" spans="1:43" ht="14.25" customHeight="1">
      <c r="A167" s="42">
        <v>24.166</v>
      </c>
      <c r="B167" s="14">
        <v>2024</v>
      </c>
      <c r="C167" s="36">
        <v>166</v>
      </c>
      <c r="D167" s="16" t="str">
        <f ca="1">IFERROR(__xludf.DUMMYFUNCTION("IMPORTXML(AI167, ""//h1[@itemprop='headline']/span"")"),"166. TEGG Service")</f>
        <v>166. TEGG Service</v>
      </c>
      <c r="E167" s="17" t="str">
        <f ca="1">IFERROR(__xludf.DUMMYFUNCTION("REGEXEXTRACT(D167, ""\.\s*(.+)"")"),"TEGG Service")</f>
        <v>TEGG Service</v>
      </c>
      <c r="F167" s="18" t="str">
        <f ca="1">IFERROR(__xludf.DUMMYFUNCTION("IMPORTXML(AI167, ""//li[strong[text()='Investment Range:']]"")"),"#N/A")</f>
        <v>#N/A</v>
      </c>
      <c r="G167" s="43"/>
      <c r="H167" s="18" t="str">
        <f ca="1">IFERROR(__xludf.DUMMYFUNCTION("SUBSTITUTE(REGEXEXTRACT(G167, ""\$(\d{1,3}(?:,\d{3})*)""), "","", ""."")
"),"#N/A")</f>
        <v>#N/A</v>
      </c>
      <c r="I167" s="19" t="str">
        <f ca="1">IFERROR(__xludf.DUMMYFUNCTION("SUBSTITUTE(REGEXEXTRACT(G167, ""-\s*\$(\d{1,3}(?:,\d{3})*)""), "","", ""."")
"),"#N/A")</f>
        <v>#N/A</v>
      </c>
      <c r="J167" s="19" t="str">
        <f ca="1">IFERROR(__xludf.DUMMYFUNCTION("IMPORTXML(AI167, ""//li[strong[text()='Initial Investment:']]"")"),"Loading...")</f>
        <v>Loading...</v>
      </c>
      <c r="K167" s="24"/>
      <c r="L167" s="20" t="str">
        <f ca="1">IFERROR(__xludf.DUMMYFUNCTION("IMPORTXML(AI167, ""//li[strong[text()='Category:']]"")"),"Loading...")</f>
        <v>Loading...</v>
      </c>
      <c r="M167" s="24"/>
      <c r="N167" s="19" t="str">
        <f ca="1">IFERROR(__xludf.DUMMYFUNCTION("IMPORTXML(AI167, ""//li[strong[text()='Global Sales:']]"")"),"Loading...")</f>
        <v>Loading...</v>
      </c>
      <c r="O167" s="24"/>
      <c r="P167" s="19" t="str">
        <f t="shared" si="0"/>
        <v/>
      </c>
      <c r="Q167" s="19" t="str">
        <f ca="1">IFERROR(__xludf.DUMMYFUNCTION("IMPORTXML(AI167, ""//li[strong[text()='US Units:']]"")"),"Loading...")</f>
        <v>Loading...</v>
      </c>
      <c r="R167" s="24"/>
      <c r="S167" s="19" t="str">
        <f ca="1">IFERROR(__xludf.DUMMYFUNCTION("IMPORTXML(AI167, ""//li[strong[text()='International Units:']]"")"),"Loading...")</f>
        <v>Loading...</v>
      </c>
      <c r="T167" s="44"/>
      <c r="U167" s="19" t="str">
        <f ca="1">IFERROR(__xludf.DUMMYFUNCTION("IMPORTXML(AI167, ""//li[strong[text()='Percent Franchised:']]"")"),"Loading...")</f>
        <v>Loading...</v>
      </c>
      <c r="V167" s="24"/>
      <c r="W167" s="19" t="str">
        <f ca="1">IFERROR(__xludf.DUMMYFUNCTION("IMPORTXML(AI167, ""//li[strong[text()='% International Units:']]"")"),"Loading...")</f>
        <v>Loading...</v>
      </c>
      <c r="X167" s="24"/>
      <c r="Y167" s="19" t="str">
        <f ca="1">IFERROR(__xludf.DUMMYFUNCTION("IMPORTXML(AI167, ""//li[strong[text()='US Franchised Units:']]"")"),"Loading...")</f>
        <v>Loading...</v>
      </c>
      <c r="Z167" s="24"/>
      <c r="AA167" s="14" t="str">
        <f t="shared" si="1"/>
        <v/>
      </c>
      <c r="AB167" s="19" t="str">
        <f ca="1">IFERROR(__xludf.DUMMYFUNCTION("IMPORTXML(AI167, ""//li[strong[text()='International Franchised Units:']]"")"),"Loading...")</f>
        <v>Loading...</v>
      </c>
      <c r="AC167" s="24"/>
      <c r="AD167" s="14" t="str">
        <f t="shared" si="2"/>
        <v/>
      </c>
      <c r="AE167" s="25" t="str">
        <f ca="1">IFERROR(__xludf.DUMMYFUNCTION("IMPORTXML(AI167, ""//li[strong[text()='Sales Growth %:']]"")"),"#N/A")</f>
        <v>#N/A</v>
      </c>
      <c r="AF167" s="24"/>
      <c r="AG167" s="25" t="str">
        <f ca="1">IFERROR(__xludf.DUMMYFUNCTION("IMPORTXML(AI167, ""//li[strong[text()='Unit Growth %:']]"")"),"Loading...")</f>
        <v>Loading...</v>
      </c>
      <c r="AH167" s="25"/>
      <c r="AI167" s="48" t="s">
        <v>180</v>
      </c>
      <c r="AJ167" s="27"/>
      <c r="AK167" s="27"/>
      <c r="AL167" s="27"/>
      <c r="AM167" s="27"/>
      <c r="AN167" s="27"/>
      <c r="AO167" s="27"/>
      <c r="AP167" s="27"/>
      <c r="AQ167" s="27"/>
    </row>
    <row r="168" spans="1:43" ht="14.25" customHeight="1">
      <c r="A168" s="42">
        <v>24.167000000000002</v>
      </c>
      <c r="B168" s="14">
        <v>2024</v>
      </c>
      <c r="C168" s="36">
        <v>167</v>
      </c>
      <c r="D168" s="16" t="str">
        <f ca="1">IFERROR(__xludf.DUMMYFUNCTION("IMPORTXML(AI168, ""//h1[@itemprop='headline']/span"")"),"167. Logan's Roadhouse")</f>
        <v>167. Logan's Roadhouse</v>
      </c>
      <c r="E168" s="17" t="str">
        <f ca="1">IFERROR(__xludf.DUMMYFUNCTION("REGEXEXTRACT(D168, ""\.\s*(.+)"")"),"Logan's Roadhouse")</f>
        <v>Logan's Roadhouse</v>
      </c>
      <c r="F168" s="18" t="str">
        <f ca="1">IFERROR(__xludf.DUMMYFUNCTION("IMPORTXML(AI168, ""//li[strong[text()='Investment Range:']]"")"),"#N/A")</f>
        <v>#N/A</v>
      </c>
      <c r="G168" s="43"/>
      <c r="H168" s="18" t="str">
        <f ca="1">IFERROR(__xludf.DUMMYFUNCTION("SUBSTITUTE(REGEXEXTRACT(G168, ""\$(\d{1,3}(?:,\d{3})*)""), "","", ""."")
"),"#N/A")</f>
        <v>#N/A</v>
      </c>
      <c r="I168" s="19" t="str">
        <f ca="1">IFERROR(__xludf.DUMMYFUNCTION("SUBSTITUTE(REGEXEXTRACT(G168, ""-\s*\$(\d{1,3}(?:,\d{3})*)""), "","", ""."")
"),"#N/A")</f>
        <v>#N/A</v>
      </c>
      <c r="J168" s="19" t="str">
        <f ca="1">IFERROR(__xludf.DUMMYFUNCTION("IMPORTXML(AI168, ""//li[strong[text()='Initial Investment:']]"")"),"Loading...")</f>
        <v>Loading...</v>
      </c>
      <c r="K168" s="24"/>
      <c r="L168" s="20" t="str">
        <f ca="1">IFERROR(__xludf.DUMMYFUNCTION("IMPORTXML(AI168, ""//li[strong[text()='Category:']]"")"),"Loading...")</f>
        <v>Loading...</v>
      </c>
      <c r="M168" s="24"/>
      <c r="N168" s="19" t="str">
        <f ca="1">IFERROR(__xludf.DUMMYFUNCTION("IMPORTXML(AI168, ""//li[strong[text()='Global Sales:']]"")"),"Loading...")</f>
        <v>Loading...</v>
      </c>
      <c r="O168" s="24"/>
      <c r="P168" s="19" t="str">
        <f t="shared" si="0"/>
        <v/>
      </c>
      <c r="Q168" s="19" t="str">
        <f ca="1">IFERROR(__xludf.DUMMYFUNCTION("IMPORTXML(AI168, ""//li[strong[text()='US Units:']]"")"),"Loading...")</f>
        <v>Loading...</v>
      </c>
      <c r="R168" s="24"/>
      <c r="S168" s="19" t="str">
        <f ca="1">IFERROR(__xludf.DUMMYFUNCTION("IMPORTXML(AI168, ""//li[strong[text()='International Units:']]"")"),"Loading...")</f>
        <v>Loading...</v>
      </c>
      <c r="T168" s="44"/>
      <c r="U168" s="19" t="str">
        <f ca="1">IFERROR(__xludf.DUMMYFUNCTION("IMPORTXML(AI168, ""//li[strong[text()='Percent Franchised:']]"")"),"Loading...")</f>
        <v>Loading...</v>
      </c>
      <c r="V168" s="24"/>
      <c r="W168" s="19" t="str">
        <f ca="1">IFERROR(__xludf.DUMMYFUNCTION("IMPORTXML(AI168, ""//li[strong[text()='% International Units:']]"")"),"Loading...")</f>
        <v>Loading...</v>
      </c>
      <c r="X168" s="24"/>
      <c r="Y168" s="19" t="str">
        <f ca="1">IFERROR(__xludf.DUMMYFUNCTION("IMPORTXML(AI168, ""//li[strong[text()='US Franchised Units:']]"")"),"Loading...")</f>
        <v>Loading...</v>
      </c>
      <c r="Z168" s="24"/>
      <c r="AA168" s="14" t="str">
        <f t="shared" si="1"/>
        <v/>
      </c>
      <c r="AB168" s="19" t="str">
        <f ca="1">IFERROR(__xludf.DUMMYFUNCTION("IMPORTXML(AI168, ""//li[strong[text()='International Franchised Units:']]"")"),"Loading...")</f>
        <v>Loading...</v>
      </c>
      <c r="AC168" s="24"/>
      <c r="AD168" s="14" t="str">
        <f t="shared" si="2"/>
        <v/>
      </c>
      <c r="AE168" s="25" t="str">
        <f ca="1">IFERROR(__xludf.DUMMYFUNCTION("IMPORTXML(AI168, ""//li[strong[text()='Sales Growth %:']]"")"),"Loading...")</f>
        <v>Loading...</v>
      </c>
      <c r="AF168" s="24"/>
      <c r="AG168" s="25" t="str">
        <f ca="1">IFERROR(__xludf.DUMMYFUNCTION("IMPORTXML(AI168, ""//li[strong[text()='Unit Growth %:']]"")"),"Loading...")</f>
        <v>Loading...</v>
      </c>
      <c r="AH168" s="25"/>
      <c r="AI168" s="48" t="s">
        <v>181</v>
      </c>
      <c r="AJ168" s="27"/>
      <c r="AK168" s="27"/>
      <c r="AL168" s="27"/>
      <c r="AM168" s="27"/>
      <c r="AN168" s="27"/>
      <c r="AO168" s="27"/>
      <c r="AP168" s="27"/>
      <c r="AQ168" s="27"/>
    </row>
    <row r="169" spans="1:43" ht="14.25" customHeight="1">
      <c r="A169" s="42">
        <v>24.167999999999999</v>
      </c>
      <c r="B169" s="14">
        <v>2024</v>
      </c>
      <c r="C169" s="15">
        <v>168</v>
      </c>
      <c r="D169" s="16" t="str">
        <f ca="1">IFERROR(__xludf.DUMMYFUNCTION("IMPORTXML(AI169, ""//h1[@itemprop='headline']/span"")"),"168. Slim Chickens")</f>
        <v>168. Slim Chickens</v>
      </c>
      <c r="E169" s="17" t="str">
        <f ca="1">IFERROR(__xludf.DUMMYFUNCTION("REGEXEXTRACT(D169, ""\.\s*(.+)"")"),"Slim Chickens")</f>
        <v>Slim Chickens</v>
      </c>
      <c r="F169" s="18" t="str">
        <f ca="1">IFERROR(__xludf.DUMMYFUNCTION("IMPORTXML(AI169, ""//li[strong[text()='Investment Range:']]"")"),"#REF!")</f>
        <v>#REF!</v>
      </c>
      <c r="G169" s="43"/>
      <c r="H169" s="18" t="str">
        <f ca="1">IFERROR(__xludf.DUMMYFUNCTION("SUBSTITUTE(REGEXEXTRACT(G169, ""\$(\d{1,3}(?:,\d{3})*)""), "","", ""."")
"),"#N/A")</f>
        <v>#N/A</v>
      </c>
      <c r="I169" s="19" t="str">
        <f ca="1">IFERROR(__xludf.DUMMYFUNCTION("SUBSTITUTE(REGEXEXTRACT(G169, ""-\s*\$(\d{1,3}(?:,\d{3})*)""), "","", ""."")
"),"#N/A")</f>
        <v>#N/A</v>
      </c>
      <c r="J169" s="19" t="str">
        <f ca="1">IFERROR(__xludf.DUMMYFUNCTION("IMPORTXML(AI169, ""//li[strong[text()='Initial Investment:']]"")"),"Loading...")</f>
        <v>Loading...</v>
      </c>
      <c r="K169" s="24"/>
      <c r="L169" s="20" t="str">
        <f ca="1">IFERROR(__xludf.DUMMYFUNCTION("IMPORTXML(AI169, ""//li[strong[text()='Category:']]"")"),"Loading...")</f>
        <v>Loading...</v>
      </c>
      <c r="M169" s="24"/>
      <c r="N169" s="19" t="str">
        <f ca="1">IFERROR(__xludf.DUMMYFUNCTION("IMPORTXML(AI169, ""//li[strong[text()='Global Sales:']]"")"),"Loading...")</f>
        <v>Loading...</v>
      </c>
      <c r="O169" s="24"/>
      <c r="P169" s="19" t="str">
        <f t="shared" si="0"/>
        <v/>
      </c>
      <c r="Q169" s="19" t="str">
        <f ca="1">IFERROR(__xludf.DUMMYFUNCTION("IMPORTXML(AI169, ""//li[strong[text()='US Units:']]"")"),"Loading...")</f>
        <v>Loading...</v>
      </c>
      <c r="R169" s="24"/>
      <c r="S169" s="19" t="str">
        <f ca="1">IFERROR(__xludf.DUMMYFUNCTION("IMPORTXML(AI169, ""//li[strong[text()='International Units:']]"")"),"Loading...")</f>
        <v>Loading...</v>
      </c>
      <c r="T169" s="44"/>
      <c r="U169" s="19" t="str">
        <f ca="1">IFERROR(__xludf.DUMMYFUNCTION("IMPORTXML(AI169, ""//li[strong[text()='Percent Franchised:']]"")"),"Loading...")</f>
        <v>Loading...</v>
      </c>
      <c r="V169" s="24"/>
      <c r="W169" s="19" t="str">
        <f ca="1">IFERROR(__xludf.DUMMYFUNCTION("IMPORTXML(AI169, ""//li[strong[text()='% International Units:']]"")"),"Loading...")</f>
        <v>Loading...</v>
      </c>
      <c r="X169" s="24"/>
      <c r="Y169" s="19" t="str">
        <f ca="1">IFERROR(__xludf.DUMMYFUNCTION("IMPORTXML(AI169, ""//li[strong[text()='US Franchised Units:']]"")"),"Loading...")</f>
        <v>Loading...</v>
      </c>
      <c r="Z169" s="24"/>
      <c r="AA169" s="14" t="str">
        <f t="shared" si="1"/>
        <v/>
      </c>
      <c r="AB169" s="19" t="str">
        <f ca="1">IFERROR(__xludf.DUMMYFUNCTION("IMPORTXML(AI169, ""//li[strong[text()='International Franchised Units:']]"")"),"International Franchised Units:")</f>
        <v>International Franchised Units:</v>
      </c>
      <c r="AC169" s="24">
        <f ca="1">IFERROR(__xludf.DUMMYFUNCTION("""COMPUTED_VALUE"""),50)</f>
        <v>50</v>
      </c>
      <c r="AD169" s="14" t="str">
        <f t="shared" ca="1" si="2"/>
        <v>50</v>
      </c>
      <c r="AE169" s="25" t="str">
        <f ca="1">IFERROR(__xludf.DUMMYFUNCTION("IMPORTXML(AI169, ""//li[strong[text()='Sales Growth %:']]"")"),"Loading...")</f>
        <v>Loading...</v>
      </c>
      <c r="AF169" s="24"/>
      <c r="AG169" s="25" t="str">
        <f ca="1">IFERROR(__xludf.DUMMYFUNCTION("IMPORTXML(AI169, ""//li[strong[text()='Unit Growth %:']]"")"),"Loading...")</f>
        <v>Loading...</v>
      </c>
      <c r="AH169" s="25"/>
      <c r="AI169" s="48" t="s">
        <v>182</v>
      </c>
      <c r="AJ169" s="27"/>
      <c r="AK169" s="27"/>
      <c r="AL169" s="27"/>
      <c r="AM169" s="27"/>
      <c r="AN169" s="27"/>
      <c r="AO169" s="27"/>
      <c r="AP169" s="27"/>
      <c r="AQ169" s="27"/>
    </row>
    <row r="170" spans="1:43" ht="14.25" customHeight="1">
      <c r="A170" s="42">
        <v>24.169</v>
      </c>
      <c r="B170" s="14">
        <v>2024</v>
      </c>
      <c r="C170" s="32">
        <v>169</v>
      </c>
      <c r="D170" s="16" t="str">
        <f ca="1">IFERROR(__xludf.DUMMYFUNCTION("IMPORTXML(AI170, ""//h1[@itemprop='headline']/span"")"),"169. Slumberland")</f>
        <v>169. Slumberland</v>
      </c>
      <c r="E170" s="17" t="str">
        <f ca="1">IFERROR(__xludf.DUMMYFUNCTION("REGEXEXTRACT(D170, ""\.\s*(.+)"")"),"Slumberland")</f>
        <v>Slumberland</v>
      </c>
      <c r="F170" s="18" t="str">
        <f ca="1">IFERROR(__xludf.DUMMYFUNCTION("IMPORTXML(AI170, ""//li[strong[text()='Investment Range:']]"")"),"#N/A")</f>
        <v>#N/A</v>
      </c>
      <c r="G170" s="43"/>
      <c r="H170" s="18" t="str">
        <f ca="1">IFERROR(__xludf.DUMMYFUNCTION("SUBSTITUTE(REGEXEXTRACT(G170, ""\$(\d{1,3}(?:,\d{3})*)""), "","", ""."")
"),"#N/A")</f>
        <v>#N/A</v>
      </c>
      <c r="I170" s="19" t="str">
        <f ca="1">IFERROR(__xludf.DUMMYFUNCTION("SUBSTITUTE(REGEXEXTRACT(G170, ""-\s*\$(\d{1,3}(?:,\d{3})*)""), "","", ""."")
"),"#N/A")</f>
        <v>#N/A</v>
      </c>
      <c r="J170" s="19" t="str">
        <f ca="1">IFERROR(__xludf.DUMMYFUNCTION("IMPORTXML(AI170, ""//li[strong[text()='Initial Investment:']]"")"),"Loading...")</f>
        <v>Loading...</v>
      </c>
      <c r="K170" s="24"/>
      <c r="L170" s="20" t="str">
        <f ca="1">IFERROR(__xludf.DUMMYFUNCTION("IMPORTXML(AI170, ""//li[strong[text()='Category:']]"")"),"Loading...")</f>
        <v>Loading...</v>
      </c>
      <c r="M170" s="24"/>
      <c r="N170" s="19" t="str">
        <f ca="1">IFERROR(__xludf.DUMMYFUNCTION("IMPORTXML(AI170, ""//li[strong[text()='Global Sales:']]"")"),"Loading...")</f>
        <v>Loading...</v>
      </c>
      <c r="O170" s="24"/>
      <c r="P170" s="19" t="str">
        <f t="shared" si="0"/>
        <v/>
      </c>
      <c r="Q170" s="19" t="str">
        <f ca="1">IFERROR(__xludf.DUMMYFUNCTION("IMPORTXML(AI170, ""//li[strong[text()='US Units:']]"")"),"Loading...")</f>
        <v>Loading...</v>
      </c>
      <c r="R170" s="24"/>
      <c r="S170" s="19" t="str">
        <f ca="1">IFERROR(__xludf.DUMMYFUNCTION("IMPORTXML(AI170, ""//li[strong[text()='International Units:']]"")"),"Loading...")</f>
        <v>Loading...</v>
      </c>
      <c r="T170" s="44"/>
      <c r="U170" s="19" t="str">
        <f ca="1">IFERROR(__xludf.DUMMYFUNCTION("IMPORTXML(AI170, ""//li[strong[text()='Percent Franchised:']]"")"),"Loading...")</f>
        <v>Loading...</v>
      </c>
      <c r="V170" s="24"/>
      <c r="W170" s="19" t="str">
        <f ca="1">IFERROR(__xludf.DUMMYFUNCTION("IMPORTXML(AI170, ""//li[strong[text()='% International Units:']]"")"),"Loading...")</f>
        <v>Loading...</v>
      </c>
      <c r="X170" s="24"/>
      <c r="Y170" s="19" t="str">
        <f ca="1">IFERROR(__xludf.DUMMYFUNCTION("IMPORTXML(AI170, ""//li[strong[text()='US Franchised Units:']]"")"),"Loading...")</f>
        <v>Loading...</v>
      </c>
      <c r="Z170" s="24"/>
      <c r="AA170" s="14" t="str">
        <f t="shared" si="1"/>
        <v/>
      </c>
      <c r="AB170" s="19" t="str">
        <f ca="1">IFERROR(__xludf.DUMMYFUNCTION("IMPORTXML(AI170, ""//li[strong[text()='International Franchised Units:']]"")"),"Loading...")</f>
        <v>Loading...</v>
      </c>
      <c r="AC170" s="24"/>
      <c r="AD170" s="14" t="str">
        <f t="shared" si="2"/>
        <v/>
      </c>
      <c r="AE170" s="25" t="str">
        <f ca="1">IFERROR(__xludf.DUMMYFUNCTION("IMPORTXML(AI170, ""//li[strong[text()='Sales Growth %:']]"")"),"Loading...")</f>
        <v>Loading...</v>
      </c>
      <c r="AF170" s="24"/>
      <c r="AG170" s="25" t="str">
        <f ca="1">IFERROR(__xludf.DUMMYFUNCTION("IMPORTXML(AI170, ""//li[strong[text()='Unit Growth %:']]"")"),"Loading...")</f>
        <v>Loading...</v>
      </c>
      <c r="AH170" s="25"/>
      <c r="AI170" s="48" t="s">
        <v>183</v>
      </c>
      <c r="AJ170" s="27"/>
      <c r="AK170" s="27"/>
      <c r="AL170" s="27"/>
      <c r="AM170" s="27"/>
      <c r="AN170" s="27"/>
      <c r="AO170" s="27"/>
      <c r="AP170" s="27"/>
      <c r="AQ170" s="27"/>
    </row>
    <row r="171" spans="1:43" ht="14.25" customHeight="1">
      <c r="A171" s="42">
        <v>24.17</v>
      </c>
      <c r="B171" s="14">
        <v>2024</v>
      </c>
      <c r="C171" s="36">
        <v>170</v>
      </c>
      <c r="D171" s="16" t="str">
        <f ca="1">IFERROR(__xludf.DUMMYFUNCTION("IMPORTXML(AI171, ""//h1[@itemprop='headline']/span"")"),"177. Chicken Salad Chick")</f>
        <v>177. Chicken Salad Chick</v>
      </c>
      <c r="E171" s="17" t="str">
        <f ca="1">IFERROR(__xludf.DUMMYFUNCTION("REGEXEXTRACT(D171, ""\.\s*(.+)"")"),"Chicken Salad Chick")</f>
        <v>Chicken Salad Chick</v>
      </c>
      <c r="F171" s="18" t="str">
        <f ca="1">IFERROR(__xludf.DUMMYFUNCTION("IMPORTXML(AI171, ""//li[strong[text()='Investment Range:']]"")"),"Investment Range:")</f>
        <v>Investment Range:</v>
      </c>
      <c r="G171" s="43" t="str">
        <f ca="1">IFERROR(__xludf.DUMMYFUNCTION("""COMPUTED_VALUE""")," $747,000 - $964,500")</f>
        <v xml:space="preserve"> $747,000 - $964,500</v>
      </c>
      <c r="H171" s="18" t="str">
        <f ca="1">IFERROR(__xludf.DUMMYFUNCTION("SUBSTITUTE(REGEXEXTRACT(G171, ""\$(\d{1,3}(?:,\d{3})*)""), "","", ""."")
"),"747.000")</f>
        <v>747.000</v>
      </c>
      <c r="I171" s="19" t="str">
        <f ca="1">IFERROR(__xludf.DUMMYFUNCTION("SUBSTITUTE(REGEXEXTRACT(G171, ""-\s*\$(\d{1,3}(?:,\d{3})*)""), "","", ""."")
"),"964.500")</f>
        <v>964.500</v>
      </c>
      <c r="J171" s="19" t="str">
        <f ca="1">IFERROR(__xludf.DUMMYFUNCTION("IMPORTXML(AI171, ""//li[strong[text()='Initial Investment:']]"")"),"Loading...")</f>
        <v>Loading...</v>
      </c>
      <c r="K171" s="24"/>
      <c r="L171" s="20" t="str">
        <f ca="1">IFERROR(__xludf.DUMMYFUNCTION("IMPORTXML(AI171, ""//li[strong[text()='Category:']]"")"),"Loading...")</f>
        <v>Loading...</v>
      </c>
      <c r="M171" s="24"/>
      <c r="N171" s="19" t="str">
        <f ca="1">IFERROR(__xludf.DUMMYFUNCTION("IMPORTXML(AI171, ""//li[strong[text()='Global Sales:']]"")"),"Loading...")</f>
        <v>Loading...</v>
      </c>
      <c r="O171" s="24"/>
      <c r="P171" s="19" t="str">
        <f t="shared" si="0"/>
        <v/>
      </c>
      <c r="Q171" s="19" t="str">
        <f ca="1">IFERROR(__xludf.DUMMYFUNCTION("IMPORTXML(AI171, ""//li[strong[text()='US Units:']]"")"),"Loading...")</f>
        <v>Loading...</v>
      </c>
      <c r="R171" s="24"/>
      <c r="S171" s="19" t="str">
        <f ca="1">IFERROR(__xludf.DUMMYFUNCTION("IMPORTXML(AI171, ""//li[strong[text()='International Units:']]"")"),"Loading...")</f>
        <v>Loading...</v>
      </c>
      <c r="T171" s="44"/>
      <c r="U171" s="19" t="str">
        <f ca="1">IFERROR(__xludf.DUMMYFUNCTION("IMPORTXML(AI171, ""//li[strong[text()='Percent Franchised:']]"")"),"Loading...")</f>
        <v>Loading...</v>
      </c>
      <c r="V171" s="24"/>
      <c r="W171" s="19" t="str">
        <f ca="1">IFERROR(__xludf.DUMMYFUNCTION("IMPORTXML(AI171, ""//li[strong[text()='% International Units:']]"")"),"Loading...")</f>
        <v>Loading...</v>
      </c>
      <c r="X171" s="24"/>
      <c r="Y171" s="19" t="str">
        <f ca="1">IFERROR(__xludf.DUMMYFUNCTION("IMPORTXML(AI171, ""//li[strong[text()='US Franchised Units:']]"")"),"Loading...")</f>
        <v>Loading...</v>
      </c>
      <c r="Z171" s="24"/>
      <c r="AA171" s="14" t="str">
        <f t="shared" si="1"/>
        <v/>
      </c>
      <c r="AB171" s="19" t="str">
        <f ca="1">IFERROR(__xludf.DUMMYFUNCTION("IMPORTXML(AI171, ""//li[strong[text()='International Franchised Units:']]"")"),"Loading...")</f>
        <v>Loading...</v>
      </c>
      <c r="AC171" s="24"/>
      <c r="AD171" s="14" t="str">
        <f t="shared" si="2"/>
        <v/>
      </c>
      <c r="AE171" s="25" t="str">
        <f ca="1">IFERROR(__xludf.DUMMYFUNCTION("IMPORTXML(AI171, ""//li[strong[text()='Sales Growth %:']]"")"),"Loading...")</f>
        <v>Loading...</v>
      </c>
      <c r="AF171" s="24"/>
      <c r="AG171" s="25" t="str">
        <f ca="1">IFERROR(__xludf.DUMMYFUNCTION("IMPORTXML(AI171, ""//li[strong[text()='Unit Growth %:']]"")"),"Loading...")</f>
        <v>Loading...</v>
      </c>
      <c r="AH171" s="25"/>
      <c r="AI171" s="48" t="s">
        <v>184</v>
      </c>
      <c r="AJ171" s="27"/>
      <c r="AK171" s="27"/>
      <c r="AL171" s="27"/>
      <c r="AM171" s="27"/>
      <c r="AN171" s="27"/>
      <c r="AO171" s="27"/>
      <c r="AP171" s="27"/>
      <c r="AQ171" s="27"/>
    </row>
    <row r="172" spans="1:43" ht="14.25" customHeight="1">
      <c r="A172" s="42">
        <v>24.170999999999999</v>
      </c>
      <c r="B172" s="14">
        <v>2024</v>
      </c>
      <c r="C172" s="36">
        <v>171</v>
      </c>
      <c r="D172" s="16" t="str">
        <f ca="1">IFERROR(__xludf.DUMMYFUNCTION("IMPORTXML(AI172, ""//h1[@itemprop='headline']/span"")"),"171. Blaze Pizza")</f>
        <v>171. Blaze Pizza</v>
      </c>
      <c r="E172" s="17" t="str">
        <f ca="1">IFERROR(__xludf.DUMMYFUNCTION("REGEXEXTRACT(D172, ""\.\s*(.+)"")"),"Blaze Pizza")</f>
        <v>Blaze Pizza</v>
      </c>
      <c r="F172" s="18" t="str">
        <f ca="1">IFERROR(__xludf.DUMMYFUNCTION("IMPORTXML(AI172, ""//li[strong[text()='Investment Range:']]"")"),"Investment Range:")</f>
        <v>Investment Range:</v>
      </c>
      <c r="G172" s="43" t="str">
        <f ca="1">IFERROR(__xludf.DUMMYFUNCTION("""COMPUTED_VALUE""")," $596,900 - $1,087,500")</f>
        <v xml:space="preserve"> $596,900 - $1,087,500</v>
      </c>
      <c r="H172" s="18" t="str">
        <f ca="1">IFERROR(__xludf.DUMMYFUNCTION("SUBSTITUTE(REGEXEXTRACT(G172, ""\$(\d{1,3}(?:,\d{3})*)""), "","", ""."")
"),"596.900")</f>
        <v>596.900</v>
      </c>
      <c r="I172" s="19" t="str">
        <f ca="1">IFERROR(__xludf.DUMMYFUNCTION("SUBSTITUTE(REGEXEXTRACT(G172, ""-\s*\$(\d{1,3}(?:,\d{3})*)""), "","", ""."")
"),"1.087.500")</f>
        <v>1.087.500</v>
      </c>
      <c r="J172" s="19" t="str">
        <f ca="1">IFERROR(__xludf.DUMMYFUNCTION("IMPORTXML(AI172, ""//li[strong[text()='Initial Investment:']]"")"),"Loading...")</f>
        <v>Loading...</v>
      </c>
      <c r="K172" s="24"/>
      <c r="L172" s="20" t="str">
        <f ca="1">IFERROR(__xludf.DUMMYFUNCTION("IMPORTXML(AI172, ""//li[strong[text()='Category:']]"")"),"Loading...")</f>
        <v>Loading...</v>
      </c>
      <c r="M172" s="24"/>
      <c r="N172" s="19" t="str">
        <f ca="1">IFERROR(__xludf.DUMMYFUNCTION("IMPORTXML(AI172, ""//li[strong[text()='Global Sales:']]"")"),"Loading...")</f>
        <v>Loading...</v>
      </c>
      <c r="O172" s="24"/>
      <c r="P172" s="19" t="str">
        <f t="shared" si="0"/>
        <v/>
      </c>
      <c r="Q172" s="19" t="str">
        <f ca="1">IFERROR(__xludf.DUMMYFUNCTION("IMPORTXML(AI172, ""//li[strong[text()='US Units:']]"")"),"US Units:")</f>
        <v>US Units:</v>
      </c>
      <c r="R172" s="24">
        <f ca="1">IFERROR(__xludf.DUMMYFUNCTION("""COMPUTED_VALUE"""),289)</f>
        <v>289</v>
      </c>
      <c r="S172" s="19" t="str">
        <f ca="1">IFERROR(__xludf.DUMMYFUNCTION("IMPORTXML(AI172, ""//li[strong[text()='International Units:']]"")"),"Loading...")</f>
        <v>Loading...</v>
      </c>
      <c r="T172" s="44"/>
      <c r="U172" s="19" t="str">
        <f ca="1">IFERROR(__xludf.DUMMYFUNCTION("IMPORTXML(AI172, ""//li[strong[text()='Percent Franchised:']]"")"),"Loading...")</f>
        <v>Loading...</v>
      </c>
      <c r="V172" s="24"/>
      <c r="W172" s="19" t="str">
        <f ca="1">IFERROR(__xludf.DUMMYFUNCTION("IMPORTXML(AI172, ""//li[strong[text()='% International Units:']]"")"),"Loading...")</f>
        <v>Loading...</v>
      </c>
      <c r="X172" s="24"/>
      <c r="Y172" s="19" t="str">
        <f ca="1">IFERROR(__xludf.DUMMYFUNCTION("IMPORTXML(AI172, ""//li[strong[text()='US Franchised Units:']]"")"),"Loading...")</f>
        <v>Loading...</v>
      </c>
      <c r="Z172" s="24"/>
      <c r="AA172" s="14" t="str">
        <f t="shared" si="1"/>
        <v/>
      </c>
      <c r="AB172" s="19" t="str">
        <f ca="1">IFERROR(__xludf.DUMMYFUNCTION("IMPORTXML(AI172, ""//li[strong[text()='International Franchised Units:']]"")"),"Loading...")</f>
        <v>Loading...</v>
      </c>
      <c r="AC172" s="24"/>
      <c r="AD172" s="14" t="str">
        <f t="shared" si="2"/>
        <v/>
      </c>
      <c r="AE172" s="25" t="str">
        <f ca="1">IFERROR(__xludf.DUMMYFUNCTION("IMPORTXML(AI172, ""//li[strong[text()='Sales Growth %:']]"")"),"Loading...")</f>
        <v>Loading...</v>
      </c>
      <c r="AF172" s="24"/>
      <c r="AG172" s="25" t="str">
        <f ca="1">IFERROR(__xludf.DUMMYFUNCTION("IMPORTXML(AI172, ""//li[strong[text()='Unit Growth %:']]"")"),"Loading...")</f>
        <v>Loading...</v>
      </c>
      <c r="AH172" s="25"/>
      <c r="AI172" s="48" t="s">
        <v>185</v>
      </c>
      <c r="AJ172" s="27"/>
      <c r="AK172" s="27"/>
      <c r="AL172" s="27"/>
      <c r="AM172" s="27"/>
      <c r="AN172" s="27"/>
      <c r="AO172" s="27"/>
      <c r="AP172" s="27"/>
      <c r="AQ172" s="27"/>
    </row>
    <row r="173" spans="1:43" ht="14.25" customHeight="1">
      <c r="A173" s="42">
        <v>24.172000000000001</v>
      </c>
      <c r="B173" s="14">
        <v>2024</v>
      </c>
      <c r="C173" s="15">
        <v>172</v>
      </c>
      <c r="D173" s="16" t="str">
        <f ca="1">IFERROR(__xludf.DUMMYFUNCTION("IMPORTXML(AI173, ""//h1[@itemprop='headline']/span"")"),"172. Vanguard Cleaning Systems")</f>
        <v>172. Vanguard Cleaning Systems</v>
      </c>
      <c r="E173" s="17" t="str">
        <f ca="1">IFERROR(__xludf.DUMMYFUNCTION("REGEXEXTRACT(D173, ""\.\s*(.+)"")"),"Vanguard Cleaning Systems")</f>
        <v>Vanguard Cleaning Systems</v>
      </c>
      <c r="F173" s="18" t="str">
        <f ca="1">IFERROR(__xludf.DUMMYFUNCTION("IMPORTXML(AI173, ""//li[strong[text()='Investment Range:']]"")"),"Investment Range:")</f>
        <v>Investment Range:</v>
      </c>
      <c r="G173" s="43" t="str">
        <f ca="1">IFERROR(__xludf.DUMMYFUNCTION("""COMPUTED_VALUE""")," $147,750 - $462,000")</f>
        <v xml:space="preserve"> $147,750 - $462,000</v>
      </c>
      <c r="H173" s="18" t="str">
        <f ca="1">IFERROR(__xludf.DUMMYFUNCTION("SUBSTITUTE(REGEXEXTRACT(G173, ""\$(\d{1,3}(?:,\d{3})*)""), "","", ""."")
"),"147.750")</f>
        <v>147.750</v>
      </c>
      <c r="I173" s="19" t="str">
        <f ca="1">IFERROR(__xludf.DUMMYFUNCTION("SUBSTITUTE(REGEXEXTRACT(G173, ""-\s*\$(\d{1,3}(?:,\d{3})*)""), "","", ""."")
"),"462.000")</f>
        <v>462.000</v>
      </c>
      <c r="J173" s="19" t="str">
        <f ca="1">IFERROR(__xludf.DUMMYFUNCTION("IMPORTXML(AI173, ""//li[strong[text()='Initial Investment:']]"")"),"Loading...")</f>
        <v>Loading...</v>
      </c>
      <c r="K173" s="24"/>
      <c r="L173" s="20" t="str">
        <f ca="1">IFERROR(__xludf.DUMMYFUNCTION("IMPORTXML(AI173, ""//li[strong[text()='Category:']]"")"),"Loading...")</f>
        <v>Loading...</v>
      </c>
      <c r="M173" s="24"/>
      <c r="N173" s="19" t="str">
        <f ca="1">IFERROR(__xludf.DUMMYFUNCTION("IMPORTXML(AI173, ""//li[strong[text()='Global Sales:']]"")"),"Loading...")</f>
        <v>Loading...</v>
      </c>
      <c r="O173" s="24"/>
      <c r="P173" s="19" t="str">
        <f t="shared" si="0"/>
        <v/>
      </c>
      <c r="Q173" s="19" t="str">
        <f ca="1">IFERROR(__xludf.DUMMYFUNCTION("IMPORTXML(AI173, ""//li[strong[text()='US Units:']]"")"),"Loading...")</f>
        <v>Loading...</v>
      </c>
      <c r="R173" s="24"/>
      <c r="S173" s="19" t="str">
        <f ca="1">IFERROR(__xludf.DUMMYFUNCTION("IMPORTXML(AI173, ""//li[strong[text()='International Units:']]"")"),"Loading...")</f>
        <v>Loading...</v>
      </c>
      <c r="T173" s="44"/>
      <c r="U173" s="19" t="str">
        <f ca="1">IFERROR(__xludf.DUMMYFUNCTION("IMPORTXML(AI173, ""//li[strong[text()='Percent Franchised:']]"")"),"Loading...")</f>
        <v>Loading...</v>
      </c>
      <c r="V173" s="24"/>
      <c r="W173" s="19" t="str">
        <f ca="1">IFERROR(__xludf.DUMMYFUNCTION("IMPORTXML(AI173, ""//li[strong[text()='% International Units:']]"")"),"Loading...")</f>
        <v>Loading...</v>
      </c>
      <c r="X173" s="24"/>
      <c r="Y173" s="19" t="str">
        <f ca="1">IFERROR(__xludf.DUMMYFUNCTION("IMPORTXML(AI173, ""//li[strong[text()='US Franchised Units:']]"")"),"Loading...")</f>
        <v>Loading...</v>
      </c>
      <c r="Z173" s="24"/>
      <c r="AA173" s="14" t="str">
        <f t="shared" si="1"/>
        <v/>
      </c>
      <c r="AB173" s="19" t="str">
        <f ca="1">IFERROR(__xludf.DUMMYFUNCTION("IMPORTXML(AI173, ""//li[strong[text()='International Franchised Units:']]"")"),"Loading...")</f>
        <v>Loading...</v>
      </c>
      <c r="AC173" s="24"/>
      <c r="AD173" s="14" t="str">
        <f t="shared" si="2"/>
        <v/>
      </c>
      <c r="AE173" s="25" t="str">
        <f ca="1">IFERROR(__xludf.DUMMYFUNCTION("IMPORTXML(AI173, ""//li[strong[text()='Sales Growth %:']]"")"),"Loading...")</f>
        <v>Loading...</v>
      </c>
      <c r="AF173" s="24"/>
      <c r="AG173" s="25" t="str">
        <f ca="1">IFERROR(__xludf.DUMMYFUNCTION("IMPORTXML(AI173, ""//li[strong[text()='Unit Growth %:']]"")"),"Loading...")</f>
        <v>Loading...</v>
      </c>
      <c r="AH173" s="25"/>
      <c r="AI173" s="48" t="s">
        <v>186</v>
      </c>
      <c r="AJ173" s="27"/>
      <c r="AK173" s="27"/>
      <c r="AL173" s="27"/>
      <c r="AM173" s="27"/>
      <c r="AN173" s="27"/>
      <c r="AO173" s="27"/>
      <c r="AP173" s="27"/>
      <c r="AQ173" s="27"/>
    </row>
    <row r="174" spans="1:43" ht="14.25" customHeight="1">
      <c r="A174" s="42">
        <v>24.172999999999998</v>
      </c>
      <c r="B174" s="14">
        <v>2024</v>
      </c>
      <c r="C174" s="32">
        <v>173</v>
      </c>
      <c r="D174" s="16" t="str">
        <f ca="1">IFERROR(__xludf.DUMMYFUNCTION("IMPORTXML(AI174, ""//h1[@itemprop='headline']/span"")"),"79. Crunch Fitness")</f>
        <v>79. Crunch Fitness</v>
      </c>
      <c r="E174" s="17" t="str">
        <f ca="1">IFERROR(__xludf.DUMMYFUNCTION("REGEXEXTRACT(D174, ""\.\s*(.+)"")"),"Crunch Fitness")</f>
        <v>Crunch Fitness</v>
      </c>
      <c r="F174" s="18" t="str">
        <f ca="1">IFERROR(__xludf.DUMMYFUNCTION("IMPORTXML(AI174, ""//li[strong[text()='Investment Range:']]"")"),"#N/A")</f>
        <v>#N/A</v>
      </c>
      <c r="G174" s="43"/>
      <c r="H174" s="18" t="str">
        <f ca="1">IFERROR(__xludf.DUMMYFUNCTION("SUBSTITUTE(REGEXEXTRACT(G174, ""\$(\d{1,3}(?:,\d{3})*)""), "","", ""."")
"),"#N/A")</f>
        <v>#N/A</v>
      </c>
      <c r="I174" s="19" t="str">
        <f ca="1">IFERROR(__xludf.DUMMYFUNCTION("SUBSTITUTE(REGEXEXTRACT(G174, ""-\s*\$(\d{1,3}(?:,\d{3})*)""), "","", ""."")
"),"#N/A")</f>
        <v>#N/A</v>
      </c>
      <c r="J174" s="19" t="str">
        <f ca="1">IFERROR(__xludf.DUMMYFUNCTION("IMPORTXML(AI174, ""//li[strong[text()='Initial Investment:']]"")"),"Loading...")</f>
        <v>Loading...</v>
      </c>
      <c r="K174" s="24"/>
      <c r="L174" s="20" t="str">
        <f ca="1">IFERROR(__xludf.DUMMYFUNCTION("IMPORTXML(AI174, ""//li[strong[text()='Category:']]"")"),"Loading...")</f>
        <v>Loading...</v>
      </c>
      <c r="M174" s="24"/>
      <c r="N174" s="19" t="str">
        <f ca="1">IFERROR(__xludf.DUMMYFUNCTION("IMPORTXML(AI174, ""//li[strong[text()='Global Sales:']]"")"),"Loading...")</f>
        <v>Loading...</v>
      </c>
      <c r="O174" s="24"/>
      <c r="P174" s="19" t="str">
        <f t="shared" si="0"/>
        <v/>
      </c>
      <c r="Q174" s="19" t="str">
        <f ca="1">IFERROR(__xludf.DUMMYFUNCTION("IMPORTXML(AI174, ""//li[strong[text()='US Units:']]"")"),"Loading...")</f>
        <v>Loading...</v>
      </c>
      <c r="R174" s="24"/>
      <c r="S174" s="19" t="str">
        <f ca="1">IFERROR(__xludf.DUMMYFUNCTION("IMPORTXML(AI174, ""//li[strong[text()='International Units:']]"")"),"Loading...")</f>
        <v>Loading...</v>
      </c>
      <c r="T174" s="44"/>
      <c r="U174" s="19" t="str">
        <f ca="1">IFERROR(__xludf.DUMMYFUNCTION("IMPORTXML(AI174, ""//li[strong[text()='Percent Franchised:']]"")"),"Loading...")</f>
        <v>Loading...</v>
      </c>
      <c r="V174" s="24"/>
      <c r="W174" s="19" t="str">
        <f ca="1">IFERROR(__xludf.DUMMYFUNCTION("IMPORTXML(AI174, ""//li[strong[text()='% International Units:']]"")"),"Loading...")</f>
        <v>Loading...</v>
      </c>
      <c r="X174" s="24"/>
      <c r="Y174" s="19" t="str">
        <f ca="1">IFERROR(__xludf.DUMMYFUNCTION("IMPORTXML(AI174, ""//li[strong[text()='US Franchised Units:']]"")"),"Loading...")</f>
        <v>Loading...</v>
      </c>
      <c r="Z174" s="24"/>
      <c r="AA174" s="14" t="str">
        <f t="shared" si="1"/>
        <v/>
      </c>
      <c r="AB174" s="19" t="str">
        <f ca="1">IFERROR(__xludf.DUMMYFUNCTION("IMPORTXML(AI174, ""//li[strong[text()='International Franchised Units:']]"")"),"Loading...")</f>
        <v>Loading...</v>
      </c>
      <c r="AC174" s="24"/>
      <c r="AD174" s="14" t="str">
        <f t="shared" si="2"/>
        <v/>
      </c>
      <c r="AE174" s="25" t="str">
        <f ca="1">IFERROR(__xludf.DUMMYFUNCTION("IMPORTXML(AI174, ""//li[strong[text()='Sales Growth %:']]"")"),"Loading...")</f>
        <v>Loading...</v>
      </c>
      <c r="AF174" s="24"/>
      <c r="AG174" s="25" t="str">
        <f ca="1">IFERROR(__xludf.DUMMYFUNCTION("IMPORTXML(AI174, ""//li[strong[text()='Unit Growth %:']]"")"),"Loading...")</f>
        <v>Loading...</v>
      </c>
      <c r="AH174" s="25"/>
      <c r="AI174" s="48" t="s">
        <v>96</v>
      </c>
      <c r="AJ174" s="27"/>
      <c r="AK174" s="27"/>
      <c r="AL174" s="27"/>
      <c r="AM174" s="27"/>
      <c r="AN174" s="27"/>
      <c r="AO174" s="27"/>
      <c r="AP174" s="27"/>
      <c r="AQ174" s="27"/>
    </row>
    <row r="175" spans="1:43" ht="14.25" customHeight="1">
      <c r="A175" s="42">
        <v>24.173999999999999</v>
      </c>
      <c r="B175" s="14">
        <v>2024</v>
      </c>
      <c r="C175" s="36">
        <v>174</v>
      </c>
      <c r="D175" s="16" t="str">
        <f ca="1">IFERROR(__xludf.DUMMYFUNCTION("IMPORTXML(AI175, ""//h1[@itemprop='headline']/span"")"),"174. Schlotzsky’s Bakery Café")</f>
        <v>174. Schlotzsky’s Bakery Café</v>
      </c>
      <c r="E175" s="17" t="str">
        <f ca="1">IFERROR(__xludf.DUMMYFUNCTION("REGEXEXTRACT(D175, ""\.\s*(.+)"")"),"Schlotzsky’s Bakery Café")</f>
        <v>Schlotzsky’s Bakery Café</v>
      </c>
      <c r="F175" s="18" t="str">
        <f ca="1">IFERROR(__xludf.DUMMYFUNCTION("IMPORTXML(AI175, ""//li[strong[text()='Investment Range:']]"")"),"Investment Range:")</f>
        <v>Investment Range:</v>
      </c>
      <c r="G175" s="43" t="str">
        <f ca="1">IFERROR(__xludf.DUMMYFUNCTION("""COMPUTED_VALUE""")," $1,313,545 - $1,904,550 Estimated Initial Investment for Newly-Constructed 
Freestanding Location with Drive-Thru")</f>
        <v xml:space="preserve"> $1,313,545 - $1,904,550 Estimated Initial Investment for Newly-Constructed 
Freestanding Location with Drive-Thru</v>
      </c>
      <c r="H175" s="18" t="str">
        <f ca="1">IFERROR(__xludf.DUMMYFUNCTION("SUBSTITUTE(REGEXEXTRACT(G175, ""\$(\d{1,3}(?:,\d{3})*)""), "","", ""."")
"),"1.313.545")</f>
        <v>1.313.545</v>
      </c>
      <c r="I175" s="19" t="str">
        <f ca="1">IFERROR(__xludf.DUMMYFUNCTION("SUBSTITUTE(REGEXEXTRACT(G175, ""-\s*\$(\d{1,3}(?:,\d{3})*)""), "","", ""."")
"),"1.904.550")</f>
        <v>1.904.550</v>
      </c>
      <c r="J175" s="19" t="str">
        <f ca="1">IFERROR(__xludf.DUMMYFUNCTION("IMPORTXML(AI175, ""//li[strong[text()='Initial Investment:']]"")"),"Loading...")</f>
        <v>Loading...</v>
      </c>
      <c r="K175" s="24"/>
      <c r="L175" s="20" t="str">
        <f ca="1">IFERROR(__xludf.DUMMYFUNCTION("IMPORTXML(AI175, ""//li[strong[text()='Category:']]"")"),"Loading...")</f>
        <v>Loading...</v>
      </c>
      <c r="M175" s="24"/>
      <c r="N175" s="19" t="str">
        <f ca="1">IFERROR(__xludf.DUMMYFUNCTION("IMPORTXML(AI175, ""//li[strong[text()='Global Sales:']]"")"),"Loading...")</f>
        <v>Loading...</v>
      </c>
      <c r="O175" s="24"/>
      <c r="P175" s="19" t="str">
        <f t="shared" si="0"/>
        <v/>
      </c>
      <c r="Q175" s="19" t="str">
        <f ca="1">IFERROR(__xludf.DUMMYFUNCTION("IMPORTXML(AI175, ""//li[strong[text()='US Units:']]"")"),"#N/A")</f>
        <v>#N/A</v>
      </c>
      <c r="R175" s="24"/>
      <c r="S175" s="19" t="str">
        <f ca="1">IFERROR(__xludf.DUMMYFUNCTION("IMPORTXML(AI175, ""//li[strong[text()='International Units:']]"")"),"Loading...")</f>
        <v>Loading...</v>
      </c>
      <c r="T175" s="44"/>
      <c r="U175" s="19" t="str">
        <f ca="1">IFERROR(__xludf.DUMMYFUNCTION("IMPORTXML(AI175, ""//li[strong[text()='Percent Franchised:']]"")"),"Loading...")</f>
        <v>Loading...</v>
      </c>
      <c r="V175" s="24"/>
      <c r="W175" s="19" t="str">
        <f ca="1">IFERROR(__xludf.DUMMYFUNCTION("IMPORTXML(AI175, ""//li[strong[text()='% International Units:']]"")"),"Loading...")</f>
        <v>Loading...</v>
      </c>
      <c r="X175" s="24"/>
      <c r="Y175" s="19" t="str">
        <f ca="1">IFERROR(__xludf.DUMMYFUNCTION("IMPORTXML(AI175, ""//li[strong[text()='US Franchised Units:']]"")"),"Loading...")</f>
        <v>Loading...</v>
      </c>
      <c r="Z175" s="24"/>
      <c r="AA175" s="14" t="str">
        <f t="shared" si="1"/>
        <v/>
      </c>
      <c r="AB175" s="19" t="str">
        <f ca="1">IFERROR(__xludf.DUMMYFUNCTION("IMPORTXML(AI175, ""//li[strong[text()='International Franchised Units:']]"")"),"Loading...")</f>
        <v>Loading...</v>
      </c>
      <c r="AC175" s="24"/>
      <c r="AD175" s="14" t="str">
        <f t="shared" si="2"/>
        <v/>
      </c>
      <c r="AE175" s="25" t="str">
        <f ca="1">IFERROR(__xludf.DUMMYFUNCTION("IMPORTXML(AI175, ""//li[strong[text()='Sales Growth %:']]"")"),"Loading...")</f>
        <v>Loading...</v>
      </c>
      <c r="AF175" s="24"/>
      <c r="AG175" s="25" t="str">
        <f ca="1">IFERROR(__xludf.DUMMYFUNCTION("IMPORTXML(AI175, ""//li[strong[text()='Unit Growth %:']]"")"),"Loading...")</f>
        <v>Loading...</v>
      </c>
      <c r="AH175" s="25"/>
      <c r="AI175" s="48" t="s">
        <v>187</v>
      </c>
      <c r="AJ175" s="27"/>
      <c r="AK175" s="27"/>
      <c r="AL175" s="27"/>
      <c r="AM175" s="27"/>
      <c r="AN175" s="27"/>
      <c r="AO175" s="27"/>
      <c r="AP175" s="27"/>
      <c r="AQ175" s="27"/>
    </row>
    <row r="176" spans="1:43" ht="14.25" customHeight="1">
      <c r="A176" s="42">
        <v>24.175000000000001</v>
      </c>
      <c r="B176" s="14">
        <v>2024</v>
      </c>
      <c r="C176" s="36">
        <v>175</v>
      </c>
      <c r="D176" s="16" t="str">
        <f ca="1">IFERROR(__xludf.DUMMYFUNCTION("IMPORTXML(AI176, ""//h1[@itemprop='headline']/span"")"),"175. Cici's Pizza")</f>
        <v>175. Cici's Pizza</v>
      </c>
      <c r="E176" s="17" t="str">
        <f ca="1">IFERROR(__xludf.DUMMYFUNCTION("REGEXEXTRACT(D176, ""\.\s*(.+)"")"),"Cici's Pizza")</f>
        <v>Cici's Pizza</v>
      </c>
      <c r="F176" s="18" t="str">
        <f ca="1">IFERROR(__xludf.DUMMYFUNCTION("IMPORTXML(AI176, ""//li[strong[text()='Investment Range:']]"")"),"Investment Range:")</f>
        <v>Investment Range:</v>
      </c>
      <c r="G176" s="43" t="str">
        <f ca="1">IFERROR(__xludf.DUMMYFUNCTION("""COMPUTED_VALUE""")," $694,965 - $1,019,140")</f>
        <v xml:space="preserve"> $694,965 - $1,019,140</v>
      </c>
      <c r="H176" s="18" t="str">
        <f ca="1">IFERROR(__xludf.DUMMYFUNCTION("SUBSTITUTE(REGEXEXTRACT(G176, ""\$(\d{1,3}(?:,\d{3})*)""), "","", ""."")
"),"694.965")</f>
        <v>694.965</v>
      </c>
      <c r="I176" s="19" t="str">
        <f ca="1">IFERROR(__xludf.DUMMYFUNCTION("SUBSTITUTE(REGEXEXTRACT(G176, ""-\s*\$(\d{1,3}(?:,\d{3})*)""), "","", ""."")
"),"1.019.140")</f>
        <v>1.019.140</v>
      </c>
      <c r="J176" s="19" t="str">
        <f ca="1">IFERROR(__xludf.DUMMYFUNCTION("IMPORTXML(AI176, ""//li[strong[text()='Initial Investment:']]"")"),"Loading...")</f>
        <v>Loading...</v>
      </c>
      <c r="K176" s="24"/>
      <c r="L176" s="20" t="str">
        <f ca="1">IFERROR(__xludf.DUMMYFUNCTION("IMPORTXML(AI176, ""//li[strong[text()='Category:']]"")"),"Loading...")</f>
        <v>Loading...</v>
      </c>
      <c r="M176" s="24"/>
      <c r="N176" s="19" t="str">
        <f ca="1">IFERROR(__xludf.DUMMYFUNCTION("IMPORTXML(AI176, ""//li[strong[text()='Global Sales:']]"")"),"Loading...")</f>
        <v>Loading...</v>
      </c>
      <c r="O176" s="24"/>
      <c r="P176" s="19" t="str">
        <f t="shared" si="0"/>
        <v/>
      </c>
      <c r="Q176" s="19" t="str">
        <f ca="1">IFERROR(__xludf.DUMMYFUNCTION("IMPORTXML(AI176, ""//li[strong[text()='US Units:']]"")"),"Loading...")</f>
        <v>Loading...</v>
      </c>
      <c r="R176" s="24"/>
      <c r="S176" s="19" t="str">
        <f ca="1">IFERROR(__xludf.DUMMYFUNCTION("IMPORTXML(AI176, ""//li[strong[text()='International Units:']]"")"),"Loading...")</f>
        <v>Loading...</v>
      </c>
      <c r="T176" s="44"/>
      <c r="U176" s="19" t="str">
        <f ca="1">IFERROR(__xludf.DUMMYFUNCTION("IMPORTXML(AI176, ""//li[strong[text()='Percent Franchised:']]"")"),"Loading...")</f>
        <v>Loading...</v>
      </c>
      <c r="V176" s="24"/>
      <c r="W176" s="19" t="str">
        <f ca="1">IFERROR(__xludf.DUMMYFUNCTION("IMPORTXML(AI176, ""//li[strong[text()='% International Units:']]"")"),"Loading...")</f>
        <v>Loading...</v>
      </c>
      <c r="X176" s="24"/>
      <c r="Y176" s="19" t="str">
        <f ca="1">IFERROR(__xludf.DUMMYFUNCTION("IMPORTXML(AI176, ""//li[strong[text()='US Franchised Units:']]"")"),"Loading...")</f>
        <v>Loading...</v>
      </c>
      <c r="Z176" s="24"/>
      <c r="AA176" s="14" t="str">
        <f t="shared" si="1"/>
        <v/>
      </c>
      <c r="AB176" s="19" t="str">
        <f ca="1">IFERROR(__xludf.DUMMYFUNCTION("IMPORTXML(AI176, ""//li[strong[text()='International Franchised Units:']]"")"),"Loading...")</f>
        <v>Loading...</v>
      </c>
      <c r="AC176" s="24"/>
      <c r="AD176" s="14" t="str">
        <f t="shared" si="2"/>
        <v/>
      </c>
      <c r="AE176" s="25" t="str">
        <f ca="1">IFERROR(__xludf.DUMMYFUNCTION("IMPORTXML(AI176, ""//li[strong[text()='Sales Growth %:']]"")"),"Loading...")</f>
        <v>Loading...</v>
      </c>
      <c r="AF176" s="24"/>
      <c r="AG176" s="25" t="str">
        <f ca="1">IFERROR(__xludf.DUMMYFUNCTION("IMPORTXML(AI176, ""//li[strong[text()='Unit Growth %:']]"")"),"Loading...")</f>
        <v>Loading...</v>
      </c>
      <c r="AH176" s="25"/>
      <c r="AI176" s="48" t="s">
        <v>188</v>
      </c>
      <c r="AJ176" s="27"/>
      <c r="AK176" s="27"/>
      <c r="AL176" s="27"/>
      <c r="AM176" s="27"/>
      <c r="AN176" s="27"/>
      <c r="AO176" s="27"/>
      <c r="AP176" s="27"/>
      <c r="AQ176" s="27"/>
    </row>
    <row r="177" spans="1:43" ht="14.25" customHeight="1">
      <c r="A177" s="42">
        <v>24.175999999999998</v>
      </c>
      <c r="B177" s="14">
        <v>2024</v>
      </c>
      <c r="C177" s="15">
        <v>176</v>
      </c>
      <c r="D177" s="16" t="str">
        <f ca="1">IFERROR(__xludf.DUMMYFUNCTION("IMPORTXML(AI177, ""//h1[@itemprop='headline']/span"")"),"176. Pizza Ranch")</f>
        <v>176. Pizza Ranch</v>
      </c>
      <c r="E177" s="17" t="str">
        <f ca="1">IFERROR(__xludf.DUMMYFUNCTION("REGEXEXTRACT(D177, ""\.\s*(.+)"")"),"Pizza Ranch")</f>
        <v>Pizza Ranch</v>
      </c>
      <c r="F177" s="18" t="str">
        <f ca="1">IFERROR(__xludf.DUMMYFUNCTION("IMPORTXML(AI177, ""//li[strong[text()='Investment Range:']]"")"),"Investment Range:")</f>
        <v>Investment Range:</v>
      </c>
      <c r="G177" s="43" t="str">
        <f ca="1">IFERROR(__xludf.DUMMYFUNCTION("""COMPUTED_VALUE""")," $1,853,500 - $2,849,500")</f>
        <v xml:space="preserve"> $1,853,500 - $2,849,500</v>
      </c>
      <c r="H177" s="18" t="str">
        <f ca="1">IFERROR(__xludf.DUMMYFUNCTION("SUBSTITUTE(REGEXEXTRACT(G177, ""\$(\d{1,3}(?:,\d{3})*)""), "","", ""."")
"),"1.853.500")</f>
        <v>1.853.500</v>
      </c>
      <c r="I177" s="19" t="str">
        <f ca="1">IFERROR(__xludf.DUMMYFUNCTION("SUBSTITUTE(REGEXEXTRACT(G177, ""-\s*\$(\d{1,3}(?:,\d{3})*)""), "","", ""."")
"),"2.849.500")</f>
        <v>2.849.500</v>
      </c>
      <c r="J177" s="19" t="str">
        <f ca="1">IFERROR(__xludf.DUMMYFUNCTION("IMPORTXML(AI177, ""//li[strong[text()='Initial Investment:']]"")"),"Loading...")</f>
        <v>Loading...</v>
      </c>
      <c r="K177" s="24"/>
      <c r="L177" s="20" t="str">
        <f ca="1">IFERROR(__xludf.DUMMYFUNCTION("IMPORTXML(AI177, ""//li[strong[text()='Category:']]"")"),"Loading...")</f>
        <v>Loading...</v>
      </c>
      <c r="M177" s="24"/>
      <c r="N177" s="19" t="str">
        <f ca="1">IFERROR(__xludf.DUMMYFUNCTION("IMPORTXML(AI177, ""//li[strong[text()='Global Sales:']]"")"),"Loading...")</f>
        <v>Loading...</v>
      </c>
      <c r="O177" s="24"/>
      <c r="P177" s="19" t="str">
        <f t="shared" si="0"/>
        <v/>
      </c>
      <c r="Q177" s="19" t="str">
        <f ca="1">IFERROR(__xludf.DUMMYFUNCTION("IMPORTXML(AI177, ""//li[strong[text()='US Units:']]"")"),"Loading...")</f>
        <v>Loading...</v>
      </c>
      <c r="R177" s="24"/>
      <c r="S177" s="19" t="str">
        <f ca="1">IFERROR(__xludf.DUMMYFUNCTION("IMPORTXML(AI177, ""//li[strong[text()='International Units:']]"")"),"Loading...")</f>
        <v>Loading...</v>
      </c>
      <c r="T177" s="44"/>
      <c r="U177" s="19" t="str">
        <f ca="1">IFERROR(__xludf.DUMMYFUNCTION("IMPORTXML(AI177, ""//li[strong[text()='Percent Franchised:']]"")"),"Loading...")</f>
        <v>Loading...</v>
      </c>
      <c r="V177" s="24"/>
      <c r="W177" s="19" t="str">
        <f ca="1">IFERROR(__xludf.DUMMYFUNCTION("IMPORTXML(AI177, ""//li[strong[text()='% International Units:']]"")"),"Loading...")</f>
        <v>Loading...</v>
      </c>
      <c r="X177" s="24"/>
      <c r="Y177" s="19" t="str">
        <f ca="1">IFERROR(__xludf.DUMMYFUNCTION("IMPORTXML(AI177, ""//li[strong[text()='US Franchised Units:']]"")"),"Loading...")</f>
        <v>Loading...</v>
      </c>
      <c r="Z177" s="24"/>
      <c r="AA177" s="14" t="str">
        <f t="shared" si="1"/>
        <v/>
      </c>
      <c r="AB177" s="19" t="str">
        <f ca="1">IFERROR(__xludf.DUMMYFUNCTION("IMPORTXML(AI177, ""//li[strong[text()='International Franchised Units:']]"")"),"Loading...")</f>
        <v>Loading...</v>
      </c>
      <c r="AC177" s="24"/>
      <c r="AD177" s="14" t="str">
        <f t="shared" si="2"/>
        <v/>
      </c>
      <c r="AE177" s="25" t="str">
        <f ca="1">IFERROR(__xludf.DUMMYFUNCTION("IMPORTXML(AI177, ""//li[strong[text()='Sales Growth %:']]"")"),"Loading...")</f>
        <v>Loading...</v>
      </c>
      <c r="AF177" s="24"/>
      <c r="AG177" s="25" t="str">
        <f ca="1">IFERROR(__xludf.DUMMYFUNCTION("IMPORTXML(AI177, ""//li[strong[text()='Unit Growth %:']]"")"),"Loading...")</f>
        <v>Loading...</v>
      </c>
      <c r="AH177" s="25"/>
      <c r="AI177" s="48" t="s">
        <v>189</v>
      </c>
      <c r="AJ177" s="27"/>
      <c r="AK177" s="27"/>
      <c r="AL177" s="27"/>
      <c r="AM177" s="27"/>
      <c r="AN177" s="27"/>
      <c r="AO177" s="27"/>
      <c r="AP177" s="27"/>
      <c r="AQ177" s="27"/>
    </row>
    <row r="178" spans="1:43" ht="14.25" customHeight="1">
      <c r="A178" s="42">
        <v>24.177</v>
      </c>
      <c r="B178" s="14">
        <v>2024</v>
      </c>
      <c r="C178" s="32">
        <v>177</v>
      </c>
      <c r="D178" s="16" t="str">
        <f ca="1">IFERROR(__xludf.DUMMYFUNCTION("IMPORTXML(AI178, ""//h1[@itemprop='headline']/span"")"),"177. Chicken Salad Chick")</f>
        <v>177. Chicken Salad Chick</v>
      </c>
      <c r="E178" s="17" t="str">
        <f ca="1">IFERROR(__xludf.DUMMYFUNCTION("REGEXEXTRACT(D178, ""\.\s*(.+)"")"),"Chicken Salad Chick")</f>
        <v>Chicken Salad Chick</v>
      </c>
      <c r="F178" s="18" t="str">
        <f ca="1">IFERROR(__xludf.DUMMYFUNCTION("IMPORTXML(AI178, ""//li[strong[text()='Investment Range:']]"")"),"Investment Range:")</f>
        <v>Investment Range:</v>
      </c>
      <c r="G178" s="43" t="str">
        <f ca="1">IFERROR(__xludf.DUMMYFUNCTION("""COMPUTED_VALUE""")," $747,000 - $964,500")</f>
        <v xml:space="preserve"> $747,000 - $964,500</v>
      </c>
      <c r="H178" s="18" t="str">
        <f ca="1">IFERROR(__xludf.DUMMYFUNCTION("SUBSTITUTE(REGEXEXTRACT(G178, ""\$(\d{1,3}(?:,\d{3})*)""), "","", ""."")
"),"747.000")</f>
        <v>747.000</v>
      </c>
      <c r="I178" s="19" t="str">
        <f ca="1">IFERROR(__xludf.DUMMYFUNCTION("SUBSTITUTE(REGEXEXTRACT(G178, ""-\s*\$(\d{1,3}(?:,\d{3})*)""), "","", ""."")
"),"964.500")</f>
        <v>964.500</v>
      </c>
      <c r="J178" s="19" t="str">
        <f ca="1">IFERROR(__xludf.DUMMYFUNCTION("IMPORTXML(AI178, ""//li[strong[text()='Initial Investment:']]"")"),"Loading...")</f>
        <v>Loading...</v>
      </c>
      <c r="K178" s="24"/>
      <c r="L178" s="20" t="str">
        <f ca="1">IFERROR(__xludf.DUMMYFUNCTION("IMPORTXML(AI178, ""//li[strong[text()='Category:']]"")"),"Loading...")</f>
        <v>Loading...</v>
      </c>
      <c r="M178" s="24"/>
      <c r="N178" s="19" t="str">
        <f ca="1">IFERROR(__xludf.DUMMYFUNCTION("IMPORTXML(AI178, ""//li[strong[text()='Global Sales:']]"")"),"Loading...")</f>
        <v>Loading...</v>
      </c>
      <c r="O178" s="24"/>
      <c r="P178" s="19" t="str">
        <f t="shared" si="0"/>
        <v/>
      </c>
      <c r="Q178" s="19" t="str">
        <f ca="1">IFERROR(__xludf.DUMMYFUNCTION("IMPORTXML(AI178, ""//li[strong[text()='US Units:']]"")"),"Loading...")</f>
        <v>Loading...</v>
      </c>
      <c r="R178" s="24"/>
      <c r="S178" s="19" t="str">
        <f ca="1">IFERROR(__xludf.DUMMYFUNCTION("IMPORTXML(AI178, ""//li[strong[text()='International Units:']]"")"),"Loading...")</f>
        <v>Loading...</v>
      </c>
      <c r="T178" s="44"/>
      <c r="U178" s="19" t="str">
        <f ca="1">IFERROR(__xludf.DUMMYFUNCTION("IMPORTXML(AI178, ""//li[strong[text()='Percent Franchised:']]"")"),"Loading...")</f>
        <v>Loading...</v>
      </c>
      <c r="V178" s="24"/>
      <c r="W178" s="19" t="str">
        <f ca="1">IFERROR(__xludf.DUMMYFUNCTION("IMPORTXML(AI178, ""//li[strong[text()='% International Units:']]"")"),"Loading...")</f>
        <v>Loading...</v>
      </c>
      <c r="X178" s="24"/>
      <c r="Y178" s="19" t="str">
        <f ca="1">IFERROR(__xludf.DUMMYFUNCTION("IMPORTXML(AI178, ""//li[strong[text()='US Franchised Units:']]"")"),"Loading...")</f>
        <v>Loading...</v>
      </c>
      <c r="Z178" s="24"/>
      <c r="AA178" s="14" t="str">
        <f t="shared" si="1"/>
        <v/>
      </c>
      <c r="AB178" s="19" t="str">
        <f ca="1">IFERROR(__xludf.DUMMYFUNCTION("IMPORTXML(AI178, ""//li[strong[text()='International Franchised Units:']]"")"),"Loading...")</f>
        <v>Loading...</v>
      </c>
      <c r="AC178" s="24"/>
      <c r="AD178" s="14" t="str">
        <f t="shared" si="2"/>
        <v/>
      </c>
      <c r="AE178" s="25" t="str">
        <f ca="1">IFERROR(__xludf.DUMMYFUNCTION("IMPORTXML(AI178, ""//li[strong[text()='Sales Growth %:']]"")"),"Loading...")</f>
        <v>Loading...</v>
      </c>
      <c r="AF178" s="24"/>
      <c r="AG178" s="25" t="str">
        <f ca="1">IFERROR(__xludf.DUMMYFUNCTION("IMPORTXML(AI178, ""//li[strong[text()='Unit Growth %:']]"")"),"Loading...")</f>
        <v>Loading...</v>
      </c>
      <c r="AH178" s="25"/>
      <c r="AI178" s="48" t="s">
        <v>184</v>
      </c>
      <c r="AJ178" s="27"/>
      <c r="AK178" s="27"/>
      <c r="AL178" s="27"/>
      <c r="AM178" s="27"/>
      <c r="AN178" s="27"/>
      <c r="AO178" s="27"/>
      <c r="AP178" s="27"/>
      <c r="AQ178" s="27"/>
    </row>
    <row r="179" spans="1:43" ht="14.25" customHeight="1">
      <c r="A179" s="42">
        <v>24.178000000000001</v>
      </c>
      <c r="B179" s="14">
        <v>2024</v>
      </c>
      <c r="C179" s="36">
        <v>178</v>
      </c>
      <c r="D179" s="16" t="str">
        <f ca="1">IFERROR(__xludf.DUMMYFUNCTION("IMPORTXML(AI179, ""//h1[@itemprop='headline']/span"")"),"178. Weed Man")</f>
        <v>178. Weed Man</v>
      </c>
      <c r="E179" s="17" t="str">
        <f ca="1">IFERROR(__xludf.DUMMYFUNCTION("REGEXEXTRACT(D179, ""\.\s*(.+)"")"),"Weed Man")</f>
        <v>Weed Man</v>
      </c>
      <c r="F179" s="18" t="str">
        <f ca="1">IFERROR(__xludf.DUMMYFUNCTION("IMPORTXML(AI179, ""//li[strong[text()='Investment Range:']]"")"),"Investment Range:")</f>
        <v>Investment Range:</v>
      </c>
      <c r="G179" s="43" t="str">
        <f ca="1">IFERROR(__xludf.DUMMYFUNCTION("""COMPUTED_VALUE""")," $80,535 - $107,785")</f>
        <v xml:space="preserve"> $80,535 - $107,785</v>
      </c>
      <c r="H179" s="18" t="str">
        <f ca="1">IFERROR(__xludf.DUMMYFUNCTION("SUBSTITUTE(REGEXEXTRACT(G179, ""\$(\d{1,3}(?:,\d{3})*)""), "","", ""."")
"),"80.535")</f>
        <v>80.535</v>
      </c>
      <c r="I179" s="19" t="str">
        <f ca="1">IFERROR(__xludf.DUMMYFUNCTION("SUBSTITUTE(REGEXEXTRACT(G179, ""-\s*\$(\d{1,3}(?:,\d{3})*)""), "","", ""."")
"),"107.785")</f>
        <v>107.785</v>
      </c>
      <c r="J179" s="19" t="str">
        <f ca="1">IFERROR(__xludf.DUMMYFUNCTION("IMPORTXML(AI179, ""//li[strong[text()='Initial Investment:']]"")"),"Loading...")</f>
        <v>Loading...</v>
      </c>
      <c r="K179" s="24"/>
      <c r="L179" s="20" t="str">
        <f ca="1">IFERROR(__xludf.DUMMYFUNCTION("IMPORTXML(AI179, ""//li[strong[text()='Category:']]"")"),"Loading...")</f>
        <v>Loading...</v>
      </c>
      <c r="M179" s="24"/>
      <c r="N179" s="19" t="str">
        <f ca="1">IFERROR(__xludf.DUMMYFUNCTION("IMPORTXML(AI179, ""//li[strong[text()='Global Sales:']]"")"),"Loading...")</f>
        <v>Loading...</v>
      </c>
      <c r="O179" s="24"/>
      <c r="P179" s="19" t="str">
        <f t="shared" si="0"/>
        <v/>
      </c>
      <c r="Q179" s="19" t="str">
        <f ca="1">IFERROR(__xludf.DUMMYFUNCTION("IMPORTXML(AI179, ""//li[strong[text()='US Units:']]"")"),"Loading...")</f>
        <v>Loading...</v>
      </c>
      <c r="R179" s="24"/>
      <c r="S179" s="19" t="str">
        <f ca="1">IFERROR(__xludf.DUMMYFUNCTION("IMPORTXML(AI179, ""//li[strong[text()='International Units:']]"")"),"Loading...")</f>
        <v>Loading...</v>
      </c>
      <c r="T179" s="44"/>
      <c r="U179" s="19" t="str">
        <f ca="1">IFERROR(__xludf.DUMMYFUNCTION("IMPORTXML(AI179, ""//li[strong[text()='Percent Franchised:']]"")"),"Loading...")</f>
        <v>Loading...</v>
      </c>
      <c r="V179" s="24"/>
      <c r="W179" s="19" t="str">
        <f ca="1">IFERROR(__xludf.DUMMYFUNCTION("IMPORTXML(AI179, ""//li[strong[text()='% International Units:']]"")"),"Loading...")</f>
        <v>Loading...</v>
      </c>
      <c r="X179" s="24"/>
      <c r="Y179" s="19" t="str">
        <f ca="1">IFERROR(__xludf.DUMMYFUNCTION("IMPORTXML(AI179, ""//li[strong[text()='US Franchised Units:']]"")"),"Loading...")</f>
        <v>Loading...</v>
      </c>
      <c r="Z179" s="24"/>
      <c r="AA179" s="14" t="str">
        <f t="shared" si="1"/>
        <v/>
      </c>
      <c r="AB179" s="19" t="str">
        <f ca="1">IFERROR(__xludf.DUMMYFUNCTION("IMPORTXML(AI179, ""//li[strong[text()='International Franchised Units:']]"")"),"Loading...")</f>
        <v>Loading...</v>
      </c>
      <c r="AC179" s="24"/>
      <c r="AD179" s="14" t="str">
        <f t="shared" si="2"/>
        <v/>
      </c>
      <c r="AE179" s="25" t="str">
        <f ca="1">IFERROR(__xludf.DUMMYFUNCTION("IMPORTXML(AI179, ""//li[strong[text()='Sales Growth %:']]"")"),"Loading...")</f>
        <v>Loading...</v>
      </c>
      <c r="AF179" s="24"/>
      <c r="AG179" s="25" t="str">
        <f ca="1">IFERROR(__xludf.DUMMYFUNCTION("IMPORTXML(AI179, ""//li[strong[text()='Unit Growth %:']]"")"),"Loading...")</f>
        <v>Loading...</v>
      </c>
      <c r="AH179" s="25"/>
      <c r="AI179" s="48" t="s">
        <v>190</v>
      </c>
      <c r="AJ179" s="27"/>
      <c r="AK179" s="27"/>
      <c r="AL179" s="27"/>
      <c r="AM179" s="27"/>
      <c r="AN179" s="27"/>
      <c r="AO179" s="27"/>
      <c r="AP179" s="27"/>
      <c r="AQ179" s="27"/>
    </row>
    <row r="180" spans="1:43" ht="14.25" customHeight="1">
      <c r="A180" s="42">
        <v>24.178999999999998</v>
      </c>
      <c r="B180" s="14">
        <v>2024</v>
      </c>
      <c r="C180" s="36">
        <v>179</v>
      </c>
      <c r="D180" s="16" t="str">
        <f ca="1">IFERROR(__xludf.DUMMYFUNCTION("IMPORTXML(AI180, ""//h1[@itemprop='headline']/span"")"),"179. Mathnasium Learning Centers")</f>
        <v>179. Mathnasium Learning Centers</v>
      </c>
      <c r="E180" s="17" t="str">
        <f ca="1">IFERROR(__xludf.DUMMYFUNCTION("REGEXEXTRACT(D180, ""\.\s*(.+)"")"),"Mathnasium Learning Centers")</f>
        <v>Mathnasium Learning Centers</v>
      </c>
      <c r="F180" s="18" t="str">
        <f ca="1">IFERROR(__xludf.DUMMYFUNCTION("IMPORTXML(AI180, ""//li[strong[text()='Investment Range:']]"")"),"Investment Range:")</f>
        <v>Investment Range:</v>
      </c>
      <c r="G180" s="43" t="str">
        <f ca="1">IFERROR(__xludf.DUMMYFUNCTION("""COMPUTED_VALUE""")," $112,936 - $149,616")</f>
        <v xml:space="preserve"> $112,936 - $149,616</v>
      </c>
      <c r="H180" s="18" t="str">
        <f ca="1">IFERROR(__xludf.DUMMYFUNCTION("SUBSTITUTE(REGEXEXTRACT(G180, ""\$(\d{1,3}(?:,\d{3})*)""), "","", ""."")
"),"112.936")</f>
        <v>112.936</v>
      </c>
      <c r="I180" s="19" t="str">
        <f ca="1">IFERROR(__xludf.DUMMYFUNCTION("SUBSTITUTE(REGEXEXTRACT(G180, ""-\s*\$(\d{1,3}(?:,\d{3})*)""), "","", ""."")
"),"149.616")</f>
        <v>149.616</v>
      </c>
      <c r="J180" s="19" t="str">
        <f ca="1">IFERROR(__xludf.DUMMYFUNCTION("IMPORTXML(AI180, ""//li[strong[text()='Initial Investment:']]"")"),"Loading...")</f>
        <v>Loading...</v>
      </c>
      <c r="K180" s="24"/>
      <c r="L180" s="20" t="str">
        <f ca="1">IFERROR(__xludf.DUMMYFUNCTION("IMPORTXML(AI180, ""//li[strong[text()='Category:']]"")"),"Loading...")</f>
        <v>Loading...</v>
      </c>
      <c r="M180" s="24"/>
      <c r="N180" s="19" t="str">
        <f ca="1">IFERROR(__xludf.DUMMYFUNCTION("IMPORTXML(AI180, ""//li[strong[text()='Global Sales:']]"")"),"Loading...")</f>
        <v>Loading...</v>
      </c>
      <c r="O180" s="24"/>
      <c r="P180" s="19" t="str">
        <f t="shared" si="0"/>
        <v/>
      </c>
      <c r="Q180" s="19" t="str">
        <f ca="1">IFERROR(__xludf.DUMMYFUNCTION("IMPORTXML(AI180, ""//li[strong[text()='US Units:']]"")"),"Loading...")</f>
        <v>Loading...</v>
      </c>
      <c r="R180" s="24"/>
      <c r="S180" s="19" t="str">
        <f ca="1">IFERROR(__xludf.DUMMYFUNCTION("IMPORTXML(AI180, ""//li[strong[text()='International Units:']]"")"),"Loading...")</f>
        <v>Loading...</v>
      </c>
      <c r="T180" s="44"/>
      <c r="U180" s="19" t="str">
        <f ca="1">IFERROR(__xludf.DUMMYFUNCTION("IMPORTXML(AI180, ""//li[strong[text()='Percent Franchised:']]"")"),"Loading...")</f>
        <v>Loading...</v>
      </c>
      <c r="V180" s="24"/>
      <c r="W180" s="19" t="str">
        <f ca="1">IFERROR(__xludf.DUMMYFUNCTION("IMPORTXML(AI180, ""//li[strong[text()='% International Units:']]"")"),"Loading...")</f>
        <v>Loading...</v>
      </c>
      <c r="X180" s="24"/>
      <c r="Y180" s="19" t="str">
        <f ca="1">IFERROR(__xludf.DUMMYFUNCTION("IMPORTXML(AI180, ""//li[strong[text()='US Franchised Units:']]"")"),"Loading...")</f>
        <v>Loading...</v>
      </c>
      <c r="Z180" s="24"/>
      <c r="AA180" s="14" t="str">
        <f t="shared" si="1"/>
        <v/>
      </c>
      <c r="AB180" s="19" t="str">
        <f ca="1">IFERROR(__xludf.DUMMYFUNCTION("IMPORTXML(AI180, ""//li[strong[text()='International Franchised Units:']]"")"),"Loading...")</f>
        <v>Loading...</v>
      </c>
      <c r="AC180" s="24"/>
      <c r="AD180" s="14" t="str">
        <f t="shared" si="2"/>
        <v/>
      </c>
      <c r="AE180" s="25" t="str">
        <f ca="1">IFERROR(__xludf.DUMMYFUNCTION("IMPORTXML(AI180, ""//li[strong[text()='Sales Growth %:']]"")"),"Loading...")</f>
        <v>Loading...</v>
      </c>
      <c r="AF180" s="24"/>
      <c r="AG180" s="25" t="str">
        <f ca="1">IFERROR(__xludf.DUMMYFUNCTION("IMPORTXML(AI180, ""//li[strong[text()='Unit Growth %:']]"")"),"Loading...")</f>
        <v>Loading...</v>
      </c>
      <c r="AH180" s="25"/>
      <c r="AI180" s="48" t="s">
        <v>191</v>
      </c>
      <c r="AJ180" s="27"/>
      <c r="AK180" s="27"/>
      <c r="AL180" s="27"/>
      <c r="AM180" s="27"/>
      <c r="AN180" s="27"/>
      <c r="AO180" s="27"/>
      <c r="AP180" s="27"/>
      <c r="AQ180" s="27"/>
    </row>
    <row r="181" spans="1:43" ht="14.25" customHeight="1">
      <c r="A181" s="42">
        <v>24.18</v>
      </c>
      <c r="B181" s="14">
        <v>2024</v>
      </c>
      <c r="C181" s="15">
        <v>180</v>
      </c>
      <c r="D181" s="16" t="str">
        <f ca="1">IFERROR(__xludf.DUMMYFUNCTION("IMPORTXML(AI181, ""//h1[@itemprop='headline']/span"")"),"180. AtWork Group")</f>
        <v>180. AtWork Group</v>
      </c>
      <c r="E181" s="17" t="str">
        <f ca="1">IFERROR(__xludf.DUMMYFUNCTION("REGEXEXTRACT(D181, ""\.\s*(.+)"")"),"AtWork Group")</f>
        <v>AtWork Group</v>
      </c>
      <c r="F181" s="18" t="str">
        <f ca="1">IFERROR(__xludf.DUMMYFUNCTION("IMPORTXML(AI181, ""//li[strong[text()='Investment Range:']]"")"),"Investment Range:")</f>
        <v>Investment Range:</v>
      </c>
      <c r="G181" s="43" t="str">
        <f ca="1">IFERROR(__xludf.DUMMYFUNCTION("""COMPUTED_VALUE""")," $153,500 - $210,500")</f>
        <v xml:space="preserve"> $153,500 - $210,500</v>
      </c>
      <c r="H181" s="18" t="str">
        <f ca="1">IFERROR(__xludf.DUMMYFUNCTION("SUBSTITUTE(REGEXEXTRACT(G181, ""\$(\d{1,3}(?:,\d{3})*)""), "","", ""."")
"),"153.500")</f>
        <v>153.500</v>
      </c>
      <c r="I181" s="19" t="str">
        <f ca="1">IFERROR(__xludf.DUMMYFUNCTION("SUBSTITUTE(REGEXEXTRACT(G181, ""-\s*\$(\d{1,3}(?:,\d{3})*)""), "","", ""."")
"),"210.500")</f>
        <v>210.500</v>
      </c>
      <c r="J181" s="19" t="str">
        <f ca="1">IFERROR(__xludf.DUMMYFUNCTION("IMPORTXML(AI181, ""//li[strong[text()='Initial Investment:']]"")"),"Loading...")</f>
        <v>Loading...</v>
      </c>
      <c r="K181" s="24"/>
      <c r="L181" s="20" t="str">
        <f ca="1">IFERROR(__xludf.DUMMYFUNCTION("IMPORTXML(AI181, ""//li[strong[text()='Category:']]"")"),"Loading...")</f>
        <v>Loading...</v>
      </c>
      <c r="M181" s="24"/>
      <c r="N181" s="19" t="str">
        <f ca="1">IFERROR(__xludf.DUMMYFUNCTION("IMPORTXML(AI181, ""//li[strong[text()='Global Sales:']]"")"),"Loading...")</f>
        <v>Loading...</v>
      </c>
      <c r="O181" s="24"/>
      <c r="P181" s="19" t="str">
        <f t="shared" si="0"/>
        <v/>
      </c>
      <c r="Q181" s="19" t="str">
        <f ca="1">IFERROR(__xludf.DUMMYFUNCTION("IMPORTXML(AI181, ""//li[strong[text()='US Units:']]"")"),"Loading...")</f>
        <v>Loading...</v>
      </c>
      <c r="R181" s="24"/>
      <c r="S181" s="19" t="str">
        <f ca="1">IFERROR(__xludf.DUMMYFUNCTION("IMPORTXML(AI181, ""//li[strong[text()='International Units:']]"")"),"Loading...")</f>
        <v>Loading...</v>
      </c>
      <c r="T181" s="44"/>
      <c r="U181" s="19" t="str">
        <f ca="1">IFERROR(__xludf.DUMMYFUNCTION("IMPORTXML(AI181, ""//li[strong[text()='Percent Franchised:']]"")"),"Loading...")</f>
        <v>Loading...</v>
      </c>
      <c r="V181" s="24"/>
      <c r="W181" s="19" t="str">
        <f ca="1">IFERROR(__xludf.DUMMYFUNCTION("IMPORTXML(AI181, ""//li[strong[text()='% International Units:']]"")"),"Loading...")</f>
        <v>Loading...</v>
      </c>
      <c r="X181" s="24"/>
      <c r="Y181" s="19" t="str">
        <f ca="1">IFERROR(__xludf.DUMMYFUNCTION("IMPORTXML(AI181, ""//li[strong[text()='US Franchised Units:']]"")"),"Loading...")</f>
        <v>Loading...</v>
      </c>
      <c r="Z181" s="24"/>
      <c r="AA181" s="14" t="str">
        <f t="shared" si="1"/>
        <v/>
      </c>
      <c r="AB181" s="19" t="str">
        <f ca="1">IFERROR(__xludf.DUMMYFUNCTION("IMPORTXML(AI181, ""//li[strong[text()='International Franchised Units:']]"")"),"Loading...")</f>
        <v>Loading...</v>
      </c>
      <c r="AC181" s="24"/>
      <c r="AD181" s="14" t="str">
        <f t="shared" si="2"/>
        <v/>
      </c>
      <c r="AE181" s="25" t="str">
        <f ca="1">IFERROR(__xludf.DUMMYFUNCTION("IMPORTXML(AI181, ""//li[strong[text()='Sales Growth %:']]"")"),"Loading...")</f>
        <v>Loading...</v>
      </c>
      <c r="AF181" s="24"/>
      <c r="AG181" s="25" t="str">
        <f ca="1">IFERROR(__xludf.DUMMYFUNCTION("IMPORTXML(AI181, ""//li[strong[text()='Unit Growth %:']]"")"),"Loading...")</f>
        <v>Loading...</v>
      </c>
      <c r="AH181" s="25"/>
      <c r="AI181" s="48" t="s">
        <v>192</v>
      </c>
      <c r="AJ181" s="27"/>
      <c r="AK181" s="27"/>
      <c r="AL181" s="27"/>
      <c r="AM181" s="27"/>
      <c r="AN181" s="27"/>
      <c r="AO181" s="27"/>
      <c r="AP181" s="27"/>
      <c r="AQ181" s="27"/>
    </row>
    <row r="182" spans="1:43" ht="14.25" customHeight="1">
      <c r="A182" s="42">
        <v>24.181000000000001</v>
      </c>
      <c r="B182" s="14">
        <v>2024</v>
      </c>
      <c r="C182" s="32">
        <v>181</v>
      </c>
      <c r="D182" s="16" t="str">
        <f ca="1">IFERROR(__xludf.DUMMYFUNCTION("IMPORTXML(AI182, ""//h1[@itemprop='headline']/span"")"),"181. Bonchon")</f>
        <v>181. Bonchon</v>
      </c>
      <c r="E182" s="17" t="str">
        <f ca="1">IFERROR(__xludf.DUMMYFUNCTION("REGEXEXTRACT(D182, ""\.\s*(.+)"")"),"Bonchon")</f>
        <v>Bonchon</v>
      </c>
      <c r="F182" s="18" t="str">
        <f ca="1">IFERROR(__xludf.DUMMYFUNCTION("IMPORTXML(AI182, ""//li[strong[text()='Investment Range:']]"")"),"#N/A")</f>
        <v>#N/A</v>
      </c>
      <c r="G182" s="43"/>
      <c r="H182" s="18" t="str">
        <f ca="1">IFERROR(__xludf.DUMMYFUNCTION("SUBSTITUTE(REGEXEXTRACT(G182, ""\$(\d{1,3}(?:,\d{3})*)""), "","", ""."")
"),"#N/A")</f>
        <v>#N/A</v>
      </c>
      <c r="I182" s="19" t="str">
        <f ca="1">IFERROR(__xludf.DUMMYFUNCTION("SUBSTITUTE(REGEXEXTRACT(G182, ""-\s*\$(\d{1,3}(?:,\d{3})*)""), "","", ""."")
"),"#N/A")</f>
        <v>#N/A</v>
      </c>
      <c r="J182" s="19" t="str">
        <f ca="1">IFERROR(__xludf.DUMMYFUNCTION("IMPORTXML(AI182, ""//li[strong[text()='Initial Investment:']]"")"),"Loading...")</f>
        <v>Loading...</v>
      </c>
      <c r="K182" s="24"/>
      <c r="L182" s="20" t="str">
        <f ca="1">IFERROR(__xludf.DUMMYFUNCTION("IMPORTXML(AI182, ""//li[strong[text()='Category:']]"")"),"Loading...")</f>
        <v>Loading...</v>
      </c>
      <c r="M182" s="24"/>
      <c r="N182" s="19" t="str">
        <f ca="1">IFERROR(__xludf.DUMMYFUNCTION("IMPORTXML(AI182, ""//li[strong[text()='Global Sales:']]"")"),"Loading...")</f>
        <v>Loading...</v>
      </c>
      <c r="O182" s="24"/>
      <c r="P182" s="19" t="str">
        <f t="shared" si="0"/>
        <v/>
      </c>
      <c r="Q182" s="19" t="str">
        <f ca="1">IFERROR(__xludf.DUMMYFUNCTION("IMPORTXML(AI182, ""//li[strong[text()='US Units:']]"")"),"Loading...")</f>
        <v>Loading...</v>
      </c>
      <c r="R182" s="24"/>
      <c r="S182" s="19" t="str">
        <f ca="1">IFERROR(__xludf.DUMMYFUNCTION("IMPORTXML(AI182, ""//li[strong[text()='International Units:']]"")"),"Loading...")</f>
        <v>Loading...</v>
      </c>
      <c r="T182" s="44"/>
      <c r="U182" s="19" t="str">
        <f ca="1">IFERROR(__xludf.DUMMYFUNCTION("IMPORTXML(AI182, ""//li[strong[text()='Percent Franchised:']]"")"),"Loading...")</f>
        <v>Loading...</v>
      </c>
      <c r="V182" s="24"/>
      <c r="W182" s="19" t="str">
        <f ca="1">IFERROR(__xludf.DUMMYFUNCTION("IMPORTXML(AI182, ""//li[strong[text()='% International Units:']]"")"),"Loading...")</f>
        <v>Loading...</v>
      </c>
      <c r="X182" s="24"/>
      <c r="Y182" s="19" t="str">
        <f ca="1">IFERROR(__xludf.DUMMYFUNCTION("IMPORTXML(AI182, ""//li[strong[text()='US Franchised Units:']]"")"),"Loading...")</f>
        <v>Loading...</v>
      </c>
      <c r="Z182" s="24"/>
      <c r="AA182" s="14" t="str">
        <f t="shared" si="1"/>
        <v/>
      </c>
      <c r="AB182" s="19" t="str">
        <f ca="1">IFERROR(__xludf.DUMMYFUNCTION("IMPORTXML(AI182, ""//li[strong[text()='International Franchised Units:']]"")"),"Loading...")</f>
        <v>Loading...</v>
      </c>
      <c r="AC182" s="24"/>
      <c r="AD182" s="14" t="str">
        <f t="shared" si="2"/>
        <v/>
      </c>
      <c r="AE182" s="25" t="str">
        <f ca="1">IFERROR(__xludf.DUMMYFUNCTION("IMPORTXML(AI182, ""//li[strong[text()='Sales Growth %:']]"")"),"Loading...")</f>
        <v>Loading...</v>
      </c>
      <c r="AF182" s="24"/>
      <c r="AG182" s="25" t="str">
        <f ca="1">IFERROR(__xludf.DUMMYFUNCTION("IMPORTXML(AI182, ""//li[strong[text()='Unit Growth %:']]"")"),"Loading...")</f>
        <v>Loading...</v>
      </c>
      <c r="AH182" s="25"/>
      <c r="AI182" s="48" t="s">
        <v>193</v>
      </c>
      <c r="AJ182" s="27"/>
      <c r="AK182" s="27"/>
      <c r="AL182" s="27"/>
      <c r="AM182" s="27"/>
      <c r="AN182" s="27"/>
      <c r="AO182" s="27"/>
      <c r="AP182" s="27"/>
      <c r="AQ182" s="27"/>
    </row>
    <row r="183" spans="1:43" ht="14.25" customHeight="1">
      <c r="A183" s="42">
        <v>24.181999999999999</v>
      </c>
      <c r="B183" s="14">
        <v>2024</v>
      </c>
      <c r="C183" s="36">
        <v>182</v>
      </c>
      <c r="D183" s="16" t="str">
        <f ca="1">IFERROR(__xludf.DUMMYFUNCTION("IMPORTXML(AI183, ""//h1[@itemprop='headline']/span"")"),"182. Mountain Mike’s Pizza")</f>
        <v>182. Mountain Mike’s Pizza</v>
      </c>
      <c r="E183" s="17" t="str">
        <f ca="1">IFERROR(__xludf.DUMMYFUNCTION("REGEXEXTRACT(D183, ""\.\s*(.+)"")"),"Mountain Mike’s Pizza")</f>
        <v>Mountain Mike’s Pizza</v>
      </c>
      <c r="F183" s="18" t="str">
        <f ca="1">IFERROR(__xludf.DUMMYFUNCTION("IMPORTXML(AI183, ""//li[strong[text()='Investment Range:']]"")"),"Investment Range:")</f>
        <v>Investment Range:</v>
      </c>
      <c r="G183" s="43" t="str">
        <f ca="1">IFERROR(__xludf.DUMMYFUNCTION("""COMPUTED_VALUE""")," $427,100 - $899,060")</f>
        <v xml:space="preserve"> $427,100 - $899,060</v>
      </c>
      <c r="H183" s="18" t="str">
        <f ca="1">IFERROR(__xludf.DUMMYFUNCTION("SUBSTITUTE(REGEXEXTRACT(G183, ""\$(\d{1,3}(?:,\d{3})*)""), "","", ""."")
"),"427.100")</f>
        <v>427.100</v>
      </c>
      <c r="I183" s="19" t="str">
        <f ca="1">IFERROR(__xludf.DUMMYFUNCTION("SUBSTITUTE(REGEXEXTRACT(G183, ""-\s*\$(\d{1,3}(?:,\d{3})*)""), "","", ""."")
"),"899.060")</f>
        <v>899.060</v>
      </c>
      <c r="J183" s="19" t="str">
        <f ca="1">IFERROR(__xludf.DUMMYFUNCTION("IMPORTXML(AI183, ""//li[strong[text()='Initial Investment:']]"")"),"Loading...")</f>
        <v>Loading...</v>
      </c>
      <c r="K183" s="24"/>
      <c r="L183" s="20" t="str">
        <f ca="1">IFERROR(__xludf.DUMMYFUNCTION("IMPORTXML(AI183, ""//li[strong[text()='Category:']]"")"),"Loading...")</f>
        <v>Loading...</v>
      </c>
      <c r="M183" s="24"/>
      <c r="N183" s="19" t="str">
        <f ca="1">IFERROR(__xludf.DUMMYFUNCTION("IMPORTXML(AI183, ""//li[strong[text()='Global Sales:']]"")"),"Loading...")</f>
        <v>Loading...</v>
      </c>
      <c r="O183" s="24"/>
      <c r="P183" s="19" t="str">
        <f t="shared" si="0"/>
        <v/>
      </c>
      <c r="Q183" s="19" t="str">
        <f ca="1">IFERROR(__xludf.DUMMYFUNCTION("IMPORTXML(AI183, ""//li[strong[text()='US Units:']]"")"),"Loading...")</f>
        <v>Loading...</v>
      </c>
      <c r="R183" s="24"/>
      <c r="S183" s="19" t="str">
        <f ca="1">IFERROR(__xludf.DUMMYFUNCTION("IMPORTXML(AI183, ""//li[strong[text()='International Units:']]"")"),"Loading...")</f>
        <v>Loading...</v>
      </c>
      <c r="T183" s="44"/>
      <c r="U183" s="19" t="str">
        <f ca="1">IFERROR(__xludf.DUMMYFUNCTION("IMPORTXML(AI183, ""//li[strong[text()='Percent Franchised:']]"")"),"Loading...")</f>
        <v>Loading...</v>
      </c>
      <c r="V183" s="24"/>
      <c r="W183" s="19" t="str">
        <f ca="1">IFERROR(__xludf.DUMMYFUNCTION("IMPORTXML(AI183, ""//li[strong[text()='% International Units:']]"")"),"Loading...")</f>
        <v>Loading...</v>
      </c>
      <c r="X183" s="24"/>
      <c r="Y183" s="19" t="str">
        <f ca="1">IFERROR(__xludf.DUMMYFUNCTION("IMPORTXML(AI183, ""//li[strong[text()='US Franchised Units:']]"")"),"Loading...")</f>
        <v>Loading...</v>
      </c>
      <c r="Z183" s="24"/>
      <c r="AA183" s="14" t="str">
        <f t="shared" si="1"/>
        <v/>
      </c>
      <c r="AB183" s="19" t="str">
        <f ca="1">IFERROR(__xludf.DUMMYFUNCTION("IMPORTXML(AI183, ""//li[strong[text()='International Franchised Units:']]"")"),"Loading...")</f>
        <v>Loading...</v>
      </c>
      <c r="AC183" s="24"/>
      <c r="AD183" s="14" t="str">
        <f t="shared" si="2"/>
        <v/>
      </c>
      <c r="AE183" s="25" t="str">
        <f ca="1">IFERROR(__xludf.DUMMYFUNCTION("IMPORTXML(AI183, ""//li[strong[text()='Sales Growth %:']]"")"),"Loading...")</f>
        <v>Loading...</v>
      </c>
      <c r="AF183" s="24"/>
      <c r="AG183" s="25" t="str">
        <f ca="1">IFERROR(__xludf.DUMMYFUNCTION("IMPORTXML(AI183, ""//li[strong[text()='Unit Growth %:']]"")"),"Loading...")</f>
        <v>Loading...</v>
      </c>
      <c r="AH183" s="25"/>
      <c r="AI183" s="48" t="s">
        <v>194</v>
      </c>
      <c r="AJ183" s="27"/>
      <c r="AK183" s="27"/>
      <c r="AL183" s="27"/>
      <c r="AM183" s="27"/>
      <c r="AN183" s="27"/>
      <c r="AO183" s="27"/>
      <c r="AP183" s="27"/>
      <c r="AQ183" s="27"/>
    </row>
    <row r="184" spans="1:43" ht="14.25" customHeight="1">
      <c r="A184" s="49">
        <v>24.183</v>
      </c>
      <c r="B184" s="14">
        <v>2024</v>
      </c>
      <c r="C184" s="36">
        <v>183</v>
      </c>
      <c r="D184" s="16" t="str">
        <f ca="1">IFERROR(__xludf.DUMMYFUNCTION("IMPORTXML(AI184, ""//h1[@itemprop='headline']/span"")"),"183. AlphaGraphics")</f>
        <v>183. AlphaGraphics</v>
      </c>
      <c r="E184" s="17" t="str">
        <f ca="1">IFERROR(__xludf.DUMMYFUNCTION("REGEXEXTRACT(D184, ""\.\s*(.+)"")"),"AlphaGraphics")</f>
        <v>AlphaGraphics</v>
      </c>
      <c r="F184" s="18" t="str">
        <f ca="1">IFERROR(__xludf.DUMMYFUNCTION("IMPORTXML(AI184, ""//li[contains(., 'Investment Range')]"")"),"Loading...")</f>
        <v>Loading...</v>
      </c>
      <c r="G184" s="43"/>
      <c r="H184" s="18" t="str">
        <f ca="1">IFERROR(__xludf.DUMMYFUNCTION("SUBSTITUTE(REGEXEXTRACT(G184, ""\$(\d{1,3}(?:,\d{3})*)""), "","", ""."")
"),"#N/A")</f>
        <v>#N/A</v>
      </c>
      <c r="I184" s="19" t="str">
        <f ca="1">IFERROR(__xludf.DUMMYFUNCTION("SUBSTITUTE(REGEXEXTRACT(G184, ""-\s*\$(\d{1,3}(?:,\d{3})*)""), "","", ""."")
"),"#N/A")</f>
        <v>#N/A</v>
      </c>
      <c r="J184" s="19" t="str">
        <f ca="1">IFERROR(__xludf.DUMMYFUNCTION("IMPORTXML(AI184, ""//li[strong[text()='Initial Investment:']]"")"),"Loading...")</f>
        <v>Loading...</v>
      </c>
      <c r="K184" s="24"/>
      <c r="L184" s="20" t="str">
        <f ca="1">IFERROR(__xludf.DUMMYFUNCTION("IMPORTXML(AI184, ""//li[strong[text()='Category:']]"")"),"Loading...")</f>
        <v>Loading...</v>
      </c>
      <c r="M184" s="24"/>
      <c r="N184" s="19" t="str">
        <f ca="1">IFERROR(__xludf.DUMMYFUNCTION("IMPORTXML(AI184, ""//li[strong[text()='Global Sales:']]"")"),"Loading...")</f>
        <v>Loading...</v>
      </c>
      <c r="O184" s="24"/>
      <c r="P184" s="19" t="str">
        <f t="shared" si="0"/>
        <v/>
      </c>
      <c r="Q184" s="19" t="str">
        <f ca="1">IFERROR(__xludf.DUMMYFUNCTION("IMPORTXML(AI184, ""//li[strong[text()='US Units:']]"")"),"Loading...")</f>
        <v>Loading...</v>
      </c>
      <c r="R184" s="24"/>
      <c r="S184" s="19" t="str">
        <f ca="1">IFERROR(__xludf.DUMMYFUNCTION("IMPORTXML(AI184, ""//li[strong[text()='International Units:']]"")"),"Loading...")</f>
        <v>Loading...</v>
      </c>
      <c r="T184" s="44"/>
      <c r="U184" s="19" t="str">
        <f ca="1">IFERROR(__xludf.DUMMYFUNCTION("IMPORTXML(AI184, ""//li[strong[text()='Percent Franchised:']]"")"),"Loading...")</f>
        <v>Loading...</v>
      </c>
      <c r="V184" s="24"/>
      <c r="W184" s="19" t="str">
        <f ca="1">IFERROR(__xludf.DUMMYFUNCTION("IMPORTXML(AI184, ""//li[strong[text()='% International Units:']]"")"),"Loading...")</f>
        <v>Loading...</v>
      </c>
      <c r="X184" s="24"/>
      <c r="Y184" s="19" t="str">
        <f ca="1">IFERROR(__xludf.DUMMYFUNCTION("IMPORTXML(AI184, ""//li[strong[text()='US Franchised Units:']]"")"),"Loading...")</f>
        <v>Loading...</v>
      </c>
      <c r="Z184" s="24"/>
      <c r="AA184" s="14" t="str">
        <f t="shared" si="1"/>
        <v/>
      </c>
      <c r="AB184" s="19" t="str">
        <f ca="1">IFERROR(__xludf.DUMMYFUNCTION("IMPORTXML(AI184, ""//li[strong[text()='International Franchised Units:']]"")"),"Loading...")</f>
        <v>Loading...</v>
      </c>
      <c r="AC184" s="24"/>
      <c r="AD184" s="14" t="str">
        <f t="shared" si="2"/>
        <v/>
      </c>
      <c r="AE184" s="25" t="str">
        <f ca="1">IFERROR(__xludf.DUMMYFUNCTION("IMPORTXML(AI184, ""//li[strong[text()='Sales Growth %:']]"")"),"Loading...")</f>
        <v>Loading...</v>
      </c>
      <c r="AF184" s="24"/>
      <c r="AG184" s="25" t="str">
        <f ca="1">IFERROR(__xludf.DUMMYFUNCTION("IMPORTXML(AI184, ""//li[strong[text()='Unit Growth %:']]"")"),"Loading...")</f>
        <v>Loading...</v>
      </c>
      <c r="AH184" s="25"/>
      <c r="AI184" s="48" t="s">
        <v>195</v>
      </c>
      <c r="AJ184" s="27"/>
      <c r="AK184" s="27"/>
      <c r="AL184" s="27"/>
      <c r="AM184" s="27"/>
      <c r="AN184" s="27"/>
      <c r="AO184" s="27"/>
      <c r="AP184" s="27"/>
      <c r="AQ184" s="27"/>
    </row>
    <row r="185" spans="1:43" ht="14.25" customHeight="1">
      <c r="A185" s="42">
        <v>24.184000000000001</v>
      </c>
      <c r="B185" s="14">
        <v>2024</v>
      </c>
      <c r="C185" s="15">
        <v>184</v>
      </c>
      <c r="D185" s="16" t="str">
        <f ca="1">IFERROR(__xludf.DUMMYFUNCTION("IMPORTXML(AI185, ""//h1[@itemprop='headline']/span"")"),"184. Rainbow International")</f>
        <v>184. Rainbow International</v>
      </c>
      <c r="E185" s="17" t="str">
        <f ca="1">IFERROR(__xludf.DUMMYFUNCTION("REGEXEXTRACT(D185, ""\.\s*(.+)"")"),"Rainbow International")</f>
        <v>Rainbow International</v>
      </c>
      <c r="F185" s="18" t="str">
        <f ca="1">IFERROR(__xludf.DUMMYFUNCTION("IMPORTXML(AI185, ""//li[strong[text()='Investment Range:']]"")"),"Investment Range:")</f>
        <v>Investment Range:</v>
      </c>
      <c r="G185" s="43" t="str">
        <f ca="1">IFERROR(__xludf.DUMMYFUNCTION("""COMPUTED_VALUE""")," $169,336 - $325,900")</f>
        <v xml:space="preserve"> $169,336 - $325,900</v>
      </c>
      <c r="H185" s="18" t="str">
        <f ca="1">IFERROR(__xludf.DUMMYFUNCTION("SUBSTITUTE(REGEXEXTRACT(G185, ""\$(\d{1,3}(?:,\d{3})*)""), "","", ""."")
"),"169.336")</f>
        <v>169.336</v>
      </c>
      <c r="I185" s="19" t="str">
        <f ca="1">IFERROR(__xludf.DUMMYFUNCTION("SUBSTITUTE(REGEXEXTRACT(G185, ""-\s*\$(\d{1,3}(?:,\d{3})*)""), "","", ""."")
"),"325.900")</f>
        <v>325.900</v>
      </c>
      <c r="J185" s="19" t="str">
        <f ca="1">IFERROR(__xludf.DUMMYFUNCTION("IMPORTXML(AI185, ""//li[strong[text()='Initial Investment:']]"")"),"Loading...")</f>
        <v>Loading...</v>
      </c>
      <c r="K185" s="24"/>
      <c r="L185" s="20" t="str">
        <f ca="1">IFERROR(__xludf.DUMMYFUNCTION("IMPORTXML(AI185, ""//li[strong[text()='Category:']]"")"),"Loading...")</f>
        <v>Loading...</v>
      </c>
      <c r="M185" s="24"/>
      <c r="N185" s="19" t="str">
        <f ca="1">IFERROR(__xludf.DUMMYFUNCTION("IMPORTXML(AI185, ""//li[strong[text()='Global Sales:']]"")"),"Loading...")</f>
        <v>Loading...</v>
      </c>
      <c r="O185" s="24"/>
      <c r="P185" s="19" t="str">
        <f t="shared" si="0"/>
        <v/>
      </c>
      <c r="Q185" s="19" t="str">
        <f ca="1">IFERROR(__xludf.DUMMYFUNCTION("IMPORTXML(AI185, ""//li[strong[text()='US Units:']]"")"),"Loading...")</f>
        <v>Loading...</v>
      </c>
      <c r="R185" s="24"/>
      <c r="S185" s="19" t="str">
        <f ca="1">IFERROR(__xludf.DUMMYFUNCTION("IMPORTXML(AI185, ""//li[strong[text()='International Units:']]"")"),"Loading...")</f>
        <v>Loading...</v>
      </c>
      <c r="T185" s="44"/>
      <c r="U185" s="19" t="str">
        <f ca="1">IFERROR(__xludf.DUMMYFUNCTION("IMPORTXML(AI185, ""//li[strong[text()='Percent Franchised:']]"")"),"Loading...")</f>
        <v>Loading...</v>
      </c>
      <c r="V185" s="24"/>
      <c r="W185" s="19" t="str">
        <f ca="1">IFERROR(__xludf.DUMMYFUNCTION("IMPORTXML(AI185, ""//li[strong[text()='% International Units:']]"")"),"Loading...")</f>
        <v>Loading...</v>
      </c>
      <c r="X185" s="24"/>
      <c r="Y185" s="19" t="str">
        <f ca="1">IFERROR(__xludf.DUMMYFUNCTION("IMPORTXML(AI185, ""//li[strong[text()='US Franchised Units:']]"")"),"Loading...")</f>
        <v>Loading...</v>
      </c>
      <c r="Z185" s="24"/>
      <c r="AA185" s="14" t="str">
        <f t="shared" si="1"/>
        <v/>
      </c>
      <c r="AB185" s="19" t="str">
        <f ca="1">IFERROR(__xludf.DUMMYFUNCTION("IMPORTXML(AI185, ""//li[strong[text()='International Franchised Units:']]"")"),"Loading...")</f>
        <v>Loading...</v>
      </c>
      <c r="AC185" s="24"/>
      <c r="AD185" s="14" t="str">
        <f t="shared" si="2"/>
        <v/>
      </c>
      <c r="AE185" s="25" t="str">
        <f ca="1">IFERROR(__xludf.DUMMYFUNCTION("IMPORTXML(AI185, ""//li[strong[text()='Sales Growth %:']]"")"),"Loading...")</f>
        <v>Loading...</v>
      </c>
      <c r="AF185" s="24"/>
      <c r="AG185" s="25" t="str">
        <f ca="1">IFERROR(__xludf.DUMMYFUNCTION("IMPORTXML(AI185, ""//li[strong[text()='Unit Growth %:']]"")"),"Loading...")</f>
        <v>Loading...</v>
      </c>
      <c r="AH185" s="25"/>
      <c r="AI185" s="48" t="s">
        <v>196</v>
      </c>
      <c r="AJ185" s="27"/>
      <c r="AK185" s="27"/>
      <c r="AL185" s="27"/>
      <c r="AM185" s="27"/>
      <c r="AN185" s="27"/>
      <c r="AO185" s="27"/>
      <c r="AP185" s="27"/>
      <c r="AQ185" s="27"/>
    </row>
    <row r="186" spans="1:43" ht="14.25" customHeight="1">
      <c r="A186" s="42">
        <v>24.184999999999999</v>
      </c>
      <c r="B186" s="14">
        <v>2024</v>
      </c>
      <c r="C186" s="32">
        <v>185</v>
      </c>
      <c r="D186" s="16" t="str">
        <f ca="1">IFERROR(__xludf.DUMMYFUNCTION("IMPORTXML(AI186, ""//h1[@itemprop='headline']/span"")"),"185. Walk-On's Sports Bistreaux")</f>
        <v>185. Walk-On's Sports Bistreaux</v>
      </c>
      <c r="E186" s="17" t="str">
        <f ca="1">IFERROR(__xludf.DUMMYFUNCTION("REGEXEXTRACT(D186, ""\.\s*(.+)"")"),"Walk-On's Sports Bistreaux")</f>
        <v>Walk-On's Sports Bistreaux</v>
      </c>
      <c r="F186" s="18" t="str">
        <f ca="1">IFERROR(__xludf.DUMMYFUNCTION("IMPORTXML(AI186, ""//li[strong[text()='Investment Range:']]"")"),"Investment Range:")</f>
        <v>Investment Range:</v>
      </c>
      <c r="G186" s="43" t="str">
        <f ca="1">IFERROR(__xludf.DUMMYFUNCTION("""COMPUTED_VALUE""")," $1,554,500 - $7,056,300")</f>
        <v xml:space="preserve"> $1,554,500 - $7,056,300</v>
      </c>
      <c r="H186" s="18" t="str">
        <f ca="1">IFERROR(__xludf.DUMMYFUNCTION("SUBSTITUTE(REGEXEXTRACT(G186, ""\$(\d{1,3}(?:,\d{3})*)""), "","", ""."")
"),"1.554.500")</f>
        <v>1.554.500</v>
      </c>
      <c r="I186" s="19" t="str">
        <f ca="1">IFERROR(__xludf.DUMMYFUNCTION("SUBSTITUTE(REGEXEXTRACT(G186, ""-\s*\$(\d{1,3}(?:,\d{3})*)""), "","", ""."")
"),"7.056.300")</f>
        <v>7.056.300</v>
      </c>
      <c r="J186" s="19" t="str">
        <f ca="1">IFERROR(__xludf.DUMMYFUNCTION("IMPORTXML(AI186, ""//li[strong[text()='Initial Investment:']]"")"),"Loading...")</f>
        <v>Loading...</v>
      </c>
      <c r="K186" s="24"/>
      <c r="L186" s="20" t="str">
        <f ca="1">IFERROR(__xludf.DUMMYFUNCTION("IMPORTXML(AI186, ""//li[strong[text()='Category:']]"")"),"Loading...")</f>
        <v>Loading...</v>
      </c>
      <c r="M186" s="24"/>
      <c r="N186" s="19" t="str">
        <f ca="1">IFERROR(__xludf.DUMMYFUNCTION("IMPORTXML(AI186, ""//li[strong[text()='Global Sales:']]"")"),"Loading...")</f>
        <v>Loading...</v>
      </c>
      <c r="O186" s="24"/>
      <c r="P186" s="19" t="str">
        <f t="shared" si="0"/>
        <v/>
      </c>
      <c r="Q186" s="19" t="str">
        <f ca="1">IFERROR(__xludf.DUMMYFUNCTION("IMPORTXML(AI186, ""//li[strong[text()='US Units:']]"")"),"Loading...")</f>
        <v>Loading...</v>
      </c>
      <c r="R186" s="24"/>
      <c r="S186" s="19" t="str">
        <f ca="1">IFERROR(__xludf.DUMMYFUNCTION("IMPORTXML(AI186, ""//li[strong[text()='International Units:']]"")"),"Loading...")</f>
        <v>Loading...</v>
      </c>
      <c r="T186" s="44"/>
      <c r="U186" s="19" t="str">
        <f ca="1">IFERROR(__xludf.DUMMYFUNCTION("IMPORTXML(AI186, ""//li[strong[text()='Percent Franchised:']]"")"),"Loading...")</f>
        <v>Loading...</v>
      </c>
      <c r="V186" s="24"/>
      <c r="W186" s="19" t="str">
        <f ca="1">IFERROR(__xludf.DUMMYFUNCTION("IMPORTXML(AI186, ""//li[strong[text()='% International Units:']]"")"),"Loading...")</f>
        <v>Loading...</v>
      </c>
      <c r="X186" s="24"/>
      <c r="Y186" s="19" t="str">
        <f ca="1">IFERROR(__xludf.DUMMYFUNCTION("IMPORTXML(AI186, ""//li[strong[text()='US Franchised Units:']]"")"),"Loading...")</f>
        <v>Loading...</v>
      </c>
      <c r="Z186" s="24"/>
      <c r="AA186" s="14" t="str">
        <f t="shared" si="1"/>
        <v/>
      </c>
      <c r="AB186" s="19" t="str">
        <f ca="1">IFERROR(__xludf.DUMMYFUNCTION("IMPORTXML(AI186, ""//li[strong[text()='International Franchised Units:']]"")"),"Loading...")</f>
        <v>Loading...</v>
      </c>
      <c r="AC186" s="24"/>
      <c r="AD186" s="14" t="str">
        <f t="shared" si="2"/>
        <v/>
      </c>
      <c r="AE186" s="25" t="str">
        <f ca="1">IFERROR(__xludf.DUMMYFUNCTION("IMPORTXML(AI186, ""//li[strong[text()='Sales Growth %:']]"")"),"Loading...")</f>
        <v>Loading...</v>
      </c>
      <c r="AF186" s="24"/>
      <c r="AG186" s="25" t="str">
        <f ca="1">IFERROR(__xludf.DUMMYFUNCTION("IMPORTXML(AI186, ""//li[strong[text()='Unit Growth %:']]"")"),"Loading...")</f>
        <v>Loading...</v>
      </c>
      <c r="AH186" s="25"/>
      <c r="AI186" s="48" t="s">
        <v>197</v>
      </c>
      <c r="AJ186" s="27"/>
      <c r="AK186" s="27"/>
      <c r="AL186" s="27"/>
      <c r="AM186" s="27"/>
      <c r="AN186" s="27"/>
      <c r="AO186" s="27"/>
      <c r="AP186" s="27"/>
      <c r="AQ186" s="27"/>
    </row>
    <row r="187" spans="1:43" ht="14.25" customHeight="1">
      <c r="A187" s="42">
        <v>24.186</v>
      </c>
      <c r="B187" s="14">
        <v>2024</v>
      </c>
      <c r="C187" s="36">
        <v>186</v>
      </c>
      <c r="D187" s="16" t="str">
        <f ca="1">IFERROR(__xludf.DUMMYFUNCTION("IMPORTXML(AI187, ""//h1[@itemprop='headline']/span"")"),"186. RNR Tire Express")</f>
        <v>186. RNR Tire Express</v>
      </c>
      <c r="E187" s="17" t="str">
        <f ca="1">IFERROR(__xludf.DUMMYFUNCTION("REGEXEXTRACT(D187, ""\.\s*(.+)"")"),"RNR Tire Express")</f>
        <v>RNR Tire Express</v>
      </c>
      <c r="F187" s="18" t="str">
        <f ca="1">IFERROR(__xludf.DUMMYFUNCTION("IMPORTXML(AI187, ""//li[strong[text()='Investment Range:']]"")"),"Investment Range:")</f>
        <v>Investment Range:</v>
      </c>
      <c r="G187" s="43" t="str">
        <f ca="1">IFERROR(__xludf.DUMMYFUNCTION("""COMPUTED_VALUE""")," $703,561 - $1,687,275")</f>
        <v xml:space="preserve"> $703,561 - $1,687,275</v>
      </c>
      <c r="H187" s="18" t="str">
        <f ca="1">IFERROR(__xludf.DUMMYFUNCTION("SUBSTITUTE(REGEXEXTRACT(G187, ""\$(\d{1,3}(?:,\d{3})*)""), "","", ""."")
"),"703.561")</f>
        <v>703.561</v>
      </c>
      <c r="I187" s="19" t="str">
        <f ca="1">IFERROR(__xludf.DUMMYFUNCTION("SUBSTITUTE(REGEXEXTRACT(G187, ""-\s*\$(\d{1,3}(?:,\d{3})*)""), "","", ""."")
"),"1.687.275")</f>
        <v>1.687.275</v>
      </c>
      <c r="J187" s="19" t="str">
        <f ca="1">IFERROR(__xludf.DUMMYFUNCTION("IMPORTXML(AI187, ""//li[strong[text()='Initial Investment:']]"")"),"Loading...")</f>
        <v>Loading...</v>
      </c>
      <c r="K187" s="24"/>
      <c r="L187" s="20" t="str">
        <f ca="1">IFERROR(__xludf.DUMMYFUNCTION("IMPORTXML(AI187, ""//li[strong[text()='Category:']]"")"),"Loading...")</f>
        <v>Loading...</v>
      </c>
      <c r="M187" s="24"/>
      <c r="N187" s="19" t="str">
        <f ca="1">IFERROR(__xludf.DUMMYFUNCTION("IMPORTXML(AI187, ""//li[strong[text()='Global Sales:']]"")"),"Loading...")</f>
        <v>Loading...</v>
      </c>
      <c r="O187" s="24"/>
      <c r="P187" s="19" t="str">
        <f t="shared" si="0"/>
        <v/>
      </c>
      <c r="Q187" s="19" t="str">
        <f ca="1">IFERROR(__xludf.DUMMYFUNCTION("IMPORTXML(AI187, ""//li[strong[text()='US Units:']]"")"),"Loading...")</f>
        <v>Loading...</v>
      </c>
      <c r="R187" s="24"/>
      <c r="S187" s="19" t="str">
        <f ca="1">IFERROR(__xludf.DUMMYFUNCTION("IMPORTXML(AI187, ""//li[strong[text()='International Units:']]"")"),"Loading...")</f>
        <v>Loading...</v>
      </c>
      <c r="T187" s="44"/>
      <c r="U187" s="19" t="str">
        <f ca="1">IFERROR(__xludf.DUMMYFUNCTION("IMPORTXML(AI187, ""//li[strong[text()='Percent Franchised:']]"")"),"Loading...")</f>
        <v>Loading...</v>
      </c>
      <c r="V187" s="24"/>
      <c r="W187" s="19" t="str">
        <f ca="1">IFERROR(__xludf.DUMMYFUNCTION("IMPORTXML(AI187, ""//li[strong[text()='% International Units:']]"")"),"Loading...")</f>
        <v>Loading...</v>
      </c>
      <c r="X187" s="24"/>
      <c r="Y187" s="19" t="str">
        <f ca="1">IFERROR(__xludf.DUMMYFUNCTION("IMPORTXML(AI187, ""//li[strong[text()='US Franchised Units:']]"")"),"Loading...")</f>
        <v>Loading...</v>
      </c>
      <c r="Z187" s="24"/>
      <c r="AA187" s="14" t="str">
        <f t="shared" si="1"/>
        <v/>
      </c>
      <c r="AB187" s="19" t="str">
        <f ca="1">IFERROR(__xludf.DUMMYFUNCTION("IMPORTXML(AI187, ""//li[strong[text()='International Franchised Units:']]"")"),"Loading...")</f>
        <v>Loading...</v>
      </c>
      <c r="AC187" s="24"/>
      <c r="AD187" s="14" t="str">
        <f t="shared" si="2"/>
        <v/>
      </c>
      <c r="AE187" s="25" t="str">
        <f ca="1">IFERROR(__xludf.DUMMYFUNCTION("IMPORTXML(AI187, ""//li[strong[text()='Sales Growth %:']]"")"),"Loading...")</f>
        <v>Loading...</v>
      </c>
      <c r="AF187" s="24"/>
      <c r="AG187" s="25" t="str">
        <f ca="1">IFERROR(__xludf.DUMMYFUNCTION("IMPORTXML(AI187, ""//li[strong[text()='Unit Growth %:']]"")"),"Loading...")</f>
        <v>Loading...</v>
      </c>
      <c r="AH187" s="25"/>
      <c r="AI187" s="48" t="s">
        <v>198</v>
      </c>
      <c r="AJ187" s="27"/>
      <c r="AK187" s="27"/>
      <c r="AL187" s="27"/>
      <c r="AM187" s="27"/>
      <c r="AN187" s="27"/>
      <c r="AO187" s="27"/>
      <c r="AP187" s="27"/>
      <c r="AQ187" s="27"/>
    </row>
    <row r="188" spans="1:43" ht="14.25" customHeight="1">
      <c r="A188" s="42">
        <v>24.187000000000001</v>
      </c>
      <c r="B188" s="14">
        <v>2024</v>
      </c>
      <c r="C188" s="36">
        <v>187</v>
      </c>
      <c r="D188" s="16" t="str">
        <f ca="1">IFERROR(__xludf.DUMMYFUNCTION("IMPORTXML(AI188, ""//h1[@itemprop='headline']/span"")"),"187. Play It Again Sports")</f>
        <v>187. Play It Again Sports</v>
      </c>
      <c r="E188" s="17" t="str">
        <f ca="1">IFERROR(__xludf.DUMMYFUNCTION("REGEXEXTRACT(D188, ""\.\s*(.+)"")"),"Play It Again Sports")</f>
        <v>Play It Again Sports</v>
      </c>
      <c r="F188" s="18" t="str">
        <f ca="1">IFERROR(__xludf.DUMMYFUNCTION("IMPORTXML(AI188, ""//li[strong[text()='Investment Range:']]"")"),"Investment Range:")</f>
        <v>Investment Range:</v>
      </c>
      <c r="G188" s="43" t="str">
        <f ca="1">IFERROR(__xludf.DUMMYFUNCTION("""COMPUTED_VALUE""")," $314,300 - $420,800")</f>
        <v xml:space="preserve"> $314,300 - $420,800</v>
      </c>
      <c r="H188" s="18" t="str">
        <f ca="1">IFERROR(__xludf.DUMMYFUNCTION("SUBSTITUTE(REGEXEXTRACT(G188, ""\$(\d{1,3}(?:,\d{3})*)""), "","", ""."")
"),"314.300")</f>
        <v>314.300</v>
      </c>
      <c r="I188" s="19" t="str">
        <f ca="1">IFERROR(__xludf.DUMMYFUNCTION("SUBSTITUTE(REGEXEXTRACT(G188, ""-\s*\$(\d{1,3}(?:,\d{3})*)""), "","", ""."")
"),"420.800")</f>
        <v>420.800</v>
      </c>
      <c r="J188" s="19" t="str">
        <f ca="1">IFERROR(__xludf.DUMMYFUNCTION("IMPORTXML(AI188, ""//li[strong[text()='Initial Investment:']]"")"),"Loading...")</f>
        <v>Loading...</v>
      </c>
      <c r="K188" s="24"/>
      <c r="L188" s="20" t="str">
        <f ca="1">IFERROR(__xludf.DUMMYFUNCTION("IMPORTXML(AI188, ""//li[strong[text()='Category:']]"")"),"Loading...")</f>
        <v>Loading...</v>
      </c>
      <c r="M188" s="24"/>
      <c r="N188" s="19" t="str">
        <f ca="1">IFERROR(__xludf.DUMMYFUNCTION("IMPORTXML(AI188, ""//li[strong[text()='Global Sales:']]"")"),"Loading...")</f>
        <v>Loading...</v>
      </c>
      <c r="O188" s="24"/>
      <c r="P188" s="19" t="str">
        <f t="shared" si="0"/>
        <v/>
      </c>
      <c r="Q188" s="19" t="str">
        <f ca="1">IFERROR(__xludf.DUMMYFUNCTION("IMPORTXML(AI188, ""//li[strong[text()='US Units:']]"")"),"Loading...")</f>
        <v>Loading...</v>
      </c>
      <c r="R188" s="24"/>
      <c r="S188" s="19" t="str">
        <f ca="1">IFERROR(__xludf.DUMMYFUNCTION("IMPORTXML(AI188, ""//li[strong[text()='International Units:']]"")"),"Loading...")</f>
        <v>Loading...</v>
      </c>
      <c r="T188" s="44"/>
      <c r="U188" s="19" t="str">
        <f ca="1">IFERROR(__xludf.DUMMYFUNCTION("IMPORTXML(AI188, ""//li[strong[text()='Percent Franchised:']]"")"),"Loading...")</f>
        <v>Loading...</v>
      </c>
      <c r="V188" s="24"/>
      <c r="W188" s="19" t="str">
        <f ca="1">IFERROR(__xludf.DUMMYFUNCTION("IMPORTXML(AI188, ""//li[strong[text()='% International Units:']]"")"),"Loading...")</f>
        <v>Loading...</v>
      </c>
      <c r="X188" s="24"/>
      <c r="Y188" s="19" t="str">
        <f ca="1">IFERROR(__xludf.DUMMYFUNCTION("IMPORTXML(AI188, ""//li[strong[text()='US Franchised Units:']]"")"),"Loading...")</f>
        <v>Loading...</v>
      </c>
      <c r="Z188" s="24"/>
      <c r="AA188" s="14" t="str">
        <f t="shared" si="1"/>
        <v/>
      </c>
      <c r="AB188" s="19" t="str">
        <f ca="1">IFERROR(__xludf.DUMMYFUNCTION("IMPORTXML(AI188, ""//li[strong[text()='International Franchised Units:']]"")"),"Loading...")</f>
        <v>Loading...</v>
      </c>
      <c r="AC188" s="24"/>
      <c r="AD188" s="14" t="str">
        <f t="shared" si="2"/>
        <v/>
      </c>
      <c r="AE188" s="25" t="str">
        <f ca="1">IFERROR(__xludf.DUMMYFUNCTION("IMPORTXML(AI188, ""//li[strong[text()='Sales Growth %:']]"")"),"Loading...")</f>
        <v>Loading...</v>
      </c>
      <c r="AF188" s="24"/>
      <c r="AG188" s="25" t="str">
        <f ca="1">IFERROR(__xludf.DUMMYFUNCTION("IMPORTXML(AI188, ""//li[strong[text()='Unit Growth %:']]"")"),"Loading...")</f>
        <v>Loading...</v>
      </c>
      <c r="AH188" s="25"/>
      <c r="AI188" s="48" t="s">
        <v>199</v>
      </c>
      <c r="AJ188" s="27"/>
      <c r="AK188" s="27"/>
      <c r="AL188" s="27"/>
      <c r="AM188" s="27"/>
      <c r="AN188" s="27"/>
      <c r="AO188" s="27"/>
      <c r="AP188" s="27"/>
      <c r="AQ188" s="27"/>
    </row>
    <row r="189" spans="1:43" ht="14.25" customHeight="1">
      <c r="A189" s="42">
        <v>24.187999999999999</v>
      </c>
      <c r="B189" s="14">
        <v>2024</v>
      </c>
      <c r="C189" s="15">
        <v>188</v>
      </c>
      <c r="D189" s="16" t="str">
        <f ca="1">IFERROR(__xludf.DUMMYFUNCTION("IMPORTXML(AI189, ""//h1[@itemprop='headline']/span"")"),"188. Grease Monkey")</f>
        <v>188. Grease Monkey</v>
      </c>
      <c r="E189" s="17" t="str">
        <f ca="1">IFERROR(__xludf.DUMMYFUNCTION("REGEXEXTRACT(D189, ""\.\s*(.+)"")"),"Grease Monkey")</f>
        <v>Grease Monkey</v>
      </c>
      <c r="F189" s="18" t="str">
        <f ca="1">IFERROR(__xludf.DUMMYFUNCTION("IMPORTXML(AI189, ""//li[strong[text()='Investment Range:']]"")"),"#REF!")</f>
        <v>#REF!</v>
      </c>
      <c r="G189" s="43"/>
      <c r="H189" s="18" t="str">
        <f ca="1">IFERROR(__xludf.DUMMYFUNCTION("SUBSTITUTE(REGEXEXTRACT(G189, ""\$(\d{1,3}(?:,\d{3})*)""), "","", ""."")
"),"#N/A")</f>
        <v>#N/A</v>
      </c>
      <c r="I189" s="19" t="str">
        <f ca="1">IFERROR(__xludf.DUMMYFUNCTION("SUBSTITUTE(REGEXEXTRACT(G189, ""-\s*\$(\d{1,3}(?:,\d{3})*)""), "","", ""."")
"),"#N/A")</f>
        <v>#N/A</v>
      </c>
      <c r="J189" s="19" t="str">
        <f ca="1">IFERROR(__xludf.DUMMYFUNCTION("IMPORTXML(AI189, ""//li[strong[text()='Initial Investment:']]"")"),"Loading...")</f>
        <v>Loading...</v>
      </c>
      <c r="K189" s="24"/>
      <c r="L189" s="20" t="str">
        <f ca="1">IFERROR(__xludf.DUMMYFUNCTION("IMPORTXML(AI189, ""//li[strong[text()='Category:']]"")"),"Loading...")</f>
        <v>Loading...</v>
      </c>
      <c r="M189" s="24"/>
      <c r="N189" s="19" t="str">
        <f ca="1">IFERROR(__xludf.DUMMYFUNCTION("IMPORTXML(AI189, ""//li[strong[text()='Global Sales:']]"")"),"Loading...")</f>
        <v>Loading...</v>
      </c>
      <c r="O189" s="24"/>
      <c r="P189" s="19" t="str">
        <f t="shared" si="0"/>
        <v/>
      </c>
      <c r="Q189" s="19" t="str">
        <f ca="1">IFERROR(__xludf.DUMMYFUNCTION("IMPORTXML(AI189, ""//li[strong[text()='US Units:']]"")"),"Loading...")</f>
        <v>Loading...</v>
      </c>
      <c r="R189" s="24"/>
      <c r="S189" s="19" t="str">
        <f ca="1">IFERROR(__xludf.DUMMYFUNCTION("IMPORTXML(AI189, ""//li[strong[text()='International Units:']]"")"),"Loading...")</f>
        <v>Loading...</v>
      </c>
      <c r="T189" s="44"/>
      <c r="U189" s="19" t="str">
        <f ca="1">IFERROR(__xludf.DUMMYFUNCTION("IMPORTXML(AI189, ""//li[strong[text()='Percent Franchised:']]"")"),"Loading...")</f>
        <v>Loading...</v>
      </c>
      <c r="V189" s="24"/>
      <c r="W189" s="19" t="str">
        <f ca="1">IFERROR(__xludf.DUMMYFUNCTION("IMPORTXML(AI189, ""//li[strong[text()='% International Units:']]"")"),"Loading...")</f>
        <v>Loading...</v>
      </c>
      <c r="X189" s="24"/>
      <c r="Y189" s="19" t="str">
        <f ca="1">IFERROR(__xludf.DUMMYFUNCTION("IMPORTXML(AI189, ""//li[strong[text()='US Franchised Units:']]"")"),"Loading...")</f>
        <v>Loading...</v>
      </c>
      <c r="Z189" s="24"/>
      <c r="AA189" s="14" t="str">
        <f t="shared" si="1"/>
        <v/>
      </c>
      <c r="AB189" s="19" t="str">
        <f ca="1">IFERROR(__xludf.DUMMYFUNCTION("IMPORTXML(AI189, ""//li[strong[text()='International Franchised Units:']]"")"),"Loading...")</f>
        <v>Loading...</v>
      </c>
      <c r="AC189" s="24"/>
      <c r="AD189" s="14" t="str">
        <f t="shared" si="2"/>
        <v/>
      </c>
      <c r="AE189" s="25" t="str">
        <f ca="1">IFERROR(__xludf.DUMMYFUNCTION("IMPORTXML(AI189, ""//li[strong[text()='Sales Growth %:']]"")"),"Loading...")</f>
        <v>Loading...</v>
      </c>
      <c r="AF189" s="24"/>
      <c r="AG189" s="25" t="str">
        <f ca="1">IFERROR(__xludf.DUMMYFUNCTION("IMPORTXML(AI189, ""//li[strong[text()='Unit Growth %:']]"")"),"Loading...")</f>
        <v>Loading...</v>
      </c>
      <c r="AH189" s="25"/>
      <c r="AI189" s="48" t="s">
        <v>200</v>
      </c>
      <c r="AJ189" s="27"/>
      <c r="AK189" s="27"/>
      <c r="AL189" s="27"/>
      <c r="AM189" s="27"/>
      <c r="AN189" s="27"/>
      <c r="AO189" s="27"/>
      <c r="AP189" s="27"/>
      <c r="AQ189" s="27"/>
    </row>
    <row r="190" spans="1:43" ht="14.25" customHeight="1">
      <c r="A190" s="42">
        <v>24.189</v>
      </c>
      <c r="B190" s="14">
        <v>2024</v>
      </c>
      <c r="C190" s="32">
        <v>189</v>
      </c>
      <c r="D190" s="16" t="str">
        <f ca="1">IFERROR(__xludf.DUMMYFUNCTION("IMPORTXML(AI190, ""//h1[@itemprop='headline']/span"")"),"189. Goldfish Swim School")</f>
        <v>189. Goldfish Swim School</v>
      </c>
      <c r="E190" s="17" t="str">
        <f ca="1">IFERROR(__xludf.DUMMYFUNCTION("REGEXEXTRACT(D190, ""\.\s*(.+)"")"),"Goldfish Swim School")</f>
        <v>Goldfish Swim School</v>
      </c>
      <c r="F190" s="18" t="str">
        <f ca="1">IFERROR(__xludf.DUMMYFUNCTION("IMPORTXML(AI190, ""//li[strong[text()='Investment Range:']]"")"),"Investment Range:")</f>
        <v>Investment Range:</v>
      </c>
      <c r="G190" s="43" t="str">
        <f ca="1">IFERROR(__xludf.DUMMYFUNCTION("""COMPUTED_VALUE""")," $1,673,263 - $3,728,930")</f>
        <v xml:space="preserve"> $1,673,263 - $3,728,930</v>
      </c>
      <c r="H190" s="18" t="str">
        <f ca="1">IFERROR(__xludf.DUMMYFUNCTION("SUBSTITUTE(REGEXEXTRACT(G190, ""\$(\d{1,3}(?:,\d{3})*)""), "","", ""."")
"),"1.673.263")</f>
        <v>1.673.263</v>
      </c>
      <c r="I190" s="19" t="str">
        <f ca="1">IFERROR(__xludf.DUMMYFUNCTION("SUBSTITUTE(REGEXEXTRACT(G190, ""-\s*\$(\d{1,3}(?:,\d{3})*)""), "","", ""."")
"),"3.728.930")</f>
        <v>3.728.930</v>
      </c>
      <c r="J190" s="19" t="str">
        <f ca="1">IFERROR(__xludf.DUMMYFUNCTION("IMPORTXML(AI190, ""//li[strong[text()='Initial Investment:']]"")"),"Initial Investment:")</f>
        <v>Initial Investment:</v>
      </c>
      <c r="K190" s="24" t="str">
        <f ca="1">IFERROR(__xludf.DUMMYFUNCTION("""COMPUTED_VALUE""")," $40,000 - $50,000")</f>
        <v xml:space="preserve"> $40,000 - $50,000</v>
      </c>
      <c r="L190" s="20" t="str">
        <f ca="1">IFERROR(__xludf.DUMMYFUNCTION("IMPORTXML(AI190, ""//li[strong[text()='Category:']]"")"),"Category:")</f>
        <v>Category:</v>
      </c>
      <c r="M190" s="24" t="str">
        <f ca="1">IFERROR(__xludf.DUMMYFUNCTION("""COMPUTED_VALUE""")," Personal Services")</f>
        <v xml:space="preserve"> Personal Services</v>
      </c>
      <c r="N190" s="19" t="str">
        <f ca="1">IFERROR(__xludf.DUMMYFUNCTION("IMPORTXML(AI190, ""//li[strong[text()='Global Sales:']]"")"),"Loading...")</f>
        <v>Loading...</v>
      </c>
      <c r="O190" s="24"/>
      <c r="P190" s="19" t="str">
        <f t="shared" si="0"/>
        <v/>
      </c>
      <c r="Q190" s="19" t="str">
        <f ca="1">IFERROR(__xludf.DUMMYFUNCTION("IMPORTXML(AI190, ""//li[strong[text()='US Units:']]"")"),"Loading...")</f>
        <v>Loading...</v>
      </c>
      <c r="R190" s="24"/>
      <c r="S190" s="19" t="str">
        <f ca="1">IFERROR(__xludf.DUMMYFUNCTION("IMPORTXML(AI190, ""//li[strong[text()='International Units:']]"")"),"Loading...")</f>
        <v>Loading...</v>
      </c>
      <c r="T190" s="44"/>
      <c r="U190" s="19" t="str">
        <f ca="1">IFERROR(__xludf.DUMMYFUNCTION("IMPORTXML(AI190, ""//li[strong[text()='Percent Franchised:']]"")"),"Loading...")</f>
        <v>Loading...</v>
      </c>
      <c r="V190" s="24"/>
      <c r="W190" s="19" t="str">
        <f ca="1">IFERROR(__xludf.DUMMYFUNCTION("IMPORTXML(AI190, ""//li[strong[text()='% International Units:']]"")"),"Loading...")</f>
        <v>Loading...</v>
      </c>
      <c r="X190" s="24"/>
      <c r="Y190" s="19" t="str">
        <f ca="1">IFERROR(__xludf.DUMMYFUNCTION("IMPORTXML(AI190, ""//li[strong[text()='US Franchised Units:']]"")"),"Loading...")</f>
        <v>Loading...</v>
      </c>
      <c r="Z190" s="24"/>
      <c r="AA190" s="14" t="str">
        <f t="shared" si="1"/>
        <v/>
      </c>
      <c r="AB190" s="19" t="str">
        <f ca="1">IFERROR(__xludf.DUMMYFUNCTION("IMPORTXML(AI190, ""//li[strong[text()='International Franchised Units:']]"")"),"Loading...")</f>
        <v>Loading...</v>
      </c>
      <c r="AC190" s="24"/>
      <c r="AD190" s="14" t="str">
        <f t="shared" si="2"/>
        <v/>
      </c>
      <c r="AE190" s="25" t="str">
        <f ca="1">IFERROR(__xludf.DUMMYFUNCTION("IMPORTXML(AI190, ""//li[strong[text()='Sales Growth %:']]"")"),"Loading...")</f>
        <v>Loading...</v>
      </c>
      <c r="AF190" s="24"/>
      <c r="AG190" s="25" t="str">
        <f ca="1">IFERROR(__xludf.DUMMYFUNCTION("IMPORTXML(AI190, ""//li[strong[text()='Unit Growth %:']]"")"),"Unit Growth %:")</f>
        <v>Unit Growth %:</v>
      </c>
      <c r="AH190" s="25" t="str">
        <f ca="1">IFERROR(__xludf.DUMMYFUNCTION("""COMPUTED_VALUE""")," 16.7%")</f>
        <v xml:space="preserve"> 16.7%</v>
      </c>
      <c r="AI190" s="48" t="s">
        <v>201</v>
      </c>
      <c r="AJ190" s="27"/>
      <c r="AK190" s="27"/>
      <c r="AL190" s="27"/>
      <c r="AM190" s="27"/>
      <c r="AN190" s="27"/>
      <c r="AO190" s="27"/>
      <c r="AP190" s="27"/>
      <c r="AQ190" s="27"/>
    </row>
    <row r="191" spans="1:43" ht="14.25" customHeight="1">
      <c r="A191" s="42">
        <v>24.19</v>
      </c>
      <c r="B191" s="14">
        <v>2024</v>
      </c>
      <c r="C191" s="36">
        <v>190</v>
      </c>
      <c r="D191" s="16" t="str">
        <f ca="1">IFERROR(__xludf.DUMMYFUNCTION("IMPORTXML(AI191, ""//h1[@itemprop='headline']/span"")"),"190. The Original Pancake House")</f>
        <v>190. The Original Pancake House</v>
      </c>
      <c r="E191" s="17" t="str">
        <f ca="1">IFERROR(__xludf.DUMMYFUNCTION("REGEXEXTRACT(D191, ""\.\s*(.+)"")"),"The Original Pancake House")</f>
        <v>The Original Pancake House</v>
      </c>
      <c r="F191" s="18" t="str">
        <f ca="1">IFERROR(__xludf.DUMMYFUNCTION("IMPORTXML(AI191, ""//li[strong[text()='Investment Range:']]"")"),"Investment Range:")</f>
        <v>Investment Range:</v>
      </c>
      <c r="G191" s="43" t="str">
        <f ca="1">IFERROR(__xludf.DUMMYFUNCTION("""COMPUTED_VALUE""")," $482,500 - $1,666,250")</f>
        <v xml:space="preserve"> $482,500 - $1,666,250</v>
      </c>
      <c r="H191" s="18" t="str">
        <f ca="1">IFERROR(__xludf.DUMMYFUNCTION("SUBSTITUTE(REGEXEXTRACT(G191, ""\$(\d{1,3}(?:,\d{3})*)""), "","", ""."")
"),"482.500")</f>
        <v>482.500</v>
      </c>
      <c r="I191" s="19" t="str">
        <f ca="1">IFERROR(__xludf.DUMMYFUNCTION("SUBSTITUTE(REGEXEXTRACT(G191, ""-\s*\$(\d{1,3}(?:,\d{3})*)""), "","", ""."")
"),"1.666.250")</f>
        <v>1.666.250</v>
      </c>
      <c r="J191" s="19" t="str">
        <f ca="1">IFERROR(__xludf.DUMMYFUNCTION("IMPORTXML(AI191, ""//li[strong[text()='Initial Investment:']]"")"),"Loading...")</f>
        <v>Loading...</v>
      </c>
      <c r="K191" s="24"/>
      <c r="L191" s="20" t="str">
        <f ca="1">IFERROR(__xludf.DUMMYFUNCTION("IMPORTXML(AI191, ""//li[strong[text()='Category:']]"")"),"Loading...")</f>
        <v>Loading...</v>
      </c>
      <c r="M191" s="24"/>
      <c r="N191" s="19" t="str">
        <f ca="1">IFERROR(__xludf.DUMMYFUNCTION("IMPORTXML(AI191, ""//li[strong[text()='Global Sales:']]"")"),"Loading...")</f>
        <v>Loading...</v>
      </c>
      <c r="O191" s="24"/>
      <c r="P191" s="19" t="str">
        <f t="shared" si="0"/>
        <v/>
      </c>
      <c r="Q191" s="19" t="str">
        <f ca="1">IFERROR(__xludf.DUMMYFUNCTION("IMPORTXML(AI191, ""//li[strong[text()='US Units:']]"")"),"US Units:")</f>
        <v>US Units:</v>
      </c>
      <c r="R191" s="24">
        <f ca="1">IFERROR(__xludf.DUMMYFUNCTION("""COMPUTED_VALUE"""),129)</f>
        <v>129</v>
      </c>
      <c r="S191" s="19" t="str">
        <f ca="1">IFERROR(__xludf.DUMMYFUNCTION("IMPORTXML(AI191, ""//li[strong[text()='International Units:']]"")"),"Loading...")</f>
        <v>Loading...</v>
      </c>
      <c r="T191" s="44"/>
      <c r="U191" s="19" t="str">
        <f ca="1">IFERROR(__xludf.DUMMYFUNCTION("IMPORTXML(AI191, ""//li[strong[text()='Percent Franchised:']]"")"),"Loading...")</f>
        <v>Loading...</v>
      </c>
      <c r="V191" s="24"/>
      <c r="W191" s="19" t="str">
        <f ca="1">IFERROR(__xludf.DUMMYFUNCTION("IMPORTXML(AI191, ""//li[strong[text()='% International Units:']]"")"),"Loading...")</f>
        <v>Loading...</v>
      </c>
      <c r="X191" s="24"/>
      <c r="Y191" s="19" t="str">
        <f ca="1">IFERROR(__xludf.DUMMYFUNCTION("IMPORTXML(AI191, ""//li[strong[text()='US Franchised Units:']]"")"),"Loading...")</f>
        <v>Loading...</v>
      </c>
      <c r="Z191" s="24"/>
      <c r="AA191" s="14" t="str">
        <f t="shared" si="1"/>
        <v/>
      </c>
      <c r="AB191" s="19" t="str">
        <f ca="1">IFERROR(__xludf.DUMMYFUNCTION("IMPORTXML(AI191, ""//li[strong[text()='International Franchised Units:']]"")"),"Loading...")</f>
        <v>Loading...</v>
      </c>
      <c r="AC191" s="24"/>
      <c r="AD191" s="14" t="str">
        <f t="shared" si="2"/>
        <v/>
      </c>
      <c r="AE191" s="25" t="str">
        <f ca="1">IFERROR(__xludf.DUMMYFUNCTION("IMPORTXML(AI191, ""//li[strong[text()='Sales Growth %:']]"")"),"Loading...")</f>
        <v>Loading...</v>
      </c>
      <c r="AF191" s="24"/>
      <c r="AG191" s="25" t="str">
        <f ca="1">IFERROR(__xludf.DUMMYFUNCTION("IMPORTXML(AI191, ""//li[strong[text()='Unit Growth %:']]"")"),"Loading...")</f>
        <v>Loading...</v>
      </c>
      <c r="AH191" s="25"/>
      <c r="AI191" s="48" t="s">
        <v>202</v>
      </c>
      <c r="AJ191" s="27"/>
      <c r="AK191" s="27"/>
      <c r="AL191" s="27"/>
      <c r="AM191" s="27"/>
      <c r="AN191" s="27"/>
      <c r="AO191" s="27"/>
      <c r="AP191" s="27"/>
      <c r="AQ191" s="27"/>
    </row>
    <row r="192" spans="1:43" ht="14.25" customHeight="1">
      <c r="A192" s="42">
        <v>24.190999999999999</v>
      </c>
      <c r="B192" s="14">
        <v>2024</v>
      </c>
      <c r="C192" s="36">
        <v>191</v>
      </c>
      <c r="D192" s="16" t="str">
        <f ca="1">IFERROR(__xludf.DUMMYFUNCTION("IMPORTXML(AI192, ""//h1[@itemprop='headline']/span"")"),"191. InXpress")</f>
        <v>191. InXpress</v>
      </c>
      <c r="E192" s="17" t="str">
        <f ca="1">IFERROR(__xludf.DUMMYFUNCTION("REGEXEXTRACT(D192, ""\.\s*(.+)"")"),"InXpress")</f>
        <v>InXpress</v>
      </c>
      <c r="F192" s="18" t="str">
        <f ca="1">IFERROR(__xludf.DUMMYFUNCTION("IMPORTXML(AI192, ""//li[strong[text()='Investment Range:']]"")"),"Investment Range:")</f>
        <v>Investment Range:</v>
      </c>
      <c r="G192" s="43" t="str">
        <f ca="1">IFERROR(__xludf.DUMMYFUNCTION("""COMPUTED_VALUE""")," $86,900 - $168,290")</f>
        <v xml:space="preserve"> $86,900 - $168,290</v>
      </c>
      <c r="H192" s="18" t="str">
        <f ca="1">IFERROR(__xludf.DUMMYFUNCTION("SUBSTITUTE(REGEXEXTRACT(G192, ""\$(\d{1,3}(?:,\d{3})*)""), "","", ""."")
"),"86.900")</f>
        <v>86.900</v>
      </c>
      <c r="I192" s="19" t="str">
        <f ca="1">IFERROR(__xludf.DUMMYFUNCTION("SUBSTITUTE(REGEXEXTRACT(G192, ""-\s*\$(\d{1,3}(?:,\d{3})*)""), "","", ""."")
"),"168.290")</f>
        <v>168.290</v>
      </c>
      <c r="J192" s="19" t="str">
        <f ca="1">IFERROR(__xludf.DUMMYFUNCTION("IMPORTXML(AI192, ""//li[strong[text()='Initial Investment:']]"")"),"Loading...")</f>
        <v>Loading...</v>
      </c>
      <c r="K192" s="24"/>
      <c r="L192" s="20" t="str">
        <f ca="1">IFERROR(__xludf.DUMMYFUNCTION("IMPORTXML(AI192, ""//li[strong[text()='Category:']]"")"),"Loading...")</f>
        <v>Loading...</v>
      </c>
      <c r="M192" s="24"/>
      <c r="N192" s="19" t="str">
        <f ca="1">IFERROR(__xludf.DUMMYFUNCTION("IMPORTXML(AI192, ""//li[strong[text()='Global Sales:']]"")"),"Loading...")</f>
        <v>Loading...</v>
      </c>
      <c r="O192" s="24"/>
      <c r="P192" s="19" t="str">
        <f t="shared" si="0"/>
        <v/>
      </c>
      <c r="Q192" s="19" t="str">
        <f ca="1">IFERROR(__xludf.DUMMYFUNCTION("IMPORTXML(AI192, ""//li[strong[text()='US Units:']]"")"),"Loading...")</f>
        <v>Loading...</v>
      </c>
      <c r="R192" s="24"/>
      <c r="S192" s="19" t="str">
        <f ca="1">IFERROR(__xludf.DUMMYFUNCTION("IMPORTXML(AI192, ""//li[strong[text()='International Units:']]"")"),"Loading...")</f>
        <v>Loading...</v>
      </c>
      <c r="T192" s="44"/>
      <c r="U192" s="19" t="str">
        <f ca="1">IFERROR(__xludf.DUMMYFUNCTION("IMPORTXML(AI192, ""//li[strong[text()='Percent Franchised:']]"")"),"Loading...")</f>
        <v>Loading...</v>
      </c>
      <c r="V192" s="24"/>
      <c r="W192" s="19" t="str">
        <f ca="1">IFERROR(__xludf.DUMMYFUNCTION("IMPORTXML(AI192, ""//li[strong[text()='% International Units:']]"")"),"Loading...")</f>
        <v>Loading...</v>
      </c>
      <c r="X192" s="24"/>
      <c r="Y192" s="19" t="str">
        <f ca="1">IFERROR(__xludf.DUMMYFUNCTION("IMPORTXML(AI192, ""//li[strong[text()='US Franchised Units:']]"")"),"US Franchised Units:")</f>
        <v>US Franchised Units:</v>
      </c>
      <c r="Z192" s="24">
        <f ca="1">IFERROR(__xludf.DUMMYFUNCTION("""COMPUTED_VALUE"""),75)</f>
        <v>75</v>
      </c>
      <c r="AA192" s="14" t="str">
        <f t="shared" ca="1" si="1"/>
        <v>75</v>
      </c>
      <c r="AB192" s="19" t="str">
        <f ca="1">IFERROR(__xludf.DUMMYFUNCTION("IMPORTXML(AI192, ""//li[strong[text()='International Franchised Units:']]"")"),"Loading...")</f>
        <v>Loading...</v>
      </c>
      <c r="AC192" s="24"/>
      <c r="AD192" s="14" t="str">
        <f t="shared" si="2"/>
        <v/>
      </c>
      <c r="AE192" s="25" t="str">
        <f ca="1">IFERROR(__xludf.DUMMYFUNCTION("IMPORTXML(AI192, ""//li[strong[text()='Sales Growth %:']]"")"),"Sales Growth %:")</f>
        <v>Sales Growth %:</v>
      </c>
      <c r="AF192" s="24" t="str">
        <f ca="1">IFERROR(__xludf.DUMMYFUNCTION("""COMPUTED_VALUE""")," -9.1%")</f>
        <v xml:space="preserve"> -9.1%</v>
      </c>
      <c r="AG192" s="25" t="str">
        <f ca="1">IFERROR(__xludf.DUMMYFUNCTION("IMPORTXML(AI192, ""//li[strong[text()='Unit Growth %:']]"")"),"Loading...")</f>
        <v>Loading...</v>
      </c>
      <c r="AH192" s="25"/>
      <c r="AI192" s="48" t="s">
        <v>203</v>
      </c>
      <c r="AJ192" s="27"/>
      <c r="AK192" s="27"/>
      <c r="AL192" s="27"/>
      <c r="AM192" s="27"/>
      <c r="AN192" s="27"/>
      <c r="AO192" s="27"/>
      <c r="AP192" s="27"/>
      <c r="AQ192" s="27"/>
    </row>
    <row r="193" spans="1:43" ht="14.25" customHeight="1">
      <c r="A193" s="42">
        <v>24.192</v>
      </c>
      <c r="B193" s="14">
        <v>2024</v>
      </c>
      <c r="C193" s="15">
        <v>192</v>
      </c>
      <c r="D193" s="16" t="str">
        <f ca="1">IFERROR(__xludf.DUMMYFUNCTION("IMPORTXML(AI193, ""//h1[@itemprop='headline']/span"")"),"192. The Cleaning Authority")</f>
        <v>192. The Cleaning Authority</v>
      </c>
      <c r="E193" s="17" t="str">
        <f ca="1">IFERROR(__xludf.DUMMYFUNCTION("REGEXEXTRACT(D193, ""\.\s*(.+)"")"),"The Cleaning Authority")</f>
        <v>The Cleaning Authority</v>
      </c>
      <c r="F193" s="18" t="str">
        <f ca="1">IFERROR(__xludf.DUMMYFUNCTION("IMPORTXML(AI193, ""//li[strong[text()='Investment Range:']]"")"),"Investment Range:")</f>
        <v>Investment Range:</v>
      </c>
      <c r="G193" s="43" t="str">
        <f ca="1">IFERROR(__xludf.DUMMYFUNCTION("""COMPUTED_VALUE""")," $105,278 - $172,654")</f>
        <v xml:space="preserve"> $105,278 - $172,654</v>
      </c>
      <c r="H193" s="18" t="str">
        <f ca="1">IFERROR(__xludf.DUMMYFUNCTION("SUBSTITUTE(REGEXEXTRACT(G193, ""\$(\d{1,3}(?:,\d{3})*)""), "","", ""."")
"),"105.278")</f>
        <v>105.278</v>
      </c>
      <c r="I193" s="19" t="str">
        <f ca="1">IFERROR(__xludf.DUMMYFUNCTION("SUBSTITUTE(REGEXEXTRACT(G193, ""-\s*\$(\d{1,3}(?:,\d{3})*)""), "","", ""."")
"),"172.654")</f>
        <v>172.654</v>
      </c>
      <c r="J193" s="19" t="str">
        <f ca="1">IFERROR(__xludf.DUMMYFUNCTION("IMPORTXML(AI193, ""//li[strong[text()='Initial Investment:']]"")"),"Loading...")</f>
        <v>Loading...</v>
      </c>
      <c r="K193" s="24"/>
      <c r="L193" s="20" t="str">
        <f ca="1">IFERROR(__xludf.DUMMYFUNCTION("IMPORTXML(AI193, ""//li[strong[text()='Category:']]"")"),"Category:")</f>
        <v>Category:</v>
      </c>
      <c r="M193" s="24" t="str">
        <f ca="1">IFERROR(__xludf.DUMMYFUNCTION("""COMPUTED_VALUE""")," Cleaning Services")</f>
        <v xml:space="preserve"> Cleaning Services</v>
      </c>
      <c r="N193" s="19" t="str">
        <f ca="1">IFERROR(__xludf.DUMMYFUNCTION("IMPORTXML(AI193, ""//li[strong[text()='Global Sales:']]"")"),"Loading...")</f>
        <v>Loading...</v>
      </c>
      <c r="O193" s="24"/>
      <c r="P193" s="19" t="str">
        <f t="shared" si="0"/>
        <v/>
      </c>
      <c r="Q193" s="19" t="str">
        <f ca="1">IFERROR(__xludf.DUMMYFUNCTION("IMPORTXML(AI193, ""//li[strong[text()='US Units:']]"")"),"Loading...")</f>
        <v>Loading...</v>
      </c>
      <c r="R193" s="24"/>
      <c r="S193" s="19" t="str">
        <f ca="1">IFERROR(__xludf.DUMMYFUNCTION("IMPORTXML(AI193, ""//li[strong[text()='International Units:']]"")"),"Loading...")</f>
        <v>Loading...</v>
      </c>
      <c r="T193" s="44"/>
      <c r="U193" s="19" t="str">
        <f ca="1">IFERROR(__xludf.DUMMYFUNCTION("IMPORTXML(AI193, ""//li[strong[text()='Percent Franchised:']]"")"),"Loading...")</f>
        <v>Loading...</v>
      </c>
      <c r="V193" s="24"/>
      <c r="W193" s="19" t="str">
        <f ca="1">IFERROR(__xludf.DUMMYFUNCTION("IMPORTXML(AI193, ""//li[strong[text()='% International Units:']]"")"),"Loading...")</f>
        <v>Loading...</v>
      </c>
      <c r="X193" s="24"/>
      <c r="Y193" s="19" t="str">
        <f ca="1">IFERROR(__xludf.DUMMYFUNCTION("IMPORTXML(AI193, ""//li[strong[text()='US Franchised Units:']]"")"),"Loading...")</f>
        <v>Loading...</v>
      </c>
      <c r="Z193" s="24"/>
      <c r="AA193" s="14" t="str">
        <f t="shared" si="1"/>
        <v/>
      </c>
      <c r="AB193" s="19" t="str">
        <f ca="1">IFERROR(__xludf.DUMMYFUNCTION("IMPORTXML(AI193, ""//li[strong[text()='International Franchised Units:']]"")"),"Loading...")</f>
        <v>Loading...</v>
      </c>
      <c r="AC193" s="24"/>
      <c r="AD193" s="14" t="str">
        <f t="shared" si="2"/>
        <v/>
      </c>
      <c r="AE193" s="25" t="str">
        <f ca="1">IFERROR(__xludf.DUMMYFUNCTION("IMPORTXML(AI193, ""//li[strong[text()='Sales Growth %:']]"")"),"Loading...")</f>
        <v>Loading...</v>
      </c>
      <c r="AF193" s="24"/>
      <c r="AG193" s="25" t="str">
        <f ca="1">IFERROR(__xludf.DUMMYFUNCTION("IMPORTXML(AI193, ""//li[strong[text()='Unit Growth %:']]"")"),"Loading...")</f>
        <v>Loading...</v>
      </c>
      <c r="AH193" s="25"/>
      <c r="AI193" s="48" t="s">
        <v>204</v>
      </c>
      <c r="AJ193" s="27"/>
      <c r="AK193" s="27"/>
      <c r="AL193" s="27"/>
      <c r="AM193" s="27"/>
      <c r="AN193" s="27"/>
      <c r="AO193" s="27"/>
      <c r="AP193" s="27"/>
      <c r="AQ193" s="27"/>
    </row>
    <row r="194" spans="1:43" ht="14.25" customHeight="1">
      <c r="A194" s="42">
        <v>24.193000000000001</v>
      </c>
      <c r="B194" s="14">
        <v>2024</v>
      </c>
      <c r="C194" s="32">
        <v>193</v>
      </c>
      <c r="D194" s="16" t="str">
        <f ca="1">IFERROR(__xludf.DUMMYFUNCTION("IMPORTXML(AI194, ""//h1[@itemprop='headline']/span"")"),"193. Shipley Do-Nuts")</f>
        <v>193. Shipley Do-Nuts</v>
      </c>
      <c r="E194" s="17" t="str">
        <f ca="1">IFERROR(__xludf.DUMMYFUNCTION("REGEXEXTRACT(D194, ""\.\s*(.+)"")"),"Shipley Do-Nuts")</f>
        <v>Shipley Do-Nuts</v>
      </c>
      <c r="F194" s="18" t="str">
        <f ca="1">IFERROR(__xludf.DUMMYFUNCTION("IMPORTXML(AI194, ""//li[strong[text()='Investment Range:']]"")"),"#N/A")</f>
        <v>#N/A</v>
      </c>
      <c r="G194" s="43"/>
      <c r="H194" s="18" t="str">
        <f ca="1">IFERROR(__xludf.DUMMYFUNCTION("SUBSTITUTE(REGEXEXTRACT(G194, ""\$(\d{1,3}(?:,\d{3})*)""), "","", ""."")
"),"#N/A")</f>
        <v>#N/A</v>
      </c>
      <c r="I194" s="19" t="str">
        <f ca="1">IFERROR(__xludf.DUMMYFUNCTION("SUBSTITUTE(REGEXEXTRACT(G194, ""-\s*\$(\d{1,3}(?:,\d{3})*)""), "","", ""."")
"),"#N/A")</f>
        <v>#N/A</v>
      </c>
      <c r="J194" s="19" t="str">
        <f ca="1">IFERROR(__xludf.DUMMYFUNCTION("IMPORTXML(AI194, ""//li[strong[text()='Initial Investment:']]"")"),"Loading...")</f>
        <v>Loading...</v>
      </c>
      <c r="K194" s="24"/>
      <c r="L194" s="20" t="str">
        <f ca="1">IFERROR(__xludf.DUMMYFUNCTION("IMPORTXML(AI194, ""//li[strong[text()='Category:']]"")"),"Loading...")</f>
        <v>Loading...</v>
      </c>
      <c r="M194" s="24"/>
      <c r="N194" s="19" t="str">
        <f ca="1">IFERROR(__xludf.DUMMYFUNCTION("IMPORTXML(AI194, ""//li[strong[text()='Global Sales:']]"")"),"Loading...")</f>
        <v>Loading...</v>
      </c>
      <c r="O194" s="24"/>
      <c r="P194" s="19" t="str">
        <f t="shared" si="0"/>
        <v/>
      </c>
      <c r="Q194" s="19" t="str">
        <f ca="1">IFERROR(__xludf.DUMMYFUNCTION("IMPORTXML(AI194, ""//li[strong[text()='US Units:']]"")"),"Loading...")</f>
        <v>Loading...</v>
      </c>
      <c r="R194" s="24"/>
      <c r="S194" s="19" t="str">
        <f ca="1">IFERROR(__xludf.DUMMYFUNCTION("IMPORTXML(AI194, ""//li[strong[text()='International Units:']]"")"),"Loading...")</f>
        <v>Loading...</v>
      </c>
      <c r="T194" s="44"/>
      <c r="U194" s="19" t="str">
        <f ca="1">IFERROR(__xludf.DUMMYFUNCTION("IMPORTXML(AI194, ""//li[strong[text()='Percent Franchised:']]"")"),"Loading...")</f>
        <v>Loading...</v>
      </c>
      <c r="V194" s="24"/>
      <c r="W194" s="19" t="str">
        <f ca="1">IFERROR(__xludf.DUMMYFUNCTION("IMPORTXML(AI194, ""//li[strong[text()='% International Units:']]"")"),"Loading...")</f>
        <v>Loading...</v>
      </c>
      <c r="X194" s="24"/>
      <c r="Y194" s="19" t="str">
        <f ca="1">IFERROR(__xludf.DUMMYFUNCTION("IMPORTXML(AI194, ""//li[strong[text()='US Franchised Units:']]"")"),"Loading...")</f>
        <v>Loading...</v>
      </c>
      <c r="Z194" s="24"/>
      <c r="AA194" s="14" t="str">
        <f t="shared" si="1"/>
        <v/>
      </c>
      <c r="AB194" s="19" t="str">
        <f ca="1">IFERROR(__xludf.DUMMYFUNCTION("IMPORTXML(AI194, ""//li[strong[text()='International Franchised Units:']]"")"),"Loading...")</f>
        <v>Loading...</v>
      </c>
      <c r="AC194" s="24"/>
      <c r="AD194" s="14" t="str">
        <f t="shared" si="2"/>
        <v/>
      </c>
      <c r="AE194" s="25" t="str">
        <f ca="1">IFERROR(__xludf.DUMMYFUNCTION("IMPORTXML(AI194, ""//li[strong[text()='Sales Growth %:']]"")"),"Loading...")</f>
        <v>Loading...</v>
      </c>
      <c r="AF194" s="24"/>
      <c r="AG194" s="25" t="str">
        <f ca="1">IFERROR(__xludf.DUMMYFUNCTION("IMPORTXML(AI194, ""//li[strong[text()='Unit Growth %:']]"")"),"Loading...")</f>
        <v>Loading...</v>
      </c>
      <c r="AH194" s="25"/>
      <c r="AI194" s="48" t="s">
        <v>205</v>
      </c>
      <c r="AJ194" s="27"/>
      <c r="AK194" s="27"/>
      <c r="AL194" s="27"/>
      <c r="AM194" s="27"/>
      <c r="AN194" s="27"/>
      <c r="AO194" s="27"/>
      <c r="AP194" s="27"/>
      <c r="AQ194" s="27"/>
    </row>
    <row r="195" spans="1:43" ht="14.25" customHeight="1">
      <c r="A195" s="42">
        <v>24.193999999999999</v>
      </c>
      <c r="B195" s="14">
        <v>2024</v>
      </c>
      <c r="C195" s="36">
        <v>194</v>
      </c>
      <c r="D195" s="16" t="str">
        <f ca="1">IFERROR(__xludf.DUMMYFUNCTION("IMPORTXML(AI195, ""//h1[@itemprop='headline']/span"")"),"194. The Krystal Company")</f>
        <v>194. The Krystal Company</v>
      </c>
      <c r="E195" s="17" t="str">
        <f ca="1">IFERROR(__xludf.DUMMYFUNCTION("REGEXEXTRACT(D195, ""\.\s*(.+)"")"),"The Krystal Company")</f>
        <v>The Krystal Company</v>
      </c>
      <c r="F195" s="18" t="str">
        <f ca="1">IFERROR(__xludf.DUMMYFUNCTION("IMPORTXML(AI195, ""//li[strong[text()='Investment Range:']]"")"),"Investment Range:")</f>
        <v>Investment Range:</v>
      </c>
      <c r="G195" s="43" t="str">
        <f ca="1">IFERROR(__xludf.DUMMYFUNCTION("""COMPUTED_VALUE""")," $1,253,000 - $1,882,500")</f>
        <v xml:space="preserve"> $1,253,000 - $1,882,500</v>
      </c>
      <c r="H195" s="18" t="str">
        <f ca="1">IFERROR(__xludf.DUMMYFUNCTION("SUBSTITUTE(REGEXEXTRACT(G195, ""\$(\d{1,3}(?:,\d{3})*)""), "","", ""."")
"),"1.253.000")</f>
        <v>1.253.000</v>
      </c>
      <c r="I195" s="19" t="str">
        <f ca="1">IFERROR(__xludf.DUMMYFUNCTION("SUBSTITUTE(REGEXEXTRACT(G195, ""-\s*\$(\d{1,3}(?:,\d{3})*)""), "","", ""."")
"),"1.882.500")</f>
        <v>1.882.500</v>
      </c>
      <c r="J195" s="19" t="str">
        <f ca="1">IFERROR(__xludf.DUMMYFUNCTION("IMPORTXML(AI195, ""//li[strong[text()='Initial Investment:']]"")"),"Initial Investment:")</f>
        <v>Initial Investment:</v>
      </c>
      <c r="K195" s="24" t="str">
        <f ca="1">IFERROR(__xludf.DUMMYFUNCTION("""COMPUTED_VALUE""")," $32,500")</f>
        <v xml:space="preserve"> $32,500</v>
      </c>
      <c r="L195" s="20" t="str">
        <f ca="1">IFERROR(__xludf.DUMMYFUNCTION("IMPORTXML(AI195, ""//li[strong[text()='Category:']]"")"),"Loading...")</f>
        <v>Loading...</v>
      </c>
      <c r="M195" s="24"/>
      <c r="N195" s="19" t="str">
        <f ca="1">IFERROR(__xludf.DUMMYFUNCTION("IMPORTXML(AI195, ""//li[strong[text()='Global Sales:']]"")"),"Loading...")</f>
        <v>Loading...</v>
      </c>
      <c r="O195" s="24"/>
      <c r="P195" s="19" t="str">
        <f t="shared" si="0"/>
        <v/>
      </c>
      <c r="Q195" s="19" t="str">
        <f ca="1">IFERROR(__xludf.DUMMYFUNCTION("IMPORTXML(AI195, ""//li[strong[text()='US Units:']]"")"),"Loading...")</f>
        <v>Loading...</v>
      </c>
      <c r="R195" s="24"/>
      <c r="S195" s="19" t="str">
        <f ca="1">IFERROR(__xludf.DUMMYFUNCTION("IMPORTXML(AI195, ""//li[strong[text()='International Units:']]"")"),"Loading...")</f>
        <v>Loading...</v>
      </c>
      <c r="T195" s="44"/>
      <c r="U195" s="19" t="str">
        <f ca="1">IFERROR(__xludf.DUMMYFUNCTION("IMPORTXML(AI195, ""//li[strong[text()='Percent Franchised:']]"")"),"Loading...")</f>
        <v>Loading...</v>
      </c>
      <c r="V195" s="24"/>
      <c r="W195" s="19" t="str">
        <f ca="1">IFERROR(__xludf.DUMMYFUNCTION("IMPORTXML(AI195, ""//li[strong[text()='% International Units:']]"")"),"Loading...")</f>
        <v>Loading...</v>
      </c>
      <c r="X195" s="24"/>
      <c r="Y195" s="19" t="str">
        <f ca="1">IFERROR(__xludf.DUMMYFUNCTION("IMPORTXML(AI195, ""//li[strong[text()='US Franchised Units:']]"")"),"US Franchised Units:")</f>
        <v>US Franchised Units:</v>
      </c>
      <c r="Z195" s="24">
        <f ca="1">IFERROR(__xludf.DUMMYFUNCTION("""COMPUTED_VALUE"""),143)</f>
        <v>143</v>
      </c>
      <c r="AA195" s="14" t="str">
        <f t="shared" ca="1" si="1"/>
        <v>143</v>
      </c>
      <c r="AB195" s="19" t="str">
        <f ca="1">IFERROR(__xludf.DUMMYFUNCTION("IMPORTXML(AI195, ""//li[strong[text()='International Franchised Units:']]"")"),"Loading...")</f>
        <v>Loading...</v>
      </c>
      <c r="AC195" s="24"/>
      <c r="AD195" s="14" t="str">
        <f t="shared" si="2"/>
        <v/>
      </c>
      <c r="AE195" s="25" t="str">
        <f ca="1">IFERROR(__xludf.DUMMYFUNCTION("IMPORTXML(AI195, ""//li[strong[text()='Sales Growth %:']]"")"),"Sales Growth %:")</f>
        <v>Sales Growth %:</v>
      </c>
      <c r="AF195" s="24" t="str">
        <f ca="1">IFERROR(__xludf.DUMMYFUNCTION("""COMPUTED_VALUE""")," -3.2%")</f>
        <v xml:space="preserve"> -3.2%</v>
      </c>
      <c r="AG195" s="25" t="str">
        <f ca="1">IFERROR(__xludf.DUMMYFUNCTION("IMPORTXML(AI195, ""//li[strong[text()='Unit Growth %:']]"")"),"Loading...")</f>
        <v>Loading...</v>
      </c>
      <c r="AH195" s="25"/>
      <c r="AI195" s="48" t="s">
        <v>206</v>
      </c>
      <c r="AJ195" s="27"/>
      <c r="AK195" s="27"/>
      <c r="AL195" s="27"/>
      <c r="AM195" s="27"/>
      <c r="AN195" s="27"/>
      <c r="AO195" s="27"/>
      <c r="AP195" s="27"/>
      <c r="AQ195" s="27"/>
    </row>
    <row r="196" spans="1:43" ht="14.25" customHeight="1">
      <c r="A196" s="42">
        <v>24.195</v>
      </c>
      <c r="B196" s="14">
        <v>2024</v>
      </c>
      <c r="C196" s="36">
        <v>195</v>
      </c>
      <c r="D196" s="16" t="str">
        <f ca="1">IFERROR(__xludf.DUMMYFUNCTION("IMPORTXML(AI196, ""//h1[@itemprop='headline']/span"")"),"195. Molly Maid")</f>
        <v>195. Molly Maid</v>
      </c>
      <c r="E196" s="17" t="str">
        <f ca="1">IFERROR(__xludf.DUMMYFUNCTION("REGEXEXTRACT(D196, ""\.\s*(.+)"")"),"Molly Maid")</f>
        <v>Molly Maid</v>
      </c>
      <c r="F196" s="18" t="str">
        <f ca="1">IFERROR(__xludf.DUMMYFUNCTION("IMPORTXML(AI196, ""//li[strong[text()='Investment Range:']]"")"),"Investment Range:")</f>
        <v>Investment Range:</v>
      </c>
      <c r="G196" s="43" t="str">
        <f ca="1">IFERROR(__xludf.DUMMYFUNCTION("""COMPUTED_VALUE""")," $138,300 - $196,200")</f>
        <v xml:space="preserve"> $138,300 - $196,200</v>
      </c>
      <c r="H196" s="18" t="str">
        <f ca="1">IFERROR(__xludf.DUMMYFUNCTION("SUBSTITUTE(REGEXEXTRACT(G196, ""\$(\d{1,3}(?:,\d{3})*)""), "","", ""."")
"),"138.300")</f>
        <v>138.300</v>
      </c>
      <c r="I196" s="19" t="str">
        <f ca="1">IFERROR(__xludf.DUMMYFUNCTION("SUBSTITUTE(REGEXEXTRACT(G196, ""-\s*\$(\d{1,3}(?:,\d{3})*)""), "","", ""."")
"),"196.200")</f>
        <v>196.200</v>
      </c>
      <c r="J196" s="19" t="str">
        <f ca="1">IFERROR(__xludf.DUMMYFUNCTION("IMPORTXML(AI196, ""//li[strong[text()='Initial Investment:']]"")"),"Loading...")</f>
        <v>Loading...</v>
      </c>
      <c r="K196" s="24"/>
      <c r="L196" s="20" t="str">
        <f ca="1">IFERROR(__xludf.DUMMYFUNCTION("IMPORTXML(AI196, ""//li[strong[text()='Category:']]"")"),"Loading...")</f>
        <v>Loading...</v>
      </c>
      <c r="M196" s="24"/>
      <c r="N196" s="19" t="str">
        <f ca="1">IFERROR(__xludf.DUMMYFUNCTION("IMPORTXML(AI196, ""//li[strong[text()='Global Sales:']]"")"),"Loading...")</f>
        <v>Loading...</v>
      </c>
      <c r="O196" s="24"/>
      <c r="P196" s="19" t="str">
        <f t="shared" si="0"/>
        <v/>
      </c>
      <c r="Q196" s="19" t="str">
        <f ca="1">IFERROR(__xludf.DUMMYFUNCTION("IMPORTXML(AI196, ""//li[strong[text()='US Units:']]"")"),"Loading...")</f>
        <v>Loading...</v>
      </c>
      <c r="R196" s="24"/>
      <c r="S196" s="19" t="str">
        <f ca="1">IFERROR(__xludf.DUMMYFUNCTION("IMPORTXML(AI196, ""//li[strong[text()='International Units:']]"")"),"Loading...")</f>
        <v>Loading...</v>
      </c>
      <c r="T196" s="44"/>
      <c r="U196" s="19" t="str">
        <f ca="1">IFERROR(__xludf.DUMMYFUNCTION("IMPORTXML(AI196, ""//li[strong[text()='Percent Franchised:']]"")"),"Loading...")</f>
        <v>Loading...</v>
      </c>
      <c r="V196" s="24"/>
      <c r="W196" s="19" t="str">
        <f ca="1">IFERROR(__xludf.DUMMYFUNCTION("IMPORTXML(AI196, ""//li[strong[text()='% International Units:']]"")"),"Loading...")</f>
        <v>Loading...</v>
      </c>
      <c r="X196" s="24"/>
      <c r="Y196" s="19" t="str">
        <f ca="1">IFERROR(__xludf.DUMMYFUNCTION("IMPORTXML(AI196, ""//li[strong[text()='US Franchised Units:']]"")"),"Loading...")</f>
        <v>Loading...</v>
      </c>
      <c r="Z196" s="24"/>
      <c r="AA196" s="14" t="str">
        <f t="shared" si="1"/>
        <v/>
      </c>
      <c r="AB196" s="19" t="str">
        <f ca="1">IFERROR(__xludf.DUMMYFUNCTION("IMPORTXML(AI196, ""//li[strong[text()='International Franchised Units:']]"")"),"Loading...")</f>
        <v>Loading...</v>
      </c>
      <c r="AC196" s="24"/>
      <c r="AD196" s="14" t="str">
        <f t="shared" si="2"/>
        <v/>
      </c>
      <c r="AE196" s="25" t="str">
        <f ca="1">IFERROR(__xludf.DUMMYFUNCTION("IMPORTXML(AI196, ""//li[strong[text()='Sales Growth %:']]"")"),"Loading...")</f>
        <v>Loading...</v>
      </c>
      <c r="AF196" s="24"/>
      <c r="AG196" s="25" t="str">
        <f ca="1">IFERROR(__xludf.DUMMYFUNCTION("IMPORTXML(AI196, ""//li[strong[text()='Unit Growth %:']]"")"),"Loading...")</f>
        <v>Loading...</v>
      </c>
      <c r="AH196" s="25"/>
      <c r="AI196" s="48" t="s">
        <v>207</v>
      </c>
      <c r="AJ196" s="27"/>
      <c r="AK196" s="27"/>
      <c r="AL196" s="27"/>
      <c r="AM196" s="27"/>
      <c r="AN196" s="27"/>
      <c r="AO196" s="27"/>
      <c r="AP196" s="27"/>
      <c r="AQ196" s="27"/>
    </row>
    <row r="197" spans="1:43" ht="14.25" customHeight="1">
      <c r="A197" s="42">
        <v>24.196000000000002</v>
      </c>
      <c r="B197" s="14">
        <v>2024</v>
      </c>
      <c r="C197" s="15">
        <v>196</v>
      </c>
      <c r="D197" s="16" t="str">
        <f ca="1">IFERROR(__xludf.DUMMYFUNCTION("IMPORTXML(AI197, ""//h1[@itemprop='headline']/span"")"),"196. Sola Salons")</f>
        <v>196. Sola Salons</v>
      </c>
      <c r="E197" s="17" t="str">
        <f ca="1">IFERROR(__xludf.DUMMYFUNCTION("REGEXEXTRACT(D197, ""\.\s*(.+)"")"),"Sola Salons")</f>
        <v>Sola Salons</v>
      </c>
      <c r="F197" s="18" t="str">
        <f ca="1">IFERROR(__xludf.DUMMYFUNCTION("IMPORTXML(AI197, ""//li[strong[text()='Investment Range:']]"")"),"Investment Range:")</f>
        <v>Investment Range:</v>
      </c>
      <c r="G197" s="43" t="str">
        <f ca="1">IFERROR(__xludf.DUMMYFUNCTION("""COMPUTED_VALUE""")," $924,021 - $1,957,824")</f>
        <v xml:space="preserve"> $924,021 - $1,957,824</v>
      </c>
      <c r="H197" s="18" t="str">
        <f ca="1">IFERROR(__xludf.DUMMYFUNCTION("SUBSTITUTE(REGEXEXTRACT(G197, ""\$(\d{1,3}(?:,\d{3})*)""), "","", ""."")
"),"924.021")</f>
        <v>924.021</v>
      </c>
      <c r="I197" s="19" t="str">
        <f ca="1">IFERROR(__xludf.DUMMYFUNCTION("SUBSTITUTE(REGEXEXTRACT(G197, ""-\s*\$(\d{1,3}(?:,\d{3})*)""), "","", ""."")
"),"1.957.824")</f>
        <v>1.957.824</v>
      </c>
      <c r="J197" s="19" t="str">
        <f ca="1">IFERROR(__xludf.DUMMYFUNCTION("IMPORTXML(AI197, ""//li[strong[text()='Initial Investment:']]"")"),"Loading...")</f>
        <v>Loading...</v>
      </c>
      <c r="K197" s="24"/>
      <c r="L197" s="20" t="str">
        <f ca="1">IFERROR(__xludf.DUMMYFUNCTION("IMPORTXML(AI197, ""//li[strong[text()='Category:']]"")"),"Loading...")</f>
        <v>Loading...</v>
      </c>
      <c r="M197" s="24"/>
      <c r="N197" s="19" t="str">
        <f ca="1">IFERROR(__xludf.DUMMYFUNCTION("IMPORTXML(AI197, ""//li[strong[text()='Global Sales:']]"")"),"Loading...")</f>
        <v>Loading...</v>
      </c>
      <c r="O197" s="24"/>
      <c r="P197" s="19" t="str">
        <f t="shared" si="0"/>
        <v/>
      </c>
      <c r="Q197" s="19" t="str">
        <f ca="1">IFERROR(__xludf.DUMMYFUNCTION("IMPORTXML(AI197, ""//li[strong[text()='US Units:']]"")"),"Loading...")</f>
        <v>Loading...</v>
      </c>
      <c r="R197" s="24"/>
      <c r="S197" s="19" t="str">
        <f ca="1">IFERROR(__xludf.DUMMYFUNCTION("IMPORTXML(AI197, ""//li[strong[text()='International Units:']]"")"),"Loading...")</f>
        <v>Loading...</v>
      </c>
      <c r="T197" s="44"/>
      <c r="U197" s="19" t="str">
        <f ca="1">IFERROR(__xludf.DUMMYFUNCTION("IMPORTXML(AI197, ""//li[strong[text()='Percent Franchised:']]"")"),"Loading...")</f>
        <v>Loading...</v>
      </c>
      <c r="V197" s="24"/>
      <c r="W197" s="19" t="str">
        <f ca="1">IFERROR(__xludf.DUMMYFUNCTION("IMPORTXML(AI197, ""//li[strong[text()='% International Units:']]"")"),"% International Units:")</f>
        <v>% International Units:</v>
      </c>
      <c r="X197" s="45">
        <f ca="1">IFERROR(__xludf.DUMMYFUNCTION("""COMPUTED_VALUE"""),0.01)</f>
        <v>0.01</v>
      </c>
      <c r="Y197" s="19" t="str">
        <f ca="1">IFERROR(__xludf.DUMMYFUNCTION("IMPORTXML(AI197, ""//li[strong[text()='US Franchised Units:']]"")"),"Loading...")</f>
        <v>Loading...</v>
      </c>
      <c r="Z197" s="24"/>
      <c r="AA197" s="14" t="str">
        <f t="shared" si="1"/>
        <v/>
      </c>
      <c r="AB197" s="19" t="str">
        <f ca="1">IFERROR(__xludf.DUMMYFUNCTION("IMPORTXML(AI197, ""//li[strong[text()='International Franchised Units:']]"")"),"Loading...")</f>
        <v>Loading...</v>
      </c>
      <c r="AC197" s="24"/>
      <c r="AD197" s="14" t="str">
        <f t="shared" si="2"/>
        <v/>
      </c>
      <c r="AE197" s="25" t="str">
        <f ca="1">IFERROR(__xludf.DUMMYFUNCTION("IMPORTXML(AI197, ""//li[strong[text()='Sales Growth %:']]"")"),"Loading...")</f>
        <v>Loading...</v>
      </c>
      <c r="AF197" s="24"/>
      <c r="AG197" s="25" t="str">
        <f ca="1">IFERROR(__xludf.DUMMYFUNCTION("IMPORTXML(AI197, ""//li[strong[text()='Unit Growth %:']]"")"),"Loading...")</f>
        <v>Loading...</v>
      </c>
      <c r="AH197" s="25"/>
      <c r="AI197" s="48" t="s">
        <v>208</v>
      </c>
      <c r="AJ197" s="27"/>
      <c r="AK197" s="27"/>
      <c r="AL197" s="27"/>
      <c r="AM197" s="27"/>
      <c r="AN197" s="27"/>
      <c r="AO197" s="27"/>
      <c r="AP197" s="27"/>
      <c r="AQ197" s="27"/>
    </row>
    <row r="198" spans="1:43" ht="14.25" customHeight="1">
      <c r="A198" s="42">
        <v>24.196999999999999</v>
      </c>
      <c r="B198" s="14">
        <v>2024</v>
      </c>
      <c r="C198" s="32">
        <v>197</v>
      </c>
      <c r="D198" s="16" t="str">
        <f ca="1">IFERROR(__xludf.DUMMYFUNCTION("IMPORTXML(AI198, ""//h1[@itemprop='headline']/span"")"),"197. Golden Chick")</f>
        <v>197. Golden Chick</v>
      </c>
      <c r="E198" s="17" t="str">
        <f ca="1">IFERROR(__xludf.DUMMYFUNCTION("REGEXEXTRACT(D198, ""\.\s*(.+)"")"),"Golden Chick")</f>
        <v>Golden Chick</v>
      </c>
      <c r="F198" s="18" t="str">
        <f ca="1">IFERROR(__xludf.DUMMYFUNCTION("IMPORTXML(AI198, ""//li[strong[text()='Investment Range:']]"")"),"Investment Range:")</f>
        <v>Investment Range:</v>
      </c>
      <c r="G198" s="43" t="str">
        <f ca="1">IFERROR(__xludf.DUMMYFUNCTION("""COMPUTED_VALUE""")," $823,450 - $1,913,000")</f>
        <v xml:space="preserve"> $823,450 - $1,913,000</v>
      </c>
      <c r="H198" s="18" t="str">
        <f ca="1">IFERROR(__xludf.DUMMYFUNCTION("SUBSTITUTE(REGEXEXTRACT(G198, ""\$(\d{1,3}(?:,\d{3})*)""), "","", ""."")
"),"823.450")</f>
        <v>823.450</v>
      </c>
      <c r="I198" s="19" t="str">
        <f ca="1">IFERROR(__xludf.DUMMYFUNCTION("SUBSTITUTE(REGEXEXTRACT(G198, ""-\s*\$(\d{1,3}(?:,\d{3})*)""), "","", ""."")
"),"1.913.000")</f>
        <v>1.913.000</v>
      </c>
      <c r="J198" s="19" t="str">
        <f ca="1">IFERROR(__xludf.DUMMYFUNCTION("IMPORTXML(AI198, ""//li[strong[text()='Initial Investment:']]"")"),"Loading...")</f>
        <v>Loading...</v>
      </c>
      <c r="K198" s="24"/>
      <c r="L198" s="20" t="str">
        <f ca="1">IFERROR(__xludf.DUMMYFUNCTION("IMPORTXML(AI198, ""//li[strong[text()='Category:']]"")"),"Loading...")</f>
        <v>Loading...</v>
      </c>
      <c r="M198" s="24"/>
      <c r="N198" s="19" t="str">
        <f ca="1">IFERROR(__xludf.DUMMYFUNCTION("IMPORTXML(AI198, ""//li[strong[text()='Global Sales:']]"")"),"Loading...")</f>
        <v>Loading...</v>
      </c>
      <c r="O198" s="24"/>
      <c r="P198" s="19" t="str">
        <f t="shared" si="0"/>
        <v/>
      </c>
      <c r="Q198" s="19" t="str">
        <f ca="1">IFERROR(__xludf.DUMMYFUNCTION("IMPORTXML(AI198, ""//li[strong[text()='US Units:']]"")"),"Loading...")</f>
        <v>Loading...</v>
      </c>
      <c r="R198" s="24"/>
      <c r="S198" s="19" t="str">
        <f ca="1">IFERROR(__xludf.DUMMYFUNCTION("IMPORTXML(AI198, ""//li[strong[text()='International Units:']]"")"),"Loading...")</f>
        <v>Loading...</v>
      </c>
      <c r="T198" s="44"/>
      <c r="U198" s="19" t="str">
        <f ca="1">IFERROR(__xludf.DUMMYFUNCTION("IMPORTXML(AI198, ""//li[strong[text()='Percent Franchised:']]"")"),"Loading...")</f>
        <v>Loading...</v>
      </c>
      <c r="V198" s="24"/>
      <c r="W198" s="19" t="str">
        <f ca="1">IFERROR(__xludf.DUMMYFUNCTION("IMPORTXML(AI198, ""//li[strong[text()='% International Units:']]"")"),"% International Units:")</f>
        <v>% International Units:</v>
      </c>
      <c r="X198" s="45">
        <f ca="1">IFERROR(__xludf.DUMMYFUNCTION("""COMPUTED_VALUE"""),0)</f>
        <v>0</v>
      </c>
      <c r="Y198" s="19" t="str">
        <f ca="1">IFERROR(__xludf.DUMMYFUNCTION("IMPORTXML(AI198, ""//li[strong[text()='US Franchised Units:']]"")"),"Loading...")</f>
        <v>Loading...</v>
      </c>
      <c r="Z198" s="24"/>
      <c r="AA198" s="14" t="str">
        <f t="shared" si="1"/>
        <v/>
      </c>
      <c r="AB198" s="19" t="str">
        <f ca="1">IFERROR(__xludf.DUMMYFUNCTION("IMPORTXML(AI198, ""//li[strong[text()='International Franchised Units:']]"")"),"Loading...")</f>
        <v>Loading...</v>
      </c>
      <c r="AC198" s="24"/>
      <c r="AD198" s="14" t="str">
        <f t="shared" si="2"/>
        <v/>
      </c>
      <c r="AE198" s="25" t="str">
        <f ca="1">IFERROR(__xludf.DUMMYFUNCTION("IMPORTXML(AI198, ""//li[strong[text()='Sales Growth %:']]"")"),"Loading...")</f>
        <v>Loading...</v>
      </c>
      <c r="AF198" s="24"/>
      <c r="AG198" s="25" t="str">
        <f ca="1">IFERROR(__xludf.DUMMYFUNCTION("IMPORTXML(AI198, ""//li[strong[text()='Unit Growth %:']]"")"),"Loading...")</f>
        <v>Loading...</v>
      </c>
      <c r="AH198" s="25"/>
      <c r="AI198" s="48" t="s">
        <v>209</v>
      </c>
      <c r="AJ198" s="27"/>
      <c r="AK198" s="27"/>
      <c r="AL198" s="27"/>
      <c r="AM198" s="27"/>
      <c r="AN198" s="27"/>
      <c r="AO198" s="27"/>
      <c r="AP198" s="27"/>
      <c r="AQ198" s="27"/>
    </row>
    <row r="199" spans="1:43" ht="14.25" customHeight="1">
      <c r="A199" s="42">
        <v>24.198</v>
      </c>
      <c r="B199" s="14">
        <v>2024</v>
      </c>
      <c r="C199" s="36">
        <v>198</v>
      </c>
      <c r="D199" s="16" t="str">
        <f ca="1">IFERROR(__xludf.DUMMYFUNCTION("IMPORTXML(AI199, ""//h1[@itemprop='headline']/span"")"),"198. Johnny Rockets")</f>
        <v>198. Johnny Rockets</v>
      </c>
      <c r="E199" s="17" t="str">
        <f ca="1">IFERROR(__xludf.DUMMYFUNCTION("REGEXEXTRACT(D199, ""\.\s*(.+)"")"),"Johnny Rockets")</f>
        <v>Johnny Rockets</v>
      </c>
      <c r="F199" s="18" t="str">
        <f ca="1">IFERROR(__xludf.DUMMYFUNCTION("IMPORTXML(AI199, ""//li[strong[text()='Investment Range:']]"")"),"#N/A")</f>
        <v>#N/A</v>
      </c>
      <c r="G199" s="43"/>
      <c r="H199" s="18" t="str">
        <f ca="1">IFERROR(__xludf.DUMMYFUNCTION("SUBSTITUTE(REGEXEXTRACT(G199, ""\$(\d{1,3}(?:,\d{3})*)""), "","", ""."")
"),"#N/A")</f>
        <v>#N/A</v>
      </c>
      <c r="I199" s="19" t="str">
        <f ca="1">IFERROR(__xludf.DUMMYFUNCTION("SUBSTITUTE(REGEXEXTRACT(G199, ""-\s*\$(\d{1,3}(?:,\d{3})*)""), "","", ""."")
"),"#N/A")</f>
        <v>#N/A</v>
      </c>
      <c r="J199" s="19" t="str">
        <f ca="1">IFERROR(__xludf.DUMMYFUNCTION("IMPORTXML(AI199, ""//li[strong[text()='Initial Investment:']]"")"),"#N/A")</f>
        <v>#N/A</v>
      </c>
      <c r="K199" s="24"/>
      <c r="L199" s="20" t="str">
        <f ca="1">IFERROR(__xludf.DUMMYFUNCTION("IMPORTXML(AI199, ""//li[strong[text()='Category:']]"")"),"Loading...")</f>
        <v>Loading...</v>
      </c>
      <c r="M199" s="24"/>
      <c r="N199" s="19" t="str">
        <f ca="1">IFERROR(__xludf.DUMMYFUNCTION("IMPORTXML(AI199, ""//li[strong[text()='Global Sales:']]"")"),"Loading...")</f>
        <v>Loading...</v>
      </c>
      <c r="O199" s="24"/>
      <c r="P199" s="19" t="str">
        <f t="shared" si="0"/>
        <v/>
      </c>
      <c r="Q199" s="19" t="str">
        <f ca="1">IFERROR(__xludf.DUMMYFUNCTION("IMPORTXML(AI199, ""//li[strong[text()='US Units:']]"")"),"Loading...")</f>
        <v>Loading...</v>
      </c>
      <c r="R199" s="24"/>
      <c r="S199" s="19" t="str">
        <f ca="1">IFERROR(__xludf.DUMMYFUNCTION("IMPORTXML(AI199, ""//li[strong[text()='International Units:']]"")"),"Loading...")</f>
        <v>Loading...</v>
      </c>
      <c r="T199" s="44"/>
      <c r="U199" s="19" t="str">
        <f ca="1">IFERROR(__xludf.DUMMYFUNCTION("IMPORTXML(AI199, ""//li[strong[text()='Percent Franchised:']]"")"),"Loading...")</f>
        <v>Loading...</v>
      </c>
      <c r="V199" s="24"/>
      <c r="W199" s="19" t="str">
        <f ca="1">IFERROR(__xludf.DUMMYFUNCTION("IMPORTXML(AI199, ""//li[strong[text()='% International Units:']]"")"),"Loading...")</f>
        <v>Loading...</v>
      </c>
      <c r="X199" s="24"/>
      <c r="Y199" s="19" t="str">
        <f ca="1">IFERROR(__xludf.DUMMYFUNCTION("IMPORTXML(AI199, ""//li[strong[text()='US Franchised Units:']]"")"),"Loading...")</f>
        <v>Loading...</v>
      </c>
      <c r="Z199" s="24"/>
      <c r="AA199" s="14" t="str">
        <f t="shared" si="1"/>
        <v/>
      </c>
      <c r="AB199" s="19" t="str">
        <f ca="1">IFERROR(__xludf.DUMMYFUNCTION("IMPORTXML(AI199, ""//li[strong[text()='International Franchised Units:']]"")"),"Loading...")</f>
        <v>Loading...</v>
      </c>
      <c r="AC199" s="24"/>
      <c r="AD199" s="14" t="str">
        <f t="shared" si="2"/>
        <v/>
      </c>
      <c r="AE199" s="25" t="str">
        <f ca="1">IFERROR(__xludf.DUMMYFUNCTION("IMPORTXML(AI199, ""//li[strong[text()='Sales Growth %:']]"")"),"Loading...")</f>
        <v>Loading...</v>
      </c>
      <c r="AF199" s="24"/>
      <c r="AG199" s="25" t="str">
        <f ca="1">IFERROR(__xludf.DUMMYFUNCTION("IMPORTXML(AI199, ""//li[strong[text()='Unit Growth %:']]"")"),"Loading...")</f>
        <v>Loading...</v>
      </c>
      <c r="AH199" s="25"/>
      <c r="AI199" s="48" t="s">
        <v>210</v>
      </c>
      <c r="AJ199" s="27"/>
      <c r="AK199" s="27"/>
      <c r="AL199" s="27"/>
      <c r="AM199" s="27"/>
      <c r="AN199" s="27"/>
      <c r="AO199" s="27"/>
      <c r="AP199" s="27"/>
      <c r="AQ199" s="27"/>
    </row>
    <row r="200" spans="1:43" ht="14.25" customHeight="1">
      <c r="A200" s="42">
        <v>24.199000000000002</v>
      </c>
      <c r="B200" s="14">
        <v>2024</v>
      </c>
      <c r="C200" s="36">
        <v>199</v>
      </c>
      <c r="D200" s="16" t="str">
        <f ca="1">IFERROR(__xludf.DUMMYFUNCTION("IMPORTXML(AI200, ""//h1[@itemprop='headline']/span"")"),"199. Fazoli’s")</f>
        <v>199. Fazoli’s</v>
      </c>
      <c r="E200" s="17" t="str">
        <f ca="1">IFERROR(__xludf.DUMMYFUNCTION("REGEXEXTRACT(D200, ""\.\s*(.+)"")"),"Fazoli’s")</f>
        <v>Fazoli’s</v>
      </c>
      <c r="F200" s="18" t="str">
        <f ca="1">IFERROR(__xludf.DUMMYFUNCTION("IMPORTXML(AI200, ""//li[strong[text()='Investment Range:']]"")"),"Investment Range:")</f>
        <v>Investment Range:</v>
      </c>
      <c r="G200" s="43" t="str">
        <f ca="1">IFERROR(__xludf.DUMMYFUNCTION("""COMPUTED_VALUE""")," $1,510,500 - $2,399,500")</f>
        <v xml:space="preserve"> $1,510,500 - $2,399,500</v>
      </c>
      <c r="H200" s="18" t="str">
        <f ca="1">IFERROR(__xludf.DUMMYFUNCTION("SUBSTITUTE(REGEXEXTRACT(G200, ""\$(\d{1,3}(?:,\d{3})*)""), "","", ""."")
"),"1.510.500")</f>
        <v>1.510.500</v>
      </c>
      <c r="I200" s="19" t="str">
        <f ca="1">IFERROR(__xludf.DUMMYFUNCTION("SUBSTITUTE(REGEXEXTRACT(G200, ""-\s*\$(\d{1,3}(?:,\d{3})*)""), "","", ""."")
"),"2.399.500")</f>
        <v>2.399.500</v>
      </c>
      <c r="J200" s="19" t="str">
        <f ca="1">IFERROR(__xludf.DUMMYFUNCTION("IMPORTXML(AI200, ""//li[strong[text()='Initial Investment:']]"")"),"Loading...")</f>
        <v>Loading...</v>
      </c>
      <c r="K200" s="24"/>
      <c r="L200" s="20" t="str">
        <f ca="1">IFERROR(__xludf.DUMMYFUNCTION("IMPORTXML(AI200, ""//li[strong[text()='Category:']]"")"),"Loading...")</f>
        <v>Loading...</v>
      </c>
      <c r="M200" s="24"/>
      <c r="N200" s="19" t="str">
        <f ca="1">IFERROR(__xludf.DUMMYFUNCTION("IMPORTXML(AI200, ""//li[strong[text()='Global Sales:']]"")"),"Loading...")</f>
        <v>Loading...</v>
      </c>
      <c r="O200" s="24"/>
      <c r="P200" s="19" t="str">
        <f t="shared" si="0"/>
        <v/>
      </c>
      <c r="Q200" s="19" t="str">
        <f ca="1">IFERROR(__xludf.DUMMYFUNCTION("IMPORTXML(AI200, ""//li[strong[text()='US Units:']]"")"),"Loading...")</f>
        <v>Loading...</v>
      </c>
      <c r="R200" s="24"/>
      <c r="S200" s="19" t="str">
        <f ca="1">IFERROR(__xludf.DUMMYFUNCTION("IMPORTXML(AI200, ""//li[strong[text()='International Units:']]"")"),"Loading...")</f>
        <v>Loading...</v>
      </c>
      <c r="T200" s="44"/>
      <c r="U200" s="19" t="str">
        <f ca="1">IFERROR(__xludf.DUMMYFUNCTION("IMPORTXML(AI200, ""//li[strong[text()='Percent Franchised:']]"")"),"Loading...")</f>
        <v>Loading...</v>
      </c>
      <c r="V200" s="24"/>
      <c r="W200" s="19" t="str">
        <f ca="1">IFERROR(__xludf.DUMMYFUNCTION("IMPORTXML(AI200, ""//li[strong[text()='% International Units:']]"")"),"Loading...")</f>
        <v>Loading...</v>
      </c>
      <c r="X200" s="24"/>
      <c r="Y200" s="19" t="str">
        <f ca="1">IFERROR(__xludf.DUMMYFUNCTION("IMPORTXML(AI200, ""//li[strong[text()='US Franchised Units:']]"")"),"Loading...")</f>
        <v>Loading...</v>
      </c>
      <c r="Z200" s="24"/>
      <c r="AA200" s="14" t="str">
        <f t="shared" si="1"/>
        <v/>
      </c>
      <c r="AB200" s="19" t="str">
        <f ca="1">IFERROR(__xludf.DUMMYFUNCTION("IMPORTXML(AI200, ""//li[strong[text()='International Franchised Units:']]"")"),"Loading...")</f>
        <v>Loading...</v>
      </c>
      <c r="AC200" s="24"/>
      <c r="AD200" s="14" t="str">
        <f t="shared" si="2"/>
        <v/>
      </c>
      <c r="AE200" s="25" t="str">
        <f ca="1">IFERROR(__xludf.DUMMYFUNCTION("IMPORTXML(AI200, ""//li[strong[text()='Sales Growth %:']]"")"),"Loading...")</f>
        <v>Loading...</v>
      </c>
      <c r="AF200" s="24"/>
      <c r="AG200" s="25" t="str">
        <f ca="1">IFERROR(__xludf.DUMMYFUNCTION("IMPORTXML(AI200, ""//li[strong[text()='Unit Growth %:']]"")"),"Loading...")</f>
        <v>Loading...</v>
      </c>
      <c r="AH200" s="25"/>
      <c r="AI200" s="48" t="s">
        <v>211</v>
      </c>
      <c r="AJ200" s="27"/>
      <c r="AK200" s="27"/>
      <c r="AL200" s="27"/>
      <c r="AM200" s="27"/>
      <c r="AN200" s="27"/>
      <c r="AO200" s="27"/>
      <c r="AP200" s="27"/>
      <c r="AQ200" s="27"/>
    </row>
    <row r="201" spans="1:43" ht="14.25" customHeight="1">
      <c r="A201" s="42">
        <v>24.2</v>
      </c>
      <c r="B201" s="14">
        <v>2024</v>
      </c>
      <c r="C201" s="15">
        <v>200</v>
      </c>
      <c r="D201" s="16" t="str">
        <f ca="1">IFERROR(__xludf.DUMMYFUNCTION("IMPORTXML(AI201, ""//h1[@itemprop='headline']/span"")"),"200. Biggby Coffee")</f>
        <v>200. Biggby Coffee</v>
      </c>
      <c r="E201" s="17" t="str">
        <f ca="1">IFERROR(__xludf.DUMMYFUNCTION("REGEXEXTRACT(D201, ""\.\s*(.+)"")"),"Biggby Coffee")</f>
        <v>Biggby Coffee</v>
      </c>
      <c r="F201" s="18" t="str">
        <f ca="1">IFERROR(__xludf.DUMMYFUNCTION("IMPORTXML(AI201, ""//li[strong[text()='Investment Range:']]"")"),"Investment Range:")</f>
        <v>Investment Range:</v>
      </c>
      <c r="G201" s="43" t="str">
        <f ca="1">IFERROR(__xludf.DUMMYFUNCTION("""COMPUTED_VALUE""")," $328,000 - $591,000")</f>
        <v xml:space="preserve"> $328,000 - $591,000</v>
      </c>
      <c r="H201" s="18" t="str">
        <f ca="1">IFERROR(__xludf.DUMMYFUNCTION("SUBSTITUTE(REGEXEXTRACT(G201, ""\$(\d{1,3}(?:,\d{3})*)""), "","", ""."")
"),"328.000")</f>
        <v>328.000</v>
      </c>
      <c r="I201" s="19" t="str">
        <f ca="1">IFERROR(__xludf.DUMMYFUNCTION("SUBSTITUTE(REGEXEXTRACT(G201, ""-\s*\$(\d{1,3}(?:,\d{3})*)""), "","", ""."")
"),"591.000")</f>
        <v>591.000</v>
      </c>
      <c r="J201" s="19" t="str">
        <f ca="1">IFERROR(__xludf.DUMMYFUNCTION("IMPORTXML(AI201, ""//li[strong[text()='Initial Investment:']]"")"),"Loading...")</f>
        <v>Loading...</v>
      </c>
      <c r="K201" s="24"/>
      <c r="L201" s="20" t="str">
        <f ca="1">IFERROR(__xludf.DUMMYFUNCTION("IMPORTXML(AI201, ""//li[strong[text()='Category:']]"")"),"Category:")</f>
        <v>Category:</v>
      </c>
      <c r="M201" s="24" t="str">
        <f ca="1">IFERROR(__xludf.DUMMYFUNCTION("""COMPUTED_VALUE""")," Restaurant")</f>
        <v xml:space="preserve"> Restaurant</v>
      </c>
      <c r="N201" s="19" t="str">
        <f ca="1">IFERROR(__xludf.DUMMYFUNCTION("IMPORTXML(AI201, ""//li[strong[text()='Global Sales:']]"")"),"Loading...")</f>
        <v>Loading...</v>
      </c>
      <c r="O201" s="24"/>
      <c r="P201" s="19" t="str">
        <f t="shared" si="0"/>
        <v/>
      </c>
      <c r="Q201" s="19" t="str">
        <f ca="1">IFERROR(__xludf.DUMMYFUNCTION("IMPORTXML(AI201, ""//li[strong[text()='US Units:']]"")"),"Loading...")</f>
        <v>Loading...</v>
      </c>
      <c r="R201" s="24"/>
      <c r="S201" s="19" t="str">
        <f ca="1">IFERROR(__xludf.DUMMYFUNCTION("IMPORTXML(AI201, ""//li[strong[text()='International Units:']]"")"),"Loading...")</f>
        <v>Loading...</v>
      </c>
      <c r="T201" s="44"/>
      <c r="U201" s="19" t="str">
        <f ca="1">IFERROR(__xludf.DUMMYFUNCTION("IMPORTXML(AI201, ""//li[strong[text()='Percent Franchised:']]"")"),"Loading...")</f>
        <v>Loading...</v>
      </c>
      <c r="V201" s="24"/>
      <c r="W201" s="19" t="str">
        <f ca="1">IFERROR(__xludf.DUMMYFUNCTION("IMPORTXML(AI201, ""//li[strong[text()='% International Units:']]"")"),"Loading...")</f>
        <v>Loading...</v>
      </c>
      <c r="X201" s="24"/>
      <c r="Y201" s="19" t="str">
        <f ca="1">IFERROR(__xludf.DUMMYFUNCTION("IMPORTXML(AI201, ""//li[strong[text()='US Franchised Units:']]"")"),"Loading...")</f>
        <v>Loading...</v>
      </c>
      <c r="Z201" s="24"/>
      <c r="AA201" s="14" t="str">
        <f t="shared" si="1"/>
        <v/>
      </c>
      <c r="AB201" s="19" t="str">
        <f ca="1">IFERROR(__xludf.DUMMYFUNCTION("IMPORTXML(AI201, ""//li[strong[text()='International Franchised Units:']]"")"),"Loading...")</f>
        <v>Loading...</v>
      </c>
      <c r="AC201" s="24"/>
      <c r="AD201" s="14" t="str">
        <f t="shared" si="2"/>
        <v/>
      </c>
      <c r="AE201" s="25" t="str">
        <f ca="1">IFERROR(__xludf.DUMMYFUNCTION("IMPORTXML(AI201, ""//li[strong[text()='Sales Growth %:']]"")"),"Loading...")</f>
        <v>Loading...</v>
      </c>
      <c r="AF201" s="24"/>
      <c r="AG201" s="25" t="str">
        <f ca="1">IFERROR(__xludf.DUMMYFUNCTION("IMPORTXML(AI201, ""//li[strong[text()='Unit Growth %:']]"")"),"Loading...")</f>
        <v>Loading...</v>
      </c>
      <c r="AH201" s="25"/>
      <c r="AI201" s="48" t="s">
        <v>212</v>
      </c>
      <c r="AJ201" s="27"/>
      <c r="AK201" s="27"/>
      <c r="AL201" s="27"/>
      <c r="AM201" s="27"/>
      <c r="AN201" s="27"/>
      <c r="AO201" s="27"/>
      <c r="AP201" s="27"/>
      <c r="AQ201" s="27"/>
    </row>
    <row r="202" spans="1:43" ht="14.25" customHeight="1">
      <c r="A202" s="42">
        <v>24.201000000000001</v>
      </c>
      <c r="B202" s="14">
        <v>2024</v>
      </c>
      <c r="C202" s="32">
        <v>201</v>
      </c>
      <c r="D202" s="16" t="str">
        <f ca="1">IFERROR(__xludf.DUMMYFUNCTION("IMPORTXML(AI202, ""//h1[@itemprop='headline']/span"")"),"201. Wild Birds Unlimited")</f>
        <v>201. Wild Birds Unlimited</v>
      </c>
      <c r="E202" s="17" t="str">
        <f ca="1">IFERROR(__xludf.DUMMYFUNCTION("REGEXEXTRACT(D202, ""\.\s*(.+)"")"),"Wild Birds Unlimited")</f>
        <v>Wild Birds Unlimited</v>
      </c>
      <c r="F202" s="18" t="str">
        <f ca="1">IFERROR(__xludf.DUMMYFUNCTION("IMPORTXML(AI202, ""//li[strong[text()='Investment Range:']]"")"),"#N/A")</f>
        <v>#N/A</v>
      </c>
      <c r="G202" s="43"/>
      <c r="H202" s="18" t="str">
        <f ca="1">IFERROR(__xludf.DUMMYFUNCTION("SUBSTITUTE(REGEXEXTRACT(G202, ""\$(\d{1,3}(?:,\d{3})*)""), "","", ""."")
"),"#N/A")</f>
        <v>#N/A</v>
      </c>
      <c r="I202" s="19" t="str">
        <f ca="1">IFERROR(__xludf.DUMMYFUNCTION("SUBSTITUTE(REGEXEXTRACT(G202, ""-\s*\$(\d{1,3}(?:,\d{3})*)""), "","", ""."")
"),"#N/A")</f>
        <v>#N/A</v>
      </c>
      <c r="J202" s="19" t="str">
        <f ca="1">IFERROR(__xludf.DUMMYFUNCTION("IMPORTXML(AI202, ""//li[strong[text()='Initial Investment:']]"")"),"Loading...")</f>
        <v>Loading...</v>
      </c>
      <c r="K202" s="24"/>
      <c r="L202" s="20" t="str">
        <f ca="1">IFERROR(__xludf.DUMMYFUNCTION("IMPORTXML(AI202, ""//li[strong[text()='Category:']]"")"),"Loading...")</f>
        <v>Loading...</v>
      </c>
      <c r="M202" s="24"/>
      <c r="N202" s="19" t="str">
        <f ca="1">IFERROR(__xludf.DUMMYFUNCTION("IMPORTXML(AI202, ""//li[strong[text()='Global Sales:']]"")"),"Loading...")</f>
        <v>Loading...</v>
      </c>
      <c r="O202" s="24"/>
      <c r="P202" s="19" t="str">
        <f t="shared" si="0"/>
        <v/>
      </c>
      <c r="Q202" s="19" t="str">
        <f ca="1">IFERROR(__xludf.DUMMYFUNCTION("IMPORTXML(AI202, ""//li[strong[text()='US Units:']]"")"),"Loading...")</f>
        <v>Loading...</v>
      </c>
      <c r="R202" s="24"/>
      <c r="S202" s="19" t="str">
        <f ca="1">IFERROR(__xludf.DUMMYFUNCTION("IMPORTXML(AI202, ""//li[strong[text()='International Units:']]"")"),"Loading...")</f>
        <v>Loading...</v>
      </c>
      <c r="T202" s="44"/>
      <c r="U202" s="19" t="str">
        <f ca="1">IFERROR(__xludf.DUMMYFUNCTION("IMPORTXML(AI202, ""//li[strong[text()='Percent Franchised:']]"")"),"Loading...")</f>
        <v>Loading...</v>
      </c>
      <c r="V202" s="24"/>
      <c r="W202" s="19" t="str">
        <f ca="1">IFERROR(__xludf.DUMMYFUNCTION("IMPORTXML(AI202, ""//li[strong[text()='% International Units:']]"")"),"Loading...")</f>
        <v>Loading...</v>
      </c>
      <c r="X202" s="24"/>
      <c r="Y202" s="19" t="str">
        <f ca="1">IFERROR(__xludf.DUMMYFUNCTION("IMPORTXML(AI202, ""//li[strong[text()='US Franchised Units:']]"")"),"Loading...")</f>
        <v>Loading...</v>
      </c>
      <c r="Z202" s="24"/>
      <c r="AA202" s="14" t="str">
        <f t="shared" si="1"/>
        <v/>
      </c>
      <c r="AB202" s="19" t="str">
        <f ca="1">IFERROR(__xludf.DUMMYFUNCTION("IMPORTXML(AI202, ""//li[strong[text()='International Franchised Units:']]"")"),"Loading...")</f>
        <v>Loading...</v>
      </c>
      <c r="AC202" s="24"/>
      <c r="AD202" s="14" t="str">
        <f t="shared" si="2"/>
        <v/>
      </c>
      <c r="AE202" s="25" t="str">
        <f ca="1">IFERROR(__xludf.DUMMYFUNCTION("IMPORTXML(AI202, ""//li[strong[text()='Sales Growth %:']]"")"),"Loading...")</f>
        <v>Loading...</v>
      </c>
      <c r="AF202" s="24"/>
      <c r="AG202" s="25" t="str">
        <f ca="1">IFERROR(__xludf.DUMMYFUNCTION("IMPORTXML(AI202, ""//li[strong[text()='Unit Growth %:']]"")"),"Loading...")</f>
        <v>Loading...</v>
      </c>
      <c r="AH202" s="25"/>
      <c r="AI202" s="48" t="s">
        <v>213</v>
      </c>
      <c r="AJ202" s="27"/>
      <c r="AK202" s="27"/>
      <c r="AL202" s="27"/>
      <c r="AM202" s="27"/>
      <c r="AN202" s="27"/>
      <c r="AO202" s="27"/>
      <c r="AP202" s="27"/>
      <c r="AQ202" s="27"/>
    </row>
    <row r="203" spans="1:43" ht="14.25" customHeight="1">
      <c r="A203" s="42">
        <v>24.202000000000002</v>
      </c>
      <c r="B203" s="14">
        <v>2024</v>
      </c>
      <c r="C203" s="36">
        <v>202</v>
      </c>
      <c r="D203" s="16" t="str">
        <f ca="1">IFERROR(__xludf.DUMMYFUNCTION("IMPORTXML(AI203, ""//h1[@itemprop='headline']/span"")"),"202. Donatos Pizza")</f>
        <v>202. Donatos Pizza</v>
      </c>
      <c r="E203" s="17" t="str">
        <f ca="1">IFERROR(__xludf.DUMMYFUNCTION("REGEXEXTRACT(D203, ""\.\s*(.+)"")"),"Donatos Pizza")</f>
        <v>Donatos Pizza</v>
      </c>
      <c r="F203" s="18" t="str">
        <f ca="1">IFERROR(__xludf.DUMMYFUNCTION("IMPORTXML(AI203, ""//li[strong[text()='Investment Range:']]"")"),"#N/A")</f>
        <v>#N/A</v>
      </c>
      <c r="G203" s="43"/>
      <c r="H203" s="18" t="str">
        <f ca="1">IFERROR(__xludf.DUMMYFUNCTION("SUBSTITUTE(REGEXEXTRACT(G203, ""\$(\d{1,3}(?:,\d{3})*)""), "","", ""."")
"),"#N/A")</f>
        <v>#N/A</v>
      </c>
      <c r="I203" s="19" t="str">
        <f ca="1">IFERROR(__xludf.DUMMYFUNCTION("SUBSTITUTE(REGEXEXTRACT(G203, ""-\s*\$(\d{1,3}(?:,\d{3})*)""), "","", ""."")
"),"#N/A")</f>
        <v>#N/A</v>
      </c>
      <c r="J203" s="19" t="str">
        <f ca="1">IFERROR(__xludf.DUMMYFUNCTION("IMPORTXML(AI203, ""//li[strong[text()='Initial Investment:']]"")"),"Loading...")</f>
        <v>Loading...</v>
      </c>
      <c r="K203" s="24"/>
      <c r="L203" s="20" t="str">
        <f ca="1">IFERROR(__xludf.DUMMYFUNCTION("IMPORTXML(AI203, ""//li[strong[text()='Category:']]"")"),"#N/A")</f>
        <v>#N/A</v>
      </c>
      <c r="M203" s="24"/>
      <c r="N203" s="19" t="str">
        <f ca="1">IFERROR(__xludf.DUMMYFUNCTION("IMPORTXML(AI203, ""//li[strong[text()='Global Sales:']]"")"),"Loading...")</f>
        <v>Loading...</v>
      </c>
      <c r="O203" s="24"/>
      <c r="P203" s="19" t="str">
        <f t="shared" si="0"/>
        <v/>
      </c>
      <c r="Q203" s="19" t="str">
        <f ca="1">IFERROR(__xludf.DUMMYFUNCTION("IMPORTXML(AI203, ""//li[strong[text()='US Units:']]"")"),"Loading...")</f>
        <v>Loading...</v>
      </c>
      <c r="R203" s="24"/>
      <c r="S203" s="19" t="str">
        <f ca="1">IFERROR(__xludf.DUMMYFUNCTION("IMPORTXML(AI203, ""//li[strong[text()='International Units:']]"")"),"Loading...")</f>
        <v>Loading...</v>
      </c>
      <c r="T203" s="44"/>
      <c r="U203" s="19" t="str">
        <f ca="1">IFERROR(__xludf.DUMMYFUNCTION("IMPORTXML(AI203, ""//li[strong[text()='Percent Franchised:']]"")"),"Loading...")</f>
        <v>Loading...</v>
      </c>
      <c r="V203" s="24"/>
      <c r="W203" s="19" t="str">
        <f ca="1">IFERROR(__xludf.DUMMYFUNCTION("IMPORTXML(AI203, ""//li[strong[text()='% International Units:']]"")"),"Loading...")</f>
        <v>Loading...</v>
      </c>
      <c r="X203" s="24"/>
      <c r="Y203" s="19" t="str">
        <f ca="1">IFERROR(__xludf.DUMMYFUNCTION("IMPORTXML(AI203, ""//li[strong[text()='US Franchised Units:']]"")"),"Loading...")</f>
        <v>Loading...</v>
      </c>
      <c r="Z203" s="24"/>
      <c r="AA203" s="14" t="str">
        <f t="shared" si="1"/>
        <v/>
      </c>
      <c r="AB203" s="19" t="str">
        <f ca="1">IFERROR(__xludf.DUMMYFUNCTION("IMPORTXML(AI203, ""//li[strong[text()='International Franchised Units:']]"")"),"Loading...")</f>
        <v>Loading...</v>
      </c>
      <c r="AC203" s="24"/>
      <c r="AD203" s="14" t="str">
        <f t="shared" si="2"/>
        <v/>
      </c>
      <c r="AE203" s="25" t="str">
        <f ca="1">IFERROR(__xludf.DUMMYFUNCTION("IMPORTXML(AI203, ""//li[strong[text()='Sales Growth %:']]"")"),"Loading...")</f>
        <v>Loading...</v>
      </c>
      <c r="AF203" s="24"/>
      <c r="AG203" s="25" t="str">
        <f ca="1">IFERROR(__xludf.DUMMYFUNCTION("IMPORTXML(AI203, ""//li[strong[text()='Unit Growth %:']]"")"),"Loading...")</f>
        <v>Loading...</v>
      </c>
      <c r="AH203" s="25"/>
      <c r="AI203" s="48" t="s">
        <v>214</v>
      </c>
      <c r="AJ203" s="27"/>
      <c r="AK203" s="27"/>
      <c r="AL203" s="27"/>
      <c r="AM203" s="27"/>
      <c r="AN203" s="27"/>
      <c r="AO203" s="27"/>
      <c r="AP203" s="27"/>
      <c r="AQ203" s="27"/>
    </row>
    <row r="204" spans="1:43" ht="14.25" customHeight="1">
      <c r="A204" s="42">
        <v>24.202999999999999</v>
      </c>
      <c r="B204" s="14">
        <v>2024</v>
      </c>
      <c r="C204" s="36">
        <v>203</v>
      </c>
      <c r="D204" s="16" t="str">
        <f ca="1">IFERROR(__xludf.DUMMYFUNCTION("IMPORTXML(AI204, ""//h1[@itemprop='headline']/span"")"),"203. Aire Serv")</f>
        <v>203. Aire Serv</v>
      </c>
      <c r="E204" s="17" t="str">
        <f ca="1">IFERROR(__xludf.DUMMYFUNCTION("REGEXEXTRACT(D204, ""\.\s*(.+)"")"),"Aire Serv")</f>
        <v>Aire Serv</v>
      </c>
      <c r="F204" s="18" t="str">
        <f ca="1">IFERROR(__xludf.DUMMYFUNCTION("IMPORTXML(AI204, ""//li[strong[text()='Investment Range:']]"")"),"Investment Range:")</f>
        <v>Investment Range:</v>
      </c>
      <c r="G204" s="43" t="str">
        <f ca="1">IFERROR(__xludf.DUMMYFUNCTION("""COMPUTED_VALUE""")," $107,295 - $253,095")</f>
        <v xml:space="preserve"> $107,295 - $253,095</v>
      </c>
      <c r="H204" s="18" t="str">
        <f ca="1">IFERROR(__xludf.DUMMYFUNCTION("SUBSTITUTE(REGEXEXTRACT(G204, ""\$(\d{1,3}(?:,\d{3})*)""), "","", ""."")
"),"107.295")</f>
        <v>107.295</v>
      </c>
      <c r="I204" s="19" t="str">
        <f ca="1">IFERROR(__xludf.DUMMYFUNCTION("SUBSTITUTE(REGEXEXTRACT(G204, ""-\s*\$(\d{1,3}(?:,\d{3})*)""), "","", ""."")
"),"253.095")</f>
        <v>253.095</v>
      </c>
      <c r="J204" s="19" t="str">
        <f ca="1">IFERROR(__xludf.DUMMYFUNCTION("IMPORTXML(AI204, ""//li[strong[text()='Initial Investment:']]"")"),"Loading...")</f>
        <v>Loading...</v>
      </c>
      <c r="K204" s="24"/>
      <c r="L204" s="20" t="str">
        <f ca="1">IFERROR(__xludf.DUMMYFUNCTION("IMPORTXML(AI204, ""//li[strong[text()='Category:']]"")"),"Loading...")</f>
        <v>Loading...</v>
      </c>
      <c r="M204" s="24"/>
      <c r="N204" s="19" t="str">
        <f ca="1">IFERROR(__xludf.DUMMYFUNCTION("IMPORTXML(AI204, ""//li[strong[text()='Global Sales:']]"")"),"Global Sales:")</f>
        <v>Global Sales:</v>
      </c>
      <c r="O204" s="24" t="str">
        <f ca="1">IFERROR(__xludf.DUMMYFUNCTION("""COMPUTED_VALUE""")," $273,982,207")</f>
        <v xml:space="preserve"> $273,982,207</v>
      </c>
      <c r="P204" s="19" t="str">
        <f t="shared" ca="1" si="0"/>
        <v xml:space="preserve"> 273.982.207</v>
      </c>
      <c r="Q204" s="19" t="str">
        <f ca="1">IFERROR(__xludf.DUMMYFUNCTION("IMPORTXML(AI204, ""//li[strong[text()='US Units:']]"")"),"Loading...")</f>
        <v>Loading...</v>
      </c>
      <c r="R204" s="24"/>
      <c r="S204" s="19" t="str">
        <f ca="1">IFERROR(__xludf.DUMMYFUNCTION("IMPORTXML(AI204, ""//li[strong[text()='International Units:']]"")"),"Loading...")</f>
        <v>Loading...</v>
      </c>
      <c r="T204" s="44"/>
      <c r="U204" s="19" t="str">
        <f ca="1">IFERROR(__xludf.DUMMYFUNCTION("IMPORTXML(AI204, ""//li[strong[text()='Percent Franchised:']]"")"),"Loading...")</f>
        <v>Loading...</v>
      </c>
      <c r="V204" s="24"/>
      <c r="W204" s="19" t="str">
        <f ca="1">IFERROR(__xludf.DUMMYFUNCTION("IMPORTXML(AI204, ""//li[strong[text()='% International Units:']]"")"),"Loading...")</f>
        <v>Loading...</v>
      </c>
      <c r="X204" s="24"/>
      <c r="Y204" s="19" t="str">
        <f ca="1">IFERROR(__xludf.DUMMYFUNCTION("IMPORTXML(AI204, ""//li[strong[text()='US Franchised Units:']]"")"),"Loading...")</f>
        <v>Loading...</v>
      </c>
      <c r="Z204" s="24"/>
      <c r="AA204" s="14" t="str">
        <f t="shared" si="1"/>
        <v/>
      </c>
      <c r="AB204" s="19" t="str">
        <f ca="1">IFERROR(__xludf.DUMMYFUNCTION("IMPORTXML(AI204, ""//li[strong[text()='International Franchised Units:']]"")"),"Loading...")</f>
        <v>Loading...</v>
      </c>
      <c r="AC204" s="24"/>
      <c r="AD204" s="14" t="str">
        <f t="shared" si="2"/>
        <v/>
      </c>
      <c r="AE204" s="25" t="str">
        <f ca="1">IFERROR(__xludf.DUMMYFUNCTION("IMPORTXML(AI204, ""//li[strong[text()='Sales Growth %:']]"")"),"Sales Growth %:")</f>
        <v>Sales Growth %:</v>
      </c>
      <c r="AF204" s="24" t="str">
        <f ca="1">IFERROR(__xludf.DUMMYFUNCTION("""COMPUTED_VALUE""")," 4.4%")</f>
        <v xml:space="preserve"> 4.4%</v>
      </c>
      <c r="AG204" s="25" t="str">
        <f ca="1">IFERROR(__xludf.DUMMYFUNCTION("IMPORTXML(AI204, ""//li[strong[text()='Unit Growth %:']]"")"),"Loading...")</f>
        <v>Loading...</v>
      </c>
      <c r="AH204" s="25"/>
      <c r="AI204" s="48" t="s">
        <v>215</v>
      </c>
      <c r="AJ204" s="27"/>
      <c r="AK204" s="27"/>
      <c r="AL204" s="27"/>
      <c r="AM204" s="27"/>
      <c r="AN204" s="27"/>
      <c r="AO204" s="27"/>
      <c r="AP204" s="27"/>
      <c r="AQ204" s="27"/>
    </row>
    <row r="205" spans="1:43" ht="14.25" customHeight="1">
      <c r="A205" s="42">
        <v>24.204000000000001</v>
      </c>
      <c r="B205" s="14">
        <v>2024</v>
      </c>
      <c r="C205" s="15">
        <v>204</v>
      </c>
      <c r="D205" s="16" t="str">
        <f ca="1">IFERROR(__xludf.DUMMYFUNCTION("IMPORTXML(AI205, ""//h1[@itemprop='headline']/span"")"),"204. PrideStaff")</f>
        <v>204. PrideStaff</v>
      </c>
      <c r="E205" s="17" t="str">
        <f ca="1">IFERROR(__xludf.DUMMYFUNCTION("REGEXEXTRACT(D205, ""\.\s*(.+)"")"),"PrideStaff")</f>
        <v>PrideStaff</v>
      </c>
      <c r="F205" s="18" t="str">
        <f ca="1">IFERROR(__xludf.DUMMYFUNCTION("IMPORTXML(AI205, ""//li[strong[text()='Investment Range:']]"")"),"Investment Range:")</f>
        <v>Investment Range:</v>
      </c>
      <c r="G205" s="43" t="str">
        <f ca="1">IFERROR(__xludf.DUMMYFUNCTION("""COMPUTED_VALUE""")," $99,550 - $193,200")</f>
        <v xml:space="preserve"> $99,550 - $193,200</v>
      </c>
      <c r="H205" s="18" t="str">
        <f ca="1">IFERROR(__xludf.DUMMYFUNCTION("SUBSTITUTE(REGEXEXTRACT(G205, ""\$(\d{1,3}(?:,\d{3})*)""), "","", ""."")
"),"99.550")</f>
        <v>99.550</v>
      </c>
      <c r="I205" s="19" t="str">
        <f ca="1">IFERROR(__xludf.DUMMYFUNCTION("SUBSTITUTE(REGEXEXTRACT(G205, ""-\s*\$(\d{1,3}(?:,\d{3})*)""), "","", ""."")
"),"193.200")</f>
        <v>193.200</v>
      </c>
      <c r="J205" s="19" t="str">
        <f ca="1">IFERROR(__xludf.DUMMYFUNCTION("IMPORTXML(AI205, ""//li[strong[text()='Initial Investment:']]"")"),"Loading...")</f>
        <v>Loading...</v>
      </c>
      <c r="K205" s="24"/>
      <c r="L205" s="20" t="str">
        <f ca="1">IFERROR(__xludf.DUMMYFUNCTION("IMPORTXML(AI205, ""//li[strong[text()='Category:']]"")"),"Loading...")</f>
        <v>Loading...</v>
      </c>
      <c r="M205" s="24"/>
      <c r="N205" s="19" t="str">
        <f ca="1">IFERROR(__xludf.DUMMYFUNCTION("IMPORTXML(AI205, ""//li[strong[text()='Global Sales:']]"")"),"Loading...")</f>
        <v>Loading...</v>
      </c>
      <c r="O205" s="24"/>
      <c r="P205" s="19" t="str">
        <f t="shared" si="0"/>
        <v/>
      </c>
      <c r="Q205" s="19" t="str">
        <f ca="1">IFERROR(__xludf.DUMMYFUNCTION("IMPORTXML(AI205, ""//li[strong[text()='US Units:']]"")"),"Loading...")</f>
        <v>Loading...</v>
      </c>
      <c r="R205" s="24"/>
      <c r="S205" s="19" t="str">
        <f ca="1">IFERROR(__xludf.DUMMYFUNCTION("IMPORTXML(AI205, ""//li[strong[text()='International Units:']]"")"),"Loading...")</f>
        <v>Loading...</v>
      </c>
      <c r="T205" s="44"/>
      <c r="U205" s="19" t="str">
        <f ca="1">IFERROR(__xludf.DUMMYFUNCTION("IMPORTXML(AI205, ""//li[strong[text()='Percent Franchised:']]"")"),"Loading...")</f>
        <v>Loading...</v>
      </c>
      <c r="V205" s="24"/>
      <c r="W205" s="19" t="str">
        <f ca="1">IFERROR(__xludf.DUMMYFUNCTION("IMPORTXML(AI205, ""//li[strong[text()='% International Units:']]"")"),"Loading...")</f>
        <v>Loading...</v>
      </c>
      <c r="X205" s="24"/>
      <c r="Y205" s="19" t="str">
        <f ca="1">IFERROR(__xludf.DUMMYFUNCTION("IMPORTXML(AI205, ""//li[strong[text()='US Franchised Units:']]"")"),"Loading...")</f>
        <v>Loading...</v>
      </c>
      <c r="Z205" s="24"/>
      <c r="AA205" s="14" t="str">
        <f t="shared" si="1"/>
        <v/>
      </c>
      <c r="AB205" s="19" t="str">
        <f ca="1">IFERROR(__xludf.DUMMYFUNCTION("IMPORTXML(AI205, ""//li[strong[text()='International Franchised Units:']]"")"),"Loading...")</f>
        <v>Loading...</v>
      </c>
      <c r="AC205" s="24"/>
      <c r="AD205" s="14" t="str">
        <f t="shared" si="2"/>
        <v/>
      </c>
      <c r="AE205" s="25" t="str">
        <f ca="1">IFERROR(__xludf.DUMMYFUNCTION("IMPORTXML(AI205, ""//li[strong[text()='Sales Growth %:']]"")"),"Loading...")</f>
        <v>Loading...</v>
      </c>
      <c r="AF205" s="24"/>
      <c r="AG205" s="25" t="str">
        <f ca="1">IFERROR(__xludf.DUMMYFUNCTION("IMPORTXML(AI205, ""//li[strong[text()='Unit Growth %:']]"")"),"Loading...")</f>
        <v>Loading...</v>
      </c>
      <c r="AH205" s="25"/>
      <c r="AI205" s="48" t="s">
        <v>216</v>
      </c>
      <c r="AJ205" s="27"/>
      <c r="AK205" s="27"/>
      <c r="AL205" s="27"/>
      <c r="AM205" s="27"/>
      <c r="AN205" s="27"/>
      <c r="AO205" s="27"/>
      <c r="AP205" s="27"/>
      <c r="AQ205" s="27"/>
    </row>
    <row r="206" spans="1:43" ht="14.25" customHeight="1">
      <c r="A206" s="42">
        <v>24.204999999999998</v>
      </c>
      <c r="B206" s="14">
        <v>2024</v>
      </c>
      <c r="C206" s="32">
        <v>205</v>
      </c>
      <c r="D206" s="16" t="str">
        <f ca="1">IFERROR(__xludf.DUMMYFUNCTION("IMPORTXML(AI206, ""//h1[@itemprop='headline']/span"")"),"205. Metal Supermarkets")</f>
        <v>205. Metal Supermarkets</v>
      </c>
      <c r="E206" s="17" t="str">
        <f ca="1">IFERROR(__xludf.DUMMYFUNCTION("REGEXEXTRACT(D206, ""\.\s*(.+)"")"),"Metal Supermarkets")</f>
        <v>Metal Supermarkets</v>
      </c>
      <c r="F206" s="18" t="str">
        <f ca="1">IFERROR(__xludf.DUMMYFUNCTION("IMPORTXML(AI206, ""//li[strong[text()='Investment Range:']]"")"),"Investment Range:")</f>
        <v>Investment Range:</v>
      </c>
      <c r="G206" s="43" t="str">
        <f ca="1">IFERROR(__xludf.DUMMYFUNCTION("""COMPUTED_VALUE""")," $340,500 - $592,500")</f>
        <v xml:space="preserve"> $340,500 - $592,500</v>
      </c>
      <c r="H206" s="18" t="str">
        <f ca="1">IFERROR(__xludf.DUMMYFUNCTION("SUBSTITUTE(REGEXEXTRACT(G206, ""\$(\d{1,3}(?:,\d{3})*)""), "","", ""."")
"),"340.500")</f>
        <v>340.500</v>
      </c>
      <c r="I206" s="19" t="str">
        <f ca="1">IFERROR(__xludf.DUMMYFUNCTION("SUBSTITUTE(REGEXEXTRACT(G206, ""-\s*\$(\d{1,3}(?:,\d{3})*)""), "","", ""."")
"),"592.500")</f>
        <v>592.500</v>
      </c>
      <c r="J206" s="19" t="str">
        <f ca="1">IFERROR(__xludf.DUMMYFUNCTION("IMPORTXML(AI206, ""//li[strong[text()='Initial Investment:']]"")"),"Initial Investment:")</f>
        <v>Initial Investment:</v>
      </c>
      <c r="K206" s="24" t="str">
        <f ca="1">IFERROR(__xludf.DUMMYFUNCTION("""COMPUTED_VALUE""")," $44,500")</f>
        <v xml:space="preserve"> $44,500</v>
      </c>
      <c r="L206" s="20" t="str">
        <f ca="1">IFERROR(__xludf.DUMMYFUNCTION("IMPORTXML(AI206, ""//li[strong[text()='Category:']]"")"),"Loading...")</f>
        <v>Loading...</v>
      </c>
      <c r="M206" s="24"/>
      <c r="N206" s="19" t="str">
        <f ca="1">IFERROR(__xludf.DUMMYFUNCTION("IMPORTXML(AI206, ""//li[strong[text()='Global Sales:']]"")"),"Loading...")</f>
        <v>Loading...</v>
      </c>
      <c r="O206" s="24"/>
      <c r="P206" s="19" t="str">
        <f t="shared" si="0"/>
        <v/>
      </c>
      <c r="Q206" s="19" t="str">
        <f ca="1">IFERROR(__xludf.DUMMYFUNCTION("IMPORTXML(AI206, ""//li[strong[text()='US Units:']]"")"),"Loading...")</f>
        <v>Loading...</v>
      </c>
      <c r="R206" s="24"/>
      <c r="S206" s="19" t="str">
        <f ca="1">IFERROR(__xludf.DUMMYFUNCTION("IMPORTXML(AI206, ""//li[strong[text()='International Units:']]"")"),"Loading...")</f>
        <v>Loading...</v>
      </c>
      <c r="T206" s="44"/>
      <c r="U206" s="19" t="str">
        <f ca="1">IFERROR(__xludf.DUMMYFUNCTION("IMPORTXML(AI206, ""//li[strong[text()='Percent Franchised:']]"")"),"Loading...")</f>
        <v>Loading...</v>
      </c>
      <c r="V206" s="24"/>
      <c r="W206" s="19" t="str">
        <f ca="1">IFERROR(__xludf.DUMMYFUNCTION("IMPORTXML(AI206, ""//li[strong[text()='% International Units:']]"")"),"Loading...")</f>
        <v>Loading...</v>
      </c>
      <c r="X206" s="24"/>
      <c r="Y206" s="19" t="str">
        <f ca="1">IFERROR(__xludf.DUMMYFUNCTION("IMPORTXML(AI206, ""//li[strong[text()='US Franchised Units:']]"")"),"Loading...")</f>
        <v>Loading...</v>
      </c>
      <c r="Z206" s="24"/>
      <c r="AA206" s="14" t="str">
        <f t="shared" si="1"/>
        <v/>
      </c>
      <c r="AB206" s="19" t="str">
        <f ca="1">IFERROR(__xludf.DUMMYFUNCTION("IMPORTXML(AI206, ""//li[strong[text()='International Franchised Units:']]"")"),"Loading...")</f>
        <v>Loading...</v>
      </c>
      <c r="AC206" s="24"/>
      <c r="AD206" s="14" t="str">
        <f t="shared" si="2"/>
        <v/>
      </c>
      <c r="AE206" s="25" t="str">
        <f ca="1">IFERROR(__xludf.DUMMYFUNCTION("IMPORTXML(AI206, ""//li[strong[text()='Sales Growth %:']]"")"),"Loading...")</f>
        <v>Loading...</v>
      </c>
      <c r="AF206" s="24"/>
      <c r="AG206" s="25" t="str">
        <f ca="1">IFERROR(__xludf.DUMMYFUNCTION("IMPORTXML(AI206, ""//li[strong[text()='Unit Growth %:']]"")"),"Loading...")</f>
        <v>Loading...</v>
      </c>
      <c r="AH206" s="25"/>
      <c r="AI206" s="48" t="s">
        <v>217</v>
      </c>
      <c r="AJ206" s="27"/>
      <c r="AK206" s="27"/>
      <c r="AL206" s="27"/>
      <c r="AM206" s="27"/>
      <c r="AN206" s="27"/>
      <c r="AO206" s="27"/>
      <c r="AP206" s="27"/>
      <c r="AQ206" s="27"/>
    </row>
    <row r="207" spans="1:43" ht="14.25" customHeight="1">
      <c r="A207" s="42">
        <v>24.206</v>
      </c>
      <c r="B207" s="14">
        <v>2024</v>
      </c>
      <c r="C207" s="36">
        <v>206</v>
      </c>
      <c r="D207" s="16" t="str">
        <f ca="1">IFERROR(__xludf.DUMMYFUNCTION("IMPORTXML(AI207, ""//h1[@itemprop='headline']/span"")"),"206. Pepper Lunch")</f>
        <v>206. Pepper Lunch</v>
      </c>
      <c r="E207" s="17" t="str">
        <f ca="1">IFERROR(__xludf.DUMMYFUNCTION("REGEXEXTRACT(D207, ""\.\s*(.+)"")"),"Pepper Lunch")</f>
        <v>Pepper Lunch</v>
      </c>
      <c r="F207" s="18" t="str">
        <f ca="1">IFERROR(__xludf.DUMMYFUNCTION("IMPORTXML(AI207, ""//li[strong[text()='Investment Range:']]"")"),"#N/A")</f>
        <v>#N/A</v>
      </c>
      <c r="G207" s="43"/>
      <c r="H207" s="18" t="str">
        <f ca="1">IFERROR(__xludf.DUMMYFUNCTION("SUBSTITUTE(REGEXEXTRACT(G207, ""\$(\d{1,3}(?:,\d{3})*)""), "","", ""."")
"),"#N/A")</f>
        <v>#N/A</v>
      </c>
      <c r="I207" s="19" t="str">
        <f ca="1">IFERROR(__xludf.DUMMYFUNCTION("SUBSTITUTE(REGEXEXTRACT(G207, ""-\s*\$(\d{1,3}(?:,\d{3})*)""), "","", ""."")
"),"#N/A")</f>
        <v>#N/A</v>
      </c>
      <c r="J207" s="19" t="str">
        <f ca="1">IFERROR(__xludf.DUMMYFUNCTION("IMPORTXML(AI207, ""//li[strong[text()='Initial Investment:']]"")"),"Loading...")</f>
        <v>Loading...</v>
      </c>
      <c r="K207" s="24"/>
      <c r="L207" s="20" t="str">
        <f ca="1">IFERROR(__xludf.DUMMYFUNCTION("IMPORTXML(AI207, ""//li[strong[text()='Category:']]"")"),"Loading...")</f>
        <v>Loading...</v>
      </c>
      <c r="M207" s="24"/>
      <c r="N207" s="19" t="str">
        <f ca="1">IFERROR(__xludf.DUMMYFUNCTION("IMPORTXML(AI207, ""//li[strong[text()='Global Sales:']]"")"),"Loading...")</f>
        <v>Loading...</v>
      </c>
      <c r="O207" s="24"/>
      <c r="P207" s="19" t="str">
        <f t="shared" si="0"/>
        <v/>
      </c>
      <c r="Q207" s="19" t="str">
        <f ca="1">IFERROR(__xludf.DUMMYFUNCTION("IMPORTXML(AI207, ""//li[strong[text()='US Units:']]"")"),"#N/A")</f>
        <v>#N/A</v>
      </c>
      <c r="R207" s="24"/>
      <c r="S207" s="19" t="str">
        <f ca="1">IFERROR(__xludf.DUMMYFUNCTION("IMPORTXML(AI207, ""//li[strong[text()='International Units:']]"")"),"Loading...")</f>
        <v>Loading...</v>
      </c>
      <c r="T207" s="44"/>
      <c r="U207" s="19" t="str">
        <f ca="1">IFERROR(__xludf.DUMMYFUNCTION("IMPORTXML(AI207, ""//li[strong[text()='Percent Franchised:']]"")"),"Loading...")</f>
        <v>Loading...</v>
      </c>
      <c r="V207" s="24"/>
      <c r="W207" s="19" t="str">
        <f ca="1">IFERROR(__xludf.DUMMYFUNCTION("IMPORTXML(AI207, ""//li[strong[text()='% International Units:']]"")"),"Loading...")</f>
        <v>Loading...</v>
      </c>
      <c r="X207" s="24"/>
      <c r="Y207" s="19" t="str">
        <f ca="1">IFERROR(__xludf.DUMMYFUNCTION("IMPORTXML(AI207, ""//li[strong[text()='US Franchised Units:']]"")"),"Loading...")</f>
        <v>Loading...</v>
      </c>
      <c r="Z207" s="24"/>
      <c r="AA207" s="14" t="str">
        <f t="shared" si="1"/>
        <v/>
      </c>
      <c r="AB207" s="19" t="str">
        <f ca="1">IFERROR(__xludf.DUMMYFUNCTION("IMPORTXML(AI207, ""//li[strong[text()='International Franchised Units:']]"")"),"Loading...")</f>
        <v>Loading...</v>
      </c>
      <c r="AC207" s="24"/>
      <c r="AD207" s="14" t="str">
        <f t="shared" si="2"/>
        <v/>
      </c>
      <c r="AE207" s="25" t="str">
        <f ca="1">IFERROR(__xludf.DUMMYFUNCTION("IMPORTXML(AI207, ""//li[strong[text()='Sales Growth %:']]"")"),"Loading...")</f>
        <v>Loading...</v>
      </c>
      <c r="AF207" s="24"/>
      <c r="AG207" s="25" t="str">
        <f ca="1">IFERROR(__xludf.DUMMYFUNCTION("IMPORTXML(AI207, ""//li[strong[text()='Unit Growth %:']]"")"),"Loading...")</f>
        <v>Loading...</v>
      </c>
      <c r="AH207" s="25"/>
      <c r="AI207" s="48" t="s">
        <v>218</v>
      </c>
      <c r="AJ207" s="27"/>
      <c r="AK207" s="27"/>
      <c r="AL207" s="27"/>
      <c r="AM207" s="27"/>
      <c r="AN207" s="27"/>
      <c r="AO207" s="27"/>
      <c r="AP207" s="27"/>
      <c r="AQ207" s="27"/>
    </row>
    <row r="208" spans="1:43" ht="14.25" customHeight="1">
      <c r="A208" s="42">
        <v>24.207000000000001</v>
      </c>
      <c r="B208" s="14">
        <v>2024</v>
      </c>
      <c r="C208" s="36">
        <v>207</v>
      </c>
      <c r="D208" s="16" t="str">
        <f ca="1">IFERROR(__xludf.DUMMYFUNCTION("IMPORTXML(AI208, ""//h1[@itemprop='headline']/span"")"),"207. Signal Security")</f>
        <v>207. Signal Security</v>
      </c>
      <c r="E208" s="17" t="str">
        <f ca="1">IFERROR(__xludf.DUMMYFUNCTION("REGEXEXTRACT(D208, ""\.\s*(.+)"")"),"Signal Security")</f>
        <v>Signal Security</v>
      </c>
      <c r="F208" s="18" t="str">
        <f ca="1">IFERROR(__xludf.DUMMYFUNCTION("IMPORTXML(AI208, ""//li[strong[text()='Investment Range:']]"")"),"Investment Range:")</f>
        <v>Investment Range:</v>
      </c>
      <c r="G208" s="43" t="str">
        <f ca="1">IFERROR(__xludf.DUMMYFUNCTION("""COMPUTED_VALUE""")," $126,950 - $5,093,300")</f>
        <v xml:space="preserve"> $126,950 - $5,093,300</v>
      </c>
      <c r="H208" s="18" t="str">
        <f ca="1">IFERROR(__xludf.DUMMYFUNCTION("SUBSTITUTE(REGEXEXTRACT(G208, ""\$(\d{1,3}(?:,\d{3})*)""), "","", ""."")
"),"126.950")</f>
        <v>126.950</v>
      </c>
      <c r="I208" s="19" t="str">
        <f ca="1">IFERROR(__xludf.DUMMYFUNCTION("SUBSTITUTE(REGEXEXTRACT(G208, ""-\s*\$(\d{1,3}(?:,\d{3})*)""), "","", ""."")
"),"5.093.300")</f>
        <v>5.093.300</v>
      </c>
      <c r="J208" s="19" t="str">
        <f ca="1">IFERROR(__xludf.DUMMYFUNCTION("IMPORTXML(AI208, ""//li[strong[text()='Initial Investment:']]"")"),"Initial Investment:")</f>
        <v>Initial Investment:</v>
      </c>
      <c r="K208" s="24" t="str">
        <f ca="1">IFERROR(__xludf.DUMMYFUNCTION("""COMPUTED_VALUE""")," $120,000")</f>
        <v xml:space="preserve"> $120,000</v>
      </c>
      <c r="L208" s="20" t="str">
        <f ca="1">IFERROR(__xludf.DUMMYFUNCTION("IMPORTXML(AI208, ""//li[strong[text()='Category:']]"")"),"Loading...")</f>
        <v>Loading...</v>
      </c>
      <c r="M208" s="24"/>
      <c r="N208" s="19" t="str">
        <f ca="1">IFERROR(__xludf.DUMMYFUNCTION("IMPORTXML(AI208, ""//li[strong[text()='Global Sales:']]"")"),"Loading...")</f>
        <v>Loading...</v>
      </c>
      <c r="O208" s="24"/>
      <c r="P208" s="19" t="str">
        <f t="shared" si="0"/>
        <v/>
      </c>
      <c r="Q208" s="19" t="str">
        <f ca="1">IFERROR(__xludf.DUMMYFUNCTION("IMPORTXML(AI208, ""//li[strong[text()='US Units:']]"")"),"Loading...")</f>
        <v>Loading...</v>
      </c>
      <c r="R208" s="24"/>
      <c r="S208" s="19" t="str">
        <f ca="1">IFERROR(__xludf.DUMMYFUNCTION("IMPORTXML(AI208, ""//li[strong[text()='International Units:']]"")"),"Loading...")</f>
        <v>Loading...</v>
      </c>
      <c r="T208" s="44"/>
      <c r="U208" s="19" t="str">
        <f ca="1">IFERROR(__xludf.DUMMYFUNCTION("IMPORTXML(AI208, ""//li[strong[text()='Percent Franchised:']]"")"),"Loading...")</f>
        <v>Loading...</v>
      </c>
      <c r="V208" s="24"/>
      <c r="W208" s="19" t="str">
        <f ca="1">IFERROR(__xludf.DUMMYFUNCTION("IMPORTXML(AI208, ""//li[strong[text()='% International Units:']]"")"),"Loading...")</f>
        <v>Loading...</v>
      </c>
      <c r="X208" s="24"/>
      <c r="Y208" s="19" t="str">
        <f ca="1">IFERROR(__xludf.DUMMYFUNCTION("IMPORTXML(AI208, ""//li[strong[text()='US Franchised Units:']]"")"),"Loading...")</f>
        <v>Loading...</v>
      </c>
      <c r="Z208" s="24"/>
      <c r="AA208" s="14" t="str">
        <f t="shared" si="1"/>
        <v/>
      </c>
      <c r="AB208" s="19" t="str">
        <f ca="1">IFERROR(__xludf.DUMMYFUNCTION("IMPORTXML(AI208, ""//li[strong[text()='International Franchised Units:']]"")"),"Loading...")</f>
        <v>Loading...</v>
      </c>
      <c r="AC208" s="24"/>
      <c r="AD208" s="14" t="str">
        <f t="shared" si="2"/>
        <v/>
      </c>
      <c r="AE208" s="25" t="str">
        <f ca="1">IFERROR(__xludf.DUMMYFUNCTION("IMPORTXML(AI208, ""//li[strong[text()='Sales Growth %:']]"")"),"Loading...")</f>
        <v>Loading...</v>
      </c>
      <c r="AF208" s="24"/>
      <c r="AG208" s="25" t="str">
        <f ca="1">IFERROR(__xludf.DUMMYFUNCTION("IMPORTXML(AI208, ""//li[strong[text()='Unit Growth %:']]"")"),"Loading...")</f>
        <v>Loading...</v>
      </c>
      <c r="AH208" s="25"/>
      <c r="AI208" s="48" t="s">
        <v>219</v>
      </c>
      <c r="AJ208" s="27"/>
      <c r="AK208" s="27"/>
      <c r="AL208" s="27"/>
      <c r="AM208" s="27"/>
      <c r="AN208" s="27"/>
      <c r="AO208" s="27"/>
      <c r="AP208" s="27"/>
      <c r="AQ208" s="27"/>
    </row>
    <row r="209" spans="1:43" ht="14.25" customHeight="1">
      <c r="A209" s="42">
        <v>24.207999999999998</v>
      </c>
      <c r="B209" s="14">
        <v>2024</v>
      </c>
      <c r="C209" s="15">
        <v>208</v>
      </c>
      <c r="D209" s="16" t="str">
        <f ca="1">IFERROR(__xludf.DUMMYFUNCTION("IMPORTXML(AI209, ""//h1[@itemprop='headline']/span"")"),"208. Penn Station East Coast Subs")</f>
        <v>208. Penn Station East Coast Subs</v>
      </c>
      <c r="E209" s="17" t="str">
        <f ca="1">IFERROR(__xludf.DUMMYFUNCTION("REGEXEXTRACT(D209, ""\.\s*(.+)"")"),"Penn Station East Coast Subs")</f>
        <v>Penn Station East Coast Subs</v>
      </c>
      <c r="F209" s="18" t="str">
        <f ca="1">IFERROR(__xludf.DUMMYFUNCTION("IMPORTXML(AI209, ""//li[strong[text()='Investment Range:']]"")"),"#N/A")</f>
        <v>#N/A</v>
      </c>
      <c r="G209" s="43"/>
      <c r="H209" s="18" t="str">
        <f ca="1">IFERROR(__xludf.DUMMYFUNCTION("SUBSTITUTE(REGEXEXTRACT(G209, ""\$(\d{1,3}(?:,\d{3})*)""), "","", ""."")
"),"#N/A")</f>
        <v>#N/A</v>
      </c>
      <c r="I209" s="19" t="str">
        <f ca="1">IFERROR(__xludf.DUMMYFUNCTION("SUBSTITUTE(REGEXEXTRACT(G209, ""-\s*\$(\d{1,3}(?:,\d{3})*)""), "","", ""."")
"),"#N/A")</f>
        <v>#N/A</v>
      </c>
      <c r="J209" s="19" t="str">
        <f ca="1">IFERROR(__xludf.DUMMYFUNCTION("IMPORTXML(AI209, ""//li[strong[text()='Initial Investment:']]"")"),"Loading...")</f>
        <v>Loading...</v>
      </c>
      <c r="K209" s="24"/>
      <c r="L209" s="20" t="str">
        <f ca="1">IFERROR(__xludf.DUMMYFUNCTION("IMPORTXML(AI209, ""//li[strong[text()='Category:']]"")"),"Loading...")</f>
        <v>Loading...</v>
      </c>
      <c r="M209" s="24"/>
      <c r="N209" s="19" t="str">
        <f ca="1">IFERROR(__xludf.DUMMYFUNCTION("IMPORTXML(AI209, ""//li[strong[text()='Global Sales:']]"")"),"Loading...")</f>
        <v>Loading...</v>
      </c>
      <c r="O209" s="24"/>
      <c r="P209" s="19" t="str">
        <f t="shared" si="0"/>
        <v/>
      </c>
      <c r="Q209" s="19" t="str">
        <f ca="1">IFERROR(__xludf.DUMMYFUNCTION("IMPORTXML(AI209, ""//li[strong[text()='US Units:']]"")"),"Loading...")</f>
        <v>Loading...</v>
      </c>
      <c r="R209" s="24"/>
      <c r="S209" s="19" t="str">
        <f ca="1">IFERROR(__xludf.DUMMYFUNCTION("IMPORTXML(AI209, ""//li[strong[text()='International Units:']]"")"),"Loading...")</f>
        <v>Loading...</v>
      </c>
      <c r="T209" s="44"/>
      <c r="U209" s="19" t="str">
        <f ca="1">IFERROR(__xludf.DUMMYFUNCTION("IMPORTXML(AI209, ""//li[strong[text()='Percent Franchised:']]"")"),"Loading...")</f>
        <v>Loading...</v>
      </c>
      <c r="V209" s="24"/>
      <c r="W209" s="19" t="str">
        <f ca="1">IFERROR(__xludf.DUMMYFUNCTION("IMPORTXML(AI209, ""//li[strong[text()='% International Units:']]"")"),"Loading...")</f>
        <v>Loading...</v>
      </c>
      <c r="X209" s="24"/>
      <c r="Y209" s="19" t="str">
        <f ca="1">IFERROR(__xludf.DUMMYFUNCTION("IMPORTXML(AI209, ""//li[strong[text()='US Franchised Units:']]"")"),"Loading...")</f>
        <v>Loading...</v>
      </c>
      <c r="Z209" s="24"/>
      <c r="AA209" s="14" t="str">
        <f t="shared" si="1"/>
        <v/>
      </c>
      <c r="AB209" s="19" t="str">
        <f ca="1">IFERROR(__xludf.DUMMYFUNCTION("IMPORTXML(AI209, ""//li[strong[text()='International Franchised Units:']]"")"),"Loading...")</f>
        <v>Loading...</v>
      </c>
      <c r="AC209" s="24"/>
      <c r="AD209" s="14" t="str">
        <f t="shared" si="2"/>
        <v/>
      </c>
      <c r="AE209" s="25" t="str">
        <f ca="1">IFERROR(__xludf.DUMMYFUNCTION("IMPORTXML(AI209, ""//li[strong[text()='Sales Growth %:']]"")"),"Loading...")</f>
        <v>Loading...</v>
      </c>
      <c r="AF209" s="24"/>
      <c r="AG209" s="25" t="str">
        <f ca="1">IFERROR(__xludf.DUMMYFUNCTION("IMPORTXML(AI209, ""//li[strong[text()='Unit Growth %:']]"")"),"Loading...")</f>
        <v>Loading...</v>
      </c>
      <c r="AH209" s="25"/>
      <c r="AI209" s="48" t="s">
        <v>220</v>
      </c>
      <c r="AJ209" s="27"/>
      <c r="AK209" s="27"/>
      <c r="AL209" s="27"/>
      <c r="AM209" s="27"/>
      <c r="AN209" s="27"/>
      <c r="AO209" s="27"/>
      <c r="AP209" s="27"/>
      <c r="AQ209" s="27"/>
    </row>
    <row r="210" spans="1:43" ht="14.25" customHeight="1">
      <c r="A210" s="42">
        <v>24.209</v>
      </c>
      <c r="B210" s="14">
        <v>2024</v>
      </c>
      <c r="C210" s="32">
        <v>209</v>
      </c>
      <c r="D210" s="16" t="str">
        <f ca="1">IFERROR(__xludf.DUMMYFUNCTION("IMPORTXML(AI210, ""//h1[@itemprop='headline']/span"")"),"209. Wetzel's Pretzels")</f>
        <v>209. Wetzel's Pretzels</v>
      </c>
      <c r="E210" s="17" t="str">
        <f ca="1">IFERROR(__xludf.DUMMYFUNCTION("REGEXEXTRACT(D210, ""\.\s*(.+)"")"),"Wetzel's Pretzels")</f>
        <v>Wetzel's Pretzels</v>
      </c>
      <c r="F210" s="18" t="str">
        <f ca="1">IFERROR(__xludf.DUMMYFUNCTION("IMPORTXML(AI210, ""//li[strong[text()='Investment Range:']]"")"),"Investment Range:")</f>
        <v>Investment Range:</v>
      </c>
      <c r="G210" s="43" t="str">
        <f ca="1">IFERROR(__xludf.DUMMYFUNCTION("""COMPUTED_VALUE""")," $178,500 - $689,750")</f>
        <v xml:space="preserve"> $178,500 - $689,750</v>
      </c>
      <c r="H210" s="18" t="str">
        <f ca="1">IFERROR(__xludf.DUMMYFUNCTION("SUBSTITUTE(REGEXEXTRACT(G210, ""\$(\d{1,3}(?:,\d{3})*)""), "","", ""."")
"),"178.500")</f>
        <v>178.500</v>
      </c>
      <c r="I210" s="19" t="str">
        <f ca="1">IFERROR(__xludf.DUMMYFUNCTION("SUBSTITUTE(REGEXEXTRACT(G210, ""-\s*\$(\d{1,3}(?:,\d{3})*)""), "","", ""."")
"),"689.750")</f>
        <v>689.750</v>
      </c>
      <c r="J210" s="19" t="str">
        <f ca="1">IFERROR(__xludf.DUMMYFUNCTION("IMPORTXML(AI210, ""//li[strong[text()='Initial Investment:']]"")"),"Loading...")</f>
        <v>Loading...</v>
      </c>
      <c r="K210" s="24"/>
      <c r="L210" s="20" t="str">
        <f ca="1">IFERROR(__xludf.DUMMYFUNCTION("IMPORTXML(AI210, ""//li[strong[text()='Category:']]"")"),"Loading...")</f>
        <v>Loading...</v>
      </c>
      <c r="M210" s="24"/>
      <c r="N210" s="19" t="str">
        <f ca="1">IFERROR(__xludf.DUMMYFUNCTION("IMPORTXML(AI210, ""//li[strong[text()='Global Sales:']]"")"),"Loading...")</f>
        <v>Loading...</v>
      </c>
      <c r="O210" s="24"/>
      <c r="P210" s="19" t="str">
        <f t="shared" si="0"/>
        <v/>
      </c>
      <c r="Q210" s="19" t="str">
        <f ca="1">IFERROR(__xludf.DUMMYFUNCTION("IMPORTXML(AI210, ""//li[strong[text()='US Units:']]"")"),"Loading...")</f>
        <v>Loading...</v>
      </c>
      <c r="R210" s="24"/>
      <c r="S210" s="19" t="str">
        <f ca="1">IFERROR(__xludf.DUMMYFUNCTION("IMPORTXML(AI210, ""//li[strong[text()='International Units:']]"")"),"Loading...")</f>
        <v>Loading...</v>
      </c>
      <c r="T210" s="44"/>
      <c r="U210" s="19" t="str">
        <f ca="1">IFERROR(__xludf.DUMMYFUNCTION("IMPORTXML(AI210, ""//li[strong[text()='Percent Franchised:']]"")"),"Loading...")</f>
        <v>Loading...</v>
      </c>
      <c r="V210" s="24"/>
      <c r="W210" s="19" t="str">
        <f ca="1">IFERROR(__xludf.DUMMYFUNCTION("IMPORTXML(AI210, ""//li[strong[text()='% International Units:']]"")"),"Loading...")</f>
        <v>Loading...</v>
      </c>
      <c r="X210" s="24"/>
      <c r="Y210" s="19" t="str">
        <f ca="1">IFERROR(__xludf.DUMMYFUNCTION("IMPORTXML(AI210, ""//li[strong[text()='US Franchised Units:']]"")"),"Loading...")</f>
        <v>Loading...</v>
      </c>
      <c r="Z210" s="24"/>
      <c r="AA210" s="14" t="str">
        <f t="shared" si="1"/>
        <v/>
      </c>
      <c r="AB210" s="19" t="str">
        <f ca="1">IFERROR(__xludf.DUMMYFUNCTION("IMPORTXML(AI210, ""//li[strong[text()='International Franchised Units:']]"")"),"Loading...")</f>
        <v>Loading...</v>
      </c>
      <c r="AC210" s="24"/>
      <c r="AD210" s="14" t="str">
        <f t="shared" si="2"/>
        <v/>
      </c>
      <c r="AE210" s="25" t="str">
        <f ca="1">IFERROR(__xludf.DUMMYFUNCTION("IMPORTXML(AI210, ""//li[strong[text()='Sales Growth %:']]"")"),"Loading...")</f>
        <v>Loading...</v>
      </c>
      <c r="AF210" s="24"/>
      <c r="AG210" s="25" t="str">
        <f ca="1">IFERROR(__xludf.DUMMYFUNCTION("IMPORTXML(AI210, ""//li[strong[text()='Unit Growth %:']]"")"),"Loading...")</f>
        <v>Loading...</v>
      </c>
      <c r="AH210" s="25"/>
      <c r="AI210" s="48" t="s">
        <v>221</v>
      </c>
      <c r="AJ210" s="27"/>
      <c r="AK210" s="27"/>
      <c r="AL210" s="27"/>
      <c r="AM210" s="27"/>
      <c r="AN210" s="27"/>
      <c r="AO210" s="27"/>
      <c r="AP210" s="27"/>
      <c r="AQ210" s="27"/>
    </row>
    <row r="211" spans="1:43" ht="14.25" customHeight="1">
      <c r="A211" s="42">
        <v>24.21</v>
      </c>
      <c r="B211" s="14">
        <v>2024</v>
      </c>
      <c r="C211" s="36">
        <v>210</v>
      </c>
      <c r="D211" s="16" t="str">
        <f ca="1">IFERROR(__xludf.DUMMYFUNCTION("IMPORTXML(AI211, ""//h1[@itemprop='headline']/span"")"),"210. College Hunks Hauling Junk")</f>
        <v>210. College Hunks Hauling Junk</v>
      </c>
      <c r="E211" s="17" t="str">
        <f ca="1">IFERROR(__xludf.DUMMYFUNCTION("REGEXEXTRACT(D211, ""\.\s*(.+)"")"),"College Hunks Hauling Junk")</f>
        <v>College Hunks Hauling Junk</v>
      </c>
      <c r="F211" s="18" t="str">
        <f ca="1">IFERROR(__xludf.DUMMYFUNCTION("IMPORTXML(AI211, ""//li[strong[text()='Investment Range:']]"")"),"Investment Range:")</f>
        <v>Investment Range:</v>
      </c>
      <c r="G211" s="43" t="str">
        <f ca="1">IFERROR(__xludf.DUMMYFUNCTION("""COMPUTED_VALUE""")," $258,100 - $480,500")</f>
        <v xml:space="preserve"> $258,100 - $480,500</v>
      </c>
      <c r="H211" s="18" t="str">
        <f ca="1">IFERROR(__xludf.DUMMYFUNCTION("SUBSTITUTE(REGEXEXTRACT(G211, ""\$(\d{1,3}(?:,\d{3})*)""), "","", ""."")
"),"258.100")</f>
        <v>258.100</v>
      </c>
      <c r="I211" s="19" t="str">
        <f ca="1">IFERROR(__xludf.DUMMYFUNCTION("SUBSTITUTE(REGEXEXTRACT(G211, ""-\s*\$(\d{1,3}(?:,\d{3})*)""), "","", ""."")
"),"480.500")</f>
        <v>480.500</v>
      </c>
      <c r="J211" s="19" t="str">
        <f ca="1">IFERROR(__xludf.DUMMYFUNCTION("IMPORTXML(AI211, ""//li[strong[text()='Initial Investment:']]"")"),"Loading...")</f>
        <v>Loading...</v>
      </c>
      <c r="K211" s="24"/>
      <c r="L211" s="20" t="str">
        <f ca="1">IFERROR(__xludf.DUMMYFUNCTION("IMPORTXML(AI211, ""//li[strong[text()='Category:']]"")"),"Loading...")</f>
        <v>Loading...</v>
      </c>
      <c r="M211" s="24"/>
      <c r="N211" s="19" t="str">
        <f ca="1">IFERROR(__xludf.DUMMYFUNCTION("IMPORTXML(AI211, ""//li[strong[text()='Global Sales:']]"")"),"Loading...")</f>
        <v>Loading...</v>
      </c>
      <c r="O211" s="24"/>
      <c r="P211" s="19" t="str">
        <f t="shared" si="0"/>
        <v/>
      </c>
      <c r="Q211" s="19" t="str">
        <f ca="1">IFERROR(__xludf.DUMMYFUNCTION("IMPORTXML(AI211, ""//li[strong[text()='US Units:']]"")"),"Loading...")</f>
        <v>Loading...</v>
      </c>
      <c r="R211" s="24"/>
      <c r="S211" s="19" t="str">
        <f ca="1">IFERROR(__xludf.DUMMYFUNCTION("IMPORTXML(AI211, ""//li[strong[text()='International Units:']]"")"),"Loading...")</f>
        <v>Loading...</v>
      </c>
      <c r="T211" s="44"/>
      <c r="U211" s="19" t="str">
        <f ca="1">IFERROR(__xludf.DUMMYFUNCTION("IMPORTXML(AI211, ""//li[strong[text()='Percent Franchised:']]"")"),"Loading...")</f>
        <v>Loading...</v>
      </c>
      <c r="V211" s="24"/>
      <c r="W211" s="19" t="str">
        <f ca="1">IFERROR(__xludf.DUMMYFUNCTION("IMPORTXML(AI211, ""//li[strong[text()='% International Units:']]"")"),"Loading...")</f>
        <v>Loading...</v>
      </c>
      <c r="X211" s="24"/>
      <c r="Y211" s="19" t="str">
        <f ca="1">IFERROR(__xludf.DUMMYFUNCTION("IMPORTXML(AI211, ""//li[strong[text()='US Franchised Units:']]"")"),"Loading...")</f>
        <v>Loading...</v>
      </c>
      <c r="Z211" s="24"/>
      <c r="AA211" s="14" t="str">
        <f t="shared" si="1"/>
        <v/>
      </c>
      <c r="AB211" s="19" t="str">
        <f ca="1">IFERROR(__xludf.DUMMYFUNCTION("IMPORTXML(AI211, ""//li[strong[text()='International Franchised Units:']]"")"),"Loading...")</f>
        <v>Loading...</v>
      </c>
      <c r="AC211" s="24"/>
      <c r="AD211" s="14" t="str">
        <f t="shared" si="2"/>
        <v/>
      </c>
      <c r="AE211" s="25" t="str">
        <f ca="1">IFERROR(__xludf.DUMMYFUNCTION("IMPORTXML(AI211, ""//li[strong[text()='Sales Growth %:']]"")"),"Loading...")</f>
        <v>Loading...</v>
      </c>
      <c r="AF211" s="24"/>
      <c r="AG211" s="25" t="str">
        <f ca="1">IFERROR(__xludf.DUMMYFUNCTION("IMPORTXML(AI211, ""//li[strong[text()='Unit Growth %:']]"")"),"Loading...")</f>
        <v>Loading...</v>
      </c>
      <c r="AH211" s="25"/>
      <c r="AI211" s="48" t="s">
        <v>222</v>
      </c>
      <c r="AJ211" s="27"/>
      <c r="AK211" s="27"/>
      <c r="AL211" s="27"/>
      <c r="AM211" s="27"/>
      <c r="AN211" s="27"/>
      <c r="AO211" s="27"/>
      <c r="AP211" s="27"/>
      <c r="AQ211" s="27"/>
    </row>
    <row r="212" spans="1:43" ht="14.25" customHeight="1">
      <c r="A212" s="42">
        <v>24.210999999999999</v>
      </c>
      <c r="B212" s="14">
        <v>2024</v>
      </c>
      <c r="C212" s="36">
        <v>211</v>
      </c>
      <c r="D212" s="16" t="str">
        <f ca="1">IFERROR(__xludf.DUMMYFUNCTION("IMPORTXML(AI212, ""//h1[@itemprop='headline']/span"")"),"211. Kona Ice")</f>
        <v>211. Kona Ice</v>
      </c>
      <c r="E212" s="17" t="str">
        <f ca="1">IFERROR(__xludf.DUMMYFUNCTION("REGEXEXTRACT(D212, ""\.\s*(.+)"")"),"Kona Ice")</f>
        <v>Kona Ice</v>
      </c>
      <c r="F212" s="18" t="str">
        <f ca="1">IFERROR(__xludf.DUMMYFUNCTION("IMPORTXML(AI212, ""//li[strong[text()='Investment Range:']]"")"),"#N/A")</f>
        <v>#N/A</v>
      </c>
      <c r="G212" s="43"/>
      <c r="H212" s="18" t="str">
        <f ca="1">IFERROR(__xludf.DUMMYFUNCTION("SUBSTITUTE(REGEXEXTRACT(G212, ""\$(\d{1,3}(?:,\d{3})*)""), "","", ""."")
"),"#N/A")</f>
        <v>#N/A</v>
      </c>
      <c r="I212" s="19" t="str">
        <f ca="1">IFERROR(__xludf.DUMMYFUNCTION("SUBSTITUTE(REGEXEXTRACT(G212, ""-\s*\$(\d{1,3}(?:,\d{3})*)""), "","", ""."")
"),"#N/A")</f>
        <v>#N/A</v>
      </c>
      <c r="J212" s="19" t="str">
        <f ca="1">IFERROR(__xludf.DUMMYFUNCTION("IMPORTXML(AI212, ""//li[strong[text()='Initial Investment:']]"")"),"Loading...")</f>
        <v>Loading...</v>
      </c>
      <c r="K212" s="24"/>
      <c r="L212" s="20" t="str">
        <f ca="1">IFERROR(__xludf.DUMMYFUNCTION("IMPORTXML(AI212, ""//li[strong[text()='Category:']]"")"),"Loading...")</f>
        <v>Loading...</v>
      </c>
      <c r="M212" s="24"/>
      <c r="N212" s="19" t="str">
        <f ca="1">IFERROR(__xludf.DUMMYFUNCTION("IMPORTXML(AI212, ""//li[strong[text()='Global Sales:']]"")"),"Loading...")</f>
        <v>Loading...</v>
      </c>
      <c r="O212" s="24"/>
      <c r="P212" s="19" t="str">
        <f t="shared" si="0"/>
        <v/>
      </c>
      <c r="Q212" s="19" t="str">
        <f ca="1">IFERROR(__xludf.DUMMYFUNCTION("IMPORTXML(AI212, ""//li[strong[text()='US Units:']]"")"),"Loading...")</f>
        <v>Loading...</v>
      </c>
      <c r="R212" s="24"/>
      <c r="S212" s="19" t="str">
        <f ca="1">IFERROR(__xludf.DUMMYFUNCTION("IMPORTXML(AI212, ""//li[strong[text()='International Units:']]"")"),"Loading...")</f>
        <v>Loading...</v>
      </c>
      <c r="T212" s="44"/>
      <c r="U212" s="19" t="str">
        <f ca="1">IFERROR(__xludf.DUMMYFUNCTION("IMPORTXML(AI212, ""//li[strong[text()='Percent Franchised:']]"")"),"Loading...")</f>
        <v>Loading...</v>
      </c>
      <c r="V212" s="24"/>
      <c r="W212" s="19" t="str">
        <f ca="1">IFERROR(__xludf.DUMMYFUNCTION("IMPORTXML(AI212, ""//li[strong[text()='% International Units:']]"")"),"Loading...")</f>
        <v>Loading...</v>
      </c>
      <c r="X212" s="24"/>
      <c r="Y212" s="19" t="str">
        <f ca="1">IFERROR(__xludf.DUMMYFUNCTION("IMPORTXML(AI212, ""//li[strong[text()='US Franchised Units:']]"")"),"Loading...")</f>
        <v>Loading...</v>
      </c>
      <c r="Z212" s="24"/>
      <c r="AA212" s="14" t="str">
        <f t="shared" si="1"/>
        <v/>
      </c>
      <c r="AB212" s="19" t="str">
        <f ca="1">IFERROR(__xludf.DUMMYFUNCTION("IMPORTXML(AI212, ""//li[strong[text()='International Franchised Units:']]"")"),"Loading...")</f>
        <v>Loading...</v>
      </c>
      <c r="AC212" s="24"/>
      <c r="AD212" s="14" t="str">
        <f t="shared" si="2"/>
        <v/>
      </c>
      <c r="AE212" s="25" t="str">
        <f ca="1">IFERROR(__xludf.DUMMYFUNCTION("IMPORTXML(AI212, ""//li[strong[text()='Sales Growth %:']]"")"),"Loading...")</f>
        <v>Loading...</v>
      </c>
      <c r="AF212" s="24"/>
      <c r="AG212" s="25" t="str">
        <f ca="1">IFERROR(__xludf.DUMMYFUNCTION("IMPORTXML(AI212, ""//li[strong[text()='Unit Growth %:']]"")"),"Loading...")</f>
        <v>Loading...</v>
      </c>
      <c r="AH212" s="25"/>
      <c r="AI212" s="48" t="s">
        <v>223</v>
      </c>
      <c r="AJ212" s="27"/>
      <c r="AK212" s="27"/>
      <c r="AL212" s="27"/>
      <c r="AM212" s="27"/>
      <c r="AN212" s="27"/>
      <c r="AO212" s="27"/>
      <c r="AP212" s="27"/>
      <c r="AQ212" s="27"/>
    </row>
    <row r="213" spans="1:43" ht="14.25" customHeight="1">
      <c r="A213" s="42">
        <v>24.212</v>
      </c>
      <c r="B213" s="14">
        <v>2024</v>
      </c>
      <c r="C213" s="15">
        <v>212</v>
      </c>
      <c r="D213" s="16" t="str">
        <f ca="1">IFERROR(__xludf.DUMMYFUNCTION("IMPORTXML(AI213, ""//h1[@itemprop='headline']/span"")"),"212. Buddy's Home Furnishing")</f>
        <v>212. Buddy's Home Furnishing</v>
      </c>
      <c r="E213" s="17" t="str">
        <f ca="1">IFERROR(__xludf.DUMMYFUNCTION("REGEXEXTRACT(D213, ""\.\s*(.+)"")"),"Buddy's Home Furnishing")</f>
        <v>Buddy's Home Furnishing</v>
      </c>
      <c r="F213" s="18" t="str">
        <f ca="1">IFERROR(__xludf.DUMMYFUNCTION("IMPORTXML(AI213, ""//li[strong[text()='Investment Range:']]"")"),"#N/A")</f>
        <v>#N/A</v>
      </c>
      <c r="G213" s="43"/>
      <c r="H213" s="18" t="str">
        <f ca="1">IFERROR(__xludf.DUMMYFUNCTION("SUBSTITUTE(REGEXEXTRACT(G213, ""\$(\d{1,3}(?:,\d{3})*)""), "","", ""."")
"),"#N/A")</f>
        <v>#N/A</v>
      </c>
      <c r="I213" s="19" t="str">
        <f ca="1">IFERROR(__xludf.DUMMYFUNCTION("SUBSTITUTE(REGEXEXTRACT(G213, ""-\s*\$(\d{1,3}(?:,\d{3})*)""), "","", ""."")
"),"#N/A")</f>
        <v>#N/A</v>
      </c>
      <c r="J213" s="19" t="str">
        <f ca="1">IFERROR(__xludf.DUMMYFUNCTION("IMPORTXML(AI213, ""//li[strong[text()='Initial Investment:']]"")"),"Loading...")</f>
        <v>Loading...</v>
      </c>
      <c r="K213" s="24"/>
      <c r="L213" s="20" t="str">
        <f ca="1">IFERROR(__xludf.DUMMYFUNCTION("IMPORTXML(AI213, ""//li[strong[text()='Category:']]"")"),"Loading...")</f>
        <v>Loading...</v>
      </c>
      <c r="M213" s="24"/>
      <c r="N213" s="19" t="str">
        <f ca="1">IFERROR(__xludf.DUMMYFUNCTION("IMPORTXML(AI213, ""//li[strong[text()='Global Sales:']]"")"),"Loading...")</f>
        <v>Loading...</v>
      </c>
      <c r="O213" s="24"/>
      <c r="P213" s="19" t="str">
        <f t="shared" si="0"/>
        <v/>
      </c>
      <c r="Q213" s="19" t="str">
        <f ca="1">IFERROR(__xludf.DUMMYFUNCTION("IMPORTXML(AI213, ""//li[strong[text()='US Units:']]"")"),"Loading...")</f>
        <v>Loading...</v>
      </c>
      <c r="R213" s="24"/>
      <c r="S213" s="19" t="str">
        <f ca="1">IFERROR(__xludf.DUMMYFUNCTION("IMPORTXML(AI213, ""//li[strong[text()='International Units:']]"")"),"Loading...")</f>
        <v>Loading...</v>
      </c>
      <c r="T213" s="44"/>
      <c r="U213" s="19" t="str">
        <f ca="1">IFERROR(__xludf.DUMMYFUNCTION("IMPORTXML(AI213, ""//li[strong[text()='Percent Franchised:']]"")"),"Loading...")</f>
        <v>Loading...</v>
      </c>
      <c r="V213" s="24"/>
      <c r="W213" s="19" t="str">
        <f ca="1">IFERROR(__xludf.DUMMYFUNCTION("IMPORTXML(AI213, ""//li[strong[text()='% International Units:']]"")"),"Loading...")</f>
        <v>Loading...</v>
      </c>
      <c r="X213" s="24"/>
      <c r="Y213" s="19" t="str">
        <f ca="1">IFERROR(__xludf.DUMMYFUNCTION("IMPORTXML(AI213, ""//li[strong[text()='US Franchised Units:']]"")"),"Loading...")</f>
        <v>Loading...</v>
      </c>
      <c r="Z213" s="24"/>
      <c r="AA213" s="14" t="str">
        <f t="shared" si="1"/>
        <v/>
      </c>
      <c r="AB213" s="19" t="str">
        <f ca="1">IFERROR(__xludf.DUMMYFUNCTION("IMPORTXML(AI213, ""//li[strong[text()='International Franchised Units:']]"")"),"Loading...")</f>
        <v>Loading...</v>
      </c>
      <c r="AC213" s="24"/>
      <c r="AD213" s="14" t="str">
        <f t="shared" si="2"/>
        <v/>
      </c>
      <c r="AE213" s="25" t="str">
        <f ca="1">IFERROR(__xludf.DUMMYFUNCTION("IMPORTXML(AI213, ""//li[strong[text()='Sales Growth %:']]"")"),"Loading...")</f>
        <v>Loading...</v>
      </c>
      <c r="AF213" s="24"/>
      <c r="AG213" s="25" t="str">
        <f ca="1">IFERROR(__xludf.DUMMYFUNCTION("IMPORTXML(AI213, ""//li[strong[text()='Unit Growth %:']]"")"),"Loading...")</f>
        <v>Loading...</v>
      </c>
      <c r="AH213" s="25"/>
      <c r="AI213" s="48" t="s">
        <v>224</v>
      </c>
      <c r="AJ213" s="27"/>
      <c r="AK213" s="27"/>
      <c r="AL213" s="27"/>
      <c r="AM213" s="27"/>
      <c r="AN213" s="27"/>
      <c r="AO213" s="27"/>
      <c r="AP213" s="27"/>
      <c r="AQ213" s="27"/>
    </row>
    <row r="214" spans="1:43" ht="14.25" customHeight="1">
      <c r="A214" s="42">
        <v>24.213000000000001</v>
      </c>
      <c r="B214" s="14">
        <v>2024</v>
      </c>
      <c r="C214" s="32">
        <v>213</v>
      </c>
      <c r="D214" s="16" t="str">
        <f ca="1">IFERROR(__xludf.DUMMYFUNCTION("IMPORTXML(AI214, ""//h1[@itemprop='headline']/span"")"),"213. Tommy's Express")</f>
        <v>213. Tommy's Express</v>
      </c>
      <c r="E214" s="17" t="str">
        <f ca="1">IFERROR(__xludf.DUMMYFUNCTION("REGEXEXTRACT(D214, ""\.\s*(.+)"")"),"Tommy's Express")</f>
        <v>Tommy's Express</v>
      </c>
      <c r="F214" s="18" t="str">
        <f ca="1">IFERROR(__xludf.DUMMYFUNCTION("IMPORTXML(AI214, ""//li[strong[text()='Investment Range:']]"")"),"#REF!")</f>
        <v>#REF!</v>
      </c>
      <c r="G214" s="43"/>
      <c r="H214" s="18" t="str">
        <f ca="1">IFERROR(__xludf.DUMMYFUNCTION("SUBSTITUTE(REGEXEXTRACT(G214, ""\$(\d{1,3}(?:,\d{3})*)""), "","", ""."")
"),"#N/A")</f>
        <v>#N/A</v>
      </c>
      <c r="I214" s="19" t="str">
        <f ca="1">IFERROR(__xludf.DUMMYFUNCTION("SUBSTITUTE(REGEXEXTRACT(G214, ""-\s*\$(\d{1,3}(?:,\d{3})*)""), "","", ""."")
"),"#N/A")</f>
        <v>#N/A</v>
      </c>
      <c r="J214" s="19" t="str">
        <f ca="1">IFERROR(__xludf.DUMMYFUNCTION("IMPORTXML(AI214, ""//li[strong[text()='Initial Investment:']]"")"),"Loading...")</f>
        <v>Loading...</v>
      </c>
      <c r="K214" s="24"/>
      <c r="L214" s="20" t="str">
        <f ca="1">IFERROR(__xludf.DUMMYFUNCTION("IMPORTXML(AI214, ""//li[strong[text()='Category:']]"")"),"Loading...")</f>
        <v>Loading...</v>
      </c>
      <c r="M214" s="24"/>
      <c r="N214" s="19" t="str">
        <f ca="1">IFERROR(__xludf.DUMMYFUNCTION("IMPORTXML(AI214, ""//li[strong[text()='Global Sales:']]"")"),"Loading...")</f>
        <v>Loading...</v>
      </c>
      <c r="O214" s="24"/>
      <c r="P214" s="19" t="str">
        <f t="shared" si="0"/>
        <v/>
      </c>
      <c r="Q214" s="19" t="str">
        <f ca="1">IFERROR(__xludf.DUMMYFUNCTION("IMPORTXML(AI214, ""//li[strong[text()='US Units:']]"")"),"Loading...")</f>
        <v>Loading...</v>
      </c>
      <c r="R214" s="24"/>
      <c r="S214" s="19" t="str">
        <f ca="1">IFERROR(__xludf.DUMMYFUNCTION("IMPORTXML(AI214, ""//li[strong[text()='International Units:']]"")"),"Loading...")</f>
        <v>Loading...</v>
      </c>
      <c r="T214" s="44"/>
      <c r="U214" s="19" t="str">
        <f ca="1">IFERROR(__xludf.DUMMYFUNCTION("IMPORTXML(AI214, ""//li[strong[text()='Percent Franchised:']]"")"),"Loading...")</f>
        <v>Loading...</v>
      </c>
      <c r="V214" s="24"/>
      <c r="W214" s="19" t="str">
        <f ca="1">IFERROR(__xludf.DUMMYFUNCTION("IMPORTXML(AI214, ""//li[strong[text()='% International Units:']]"")"),"Loading...")</f>
        <v>Loading...</v>
      </c>
      <c r="X214" s="24"/>
      <c r="Y214" s="19" t="str">
        <f ca="1">IFERROR(__xludf.DUMMYFUNCTION("IMPORTXML(AI214, ""//li[strong[text()='US Franchised Units:']]"")"),"Loading...")</f>
        <v>Loading...</v>
      </c>
      <c r="Z214" s="24"/>
      <c r="AA214" s="14" t="str">
        <f t="shared" si="1"/>
        <v/>
      </c>
      <c r="AB214" s="19" t="str">
        <f ca="1">IFERROR(__xludf.DUMMYFUNCTION("IMPORTXML(AI214, ""//li[strong[text()='International Franchised Units:']]"")"),"Loading...")</f>
        <v>Loading...</v>
      </c>
      <c r="AC214" s="24"/>
      <c r="AD214" s="14" t="str">
        <f t="shared" si="2"/>
        <v/>
      </c>
      <c r="AE214" s="25" t="str">
        <f ca="1">IFERROR(__xludf.DUMMYFUNCTION("IMPORTXML(AI214, ""//li[strong[text()='Sales Growth %:']]"")"),"Loading...")</f>
        <v>Loading...</v>
      </c>
      <c r="AF214" s="24"/>
      <c r="AG214" s="25" t="str">
        <f ca="1">IFERROR(__xludf.DUMMYFUNCTION("IMPORTXML(AI214, ""//li[strong[text()='Unit Growth %:']]"")"),"Loading...")</f>
        <v>Loading...</v>
      </c>
      <c r="AH214" s="25"/>
      <c r="AI214" s="48" t="s">
        <v>225</v>
      </c>
      <c r="AJ214" s="27"/>
      <c r="AK214" s="27"/>
      <c r="AL214" s="27"/>
      <c r="AM214" s="27"/>
      <c r="AN214" s="27"/>
      <c r="AO214" s="27"/>
      <c r="AP214" s="27"/>
      <c r="AQ214" s="27"/>
    </row>
    <row r="215" spans="1:43" ht="14.25" customHeight="1">
      <c r="A215" s="42">
        <v>24.213999999999999</v>
      </c>
      <c r="B215" s="14">
        <v>2024</v>
      </c>
      <c r="C215" s="36">
        <v>214</v>
      </c>
      <c r="D215" s="16" t="str">
        <f ca="1">IFERROR(__xludf.DUMMYFUNCTION("IMPORTXML(AI215, ""//h1[@itemprop='headline']/span"")"),"214. ComForCare Home Care")</f>
        <v>214. ComForCare Home Care</v>
      </c>
      <c r="E215" s="17" t="str">
        <f ca="1">IFERROR(__xludf.DUMMYFUNCTION("REGEXEXTRACT(D215, ""\.\s*(.+)"")"),"ComForCare Home Care")</f>
        <v>ComForCare Home Care</v>
      </c>
      <c r="F215" s="18" t="str">
        <f ca="1">IFERROR(__xludf.DUMMYFUNCTION("IMPORTXML(AI215, ""//li[strong[text()='Investment Range:']]"")"),"#N/A")</f>
        <v>#N/A</v>
      </c>
      <c r="G215" s="43"/>
      <c r="H215" s="18" t="str">
        <f ca="1">IFERROR(__xludf.DUMMYFUNCTION("SUBSTITUTE(REGEXEXTRACT(G215, ""\$(\d{1,3}(?:,\d{3})*)""), "","", ""."")
"),"#N/A")</f>
        <v>#N/A</v>
      </c>
      <c r="I215" s="19" t="str">
        <f ca="1">IFERROR(__xludf.DUMMYFUNCTION("SUBSTITUTE(REGEXEXTRACT(G215, ""-\s*\$(\d{1,3}(?:,\d{3})*)""), "","", ""."")
"),"#N/A")</f>
        <v>#N/A</v>
      </c>
      <c r="J215" s="19" t="str">
        <f ca="1">IFERROR(__xludf.DUMMYFUNCTION("IMPORTXML(AI215, ""//li[strong[text()='Initial Investment:']]"")"),"Loading...")</f>
        <v>Loading...</v>
      </c>
      <c r="K215" s="24"/>
      <c r="L215" s="20" t="str">
        <f ca="1">IFERROR(__xludf.DUMMYFUNCTION("IMPORTXML(AI215, ""//li[strong[text()='Category:']]"")"),"#N/A")</f>
        <v>#N/A</v>
      </c>
      <c r="M215" s="24"/>
      <c r="N215" s="19" t="str">
        <f ca="1">IFERROR(__xludf.DUMMYFUNCTION("IMPORTXML(AI215, ""//li[strong[text()='Global Sales:']]"")"),"Loading...")</f>
        <v>Loading...</v>
      </c>
      <c r="O215" s="24"/>
      <c r="P215" s="19" t="str">
        <f t="shared" si="0"/>
        <v/>
      </c>
      <c r="Q215" s="19" t="str">
        <f ca="1">IFERROR(__xludf.DUMMYFUNCTION("IMPORTXML(AI215, ""//li[strong[text()='US Units:']]"")"),"Loading...")</f>
        <v>Loading...</v>
      </c>
      <c r="R215" s="24"/>
      <c r="S215" s="19" t="str">
        <f ca="1">IFERROR(__xludf.DUMMYFUNCTION("IMPORTXML(AI215, ""//li[strong[text()='International Units:']]"")"),"Loading...")</f>
        <v>Loading...</v>
      </c>
      <c r="T215" s="44"/>
      <c r="U215" s="19" t="str">
        <f ca="1">IFERROR(__xludf.DUMMYFUNCTION("IMPORTXML(AI215, ""//li[strong[text()='Percent Franchised:']]"")"),"Loading...")</f>
        <v>Loading...</v>
      </c>
      <c r="V215" s="24"/>
      <c r="W215" s="19" t="str">
        <f ca="1">IFERROR(__xludf.DUMMYFUNCTION("IMPORTXML(AI215, ""//li[strong[text()='% International Units:']]"")"),"Loading...")</f>
        <v>Loading...</v>
      </c>
      <c r="X215" s="24"/>
      <c r="Y215" s="19" t="str">
        <f ca="1">IFERROR(__xludf.DUMMYFUNCTION("IMPORTXML(AI215, ""//li[strong[text()='US Franchised Units:']]"")"),"Loading...")</f>
        <v>Loading...</v>
      </c>
      <c r="Z215" s="24"/>
      <c r="AA215" s="14" t="str">
        <f t="shared" si="1"/>
        <v/>
      </c>
      <c r="AB215" s="19" t="str">
        <f ca="1">IFERROR(__xludf.DUMMYFUNCTION("IMPORTXML(AI215, ""//li[strong[text()='International Franchised Units:']]"")"),"Loading...")</f>
        <v>Loading...</v>
      </c>
      <c r="AC215" s="24"/>
      <c r="AD215" s="14" t="str">
        <f t="shared" si="2"/>
        <v/>
      </c>
      <c r="AE215" s="25" t="str">
        <f ca="1">IFERROR(__xludf.DUMMYFUNCTION("IMPORTXML(AI215, ""//li[strong[text()='Sales Growth %:']]"")"),"Loading...")</f>
        <v>Loading...</v>
      </c>
      <c r="AF215" s="24"/>
      <c r="AG215" s="25" t="str">
        <f ca="1">IFERROR(__xludf.DUMMYFUNCTION("IMPORTXML(AI215, ""//li[strong[text()='Unit Growth %:']]"")"),"Loading...")</f>
        <v>Loading...</v>
      </c>
      <c r="AH215" s="25"/>
      <c r="AI215" s="48" t="s">
        <v>226</v>
      </c>
      <c r="AJ215" s="27"/>
      <c r="AK215" s="27"/>
      <c r="AL215" s="27"/>
      <c r="AM215" s="27"/>
      <c r="AN215" s="27"/>
      <c r="AO215" s="27"/>
      <c r="AP215" s="27"/>
      <c r="AQ215" s="27"/>
    </row>
    <row r="216" spans="1:43" ht="14.25" customHeight="1">
      <c r="A216" s="42">
        <v>24.215</v>
      </c>
      <c r="B216" s="14">
        <v>2024</v>
      </c>
      <c r="C216" s="36">
        <v>215</v>
      </c>
      <c r="D216" s="16" t="str">
        <f ca="1">IFERROR(__xludf.DUMMYFUNCTION("IMPORTXML(AI216, ""//h1[@itemprop='headline']/span"")"),"215. Farmer Boys Hamburgers")</f>
        <v>215. Farmer Boys Hamburgers</v>
      </c>
      <c r="E216" s="17" t="str">
        <f ca="1">IFERROR(__xludf.DUMMYFUNCTION("REGEXEXTRACT(D216, ""\.\s*(.+)"")"),"Farmer Boys Hamburgers")</f>
        <v>Farmer Boys Hamburgers</v>
      </c>
      <c r="F216" s="18" t="str">
        <f ca="1">IFERROR(__xludf.DUMMYFUNCTION("IMPORTXML(AI216, ""//li[strong[text()='Investment Range:']]"")"),"Investment Range:")</f>
        <v>Investment Range:</v>
      </c>
      <c r="G216" s="43" t="str">
        <f ca="1">IFERROR(__xludf.DUMMYFUNCTION("""COMPUTED_VALUE""")," $1,056,000 - $2,610,000")</f>
        <v xml:space="preserve"> $1,056,000 - $2,610,000</v>
      </c>
      <c r="H216" s="18" t="str">
        <f ca="1">IFERROR(__xludf.DUMMYFUNCTION("SUBSTITUTE(REGEXEXTRACT(G216, ""\$(\d{1,3}(?:,\d{3})*)""), "","", ""."")
"),"1.056.000")</f>
        <v>1.056.000</v>
      </c>
      <c r="I216" s="19" t="str">
        <f ca="1">IFERROR(__xludf.DUMMYFUNCTION("SUBSTITUTE(REGEXEXTRACT(G216, ""-\s*\$(\d{1,3}(?:,\d{3})*)""), "","", ""."")
"),"2.610.000")</f>
        <v>2.610.000</v>
      </c>
      <c r="J216" s="19" t="str">
        <f ca="1">IFERROR(__xludf.DUMMYFUNCTION("IMPORTXML(AI216, ""//li[strong[text()='Initial Investment:']]"")"),"Loading...")</f>
        <v>Loading...</v>
      </c>
      <c r="K216" s="24"/>
      <c r="L216" s="20" t="str">
        <f ca="1">IFERROR(__xludf.DUMMYFUNCTION("IMPORTXML(AI216, ""//li[strong[text()='Category:']]"")"),"Loading...")</f>
        <v>Loading...</v>
      </c>
      <c r="M216" s="24"/>
      <c r="N216" s="19" t="str">
        <f ca="1">IFERROR(__xludf.DUMMYFUNCTION("IMPORTXML(AI216, ""//li[strong[text()='Global Sales:']]"")"),"Loading...")</f>
        <v>Loading...</v>
      </c>
      <c r="O216" s="24"/>
      <c r="P216" s="19" t="str">
        <f t="shared" si="0"/>
        <v/>
      </c>
      <c r="Q216" s="19" t="str">
        <f ca="1">IFERROR(__xludf.DUMMYFUNCTION("IMPORTXML(AI216, ""//li[strong[text()='US Units:']]"")"),"Loading...")</f>
        <v>Loading...</v>
      </c>
      <c r="R216" s="24"/>
      <c r="S216" s="19" t="str">
        <f ca="1">IFERROR(__xludf.DUMMYFUNCTION("IMPORTXML(AI216, ""//li[strong[text()='International Units:']]"")"),"Loading...")</f>
        <v>Loading...</v>
      </c>
      <c r="T216" s="44"/>
      <c r="U216" s="19" t="str">
        <f ca="1">IFERROR(__xludf.DUMMYFUNCTION("IMPORTXML(AI216, ""//li[strong[text()='Percent Franchised:']]"")"),"Loading...")</f>
        <v>Loading...</v>
      </c>
      <c r="V216" s="24"/>
      <c r="W216" s="19" t="str">
        <f ca="1">IFERROR(__xludf.DUMMYFUNCTION("IMPORTXML(AI216, ""//li[strong[text()='% International Units:']]"")"),"Loading...")</f>
        <v>Loading...</v>
      </c>
      <c r="X216" s="24"/>
      <c r="Y216" s="19" t="str">
        <f ca="1">IFERROR(__xludf.DUMMYFUNCTION("IMPORTXML(AI216, ""//li[strong[text()='US Franchised Units:']]"")"),"Loading...")</f>
        <v>Loading...</v>
      </c>
      <c r="Z216" s="24"/>
      <c r="AA216" s="14" t="str">
        <f t="shared" si="1"/>
        <v/>
      </c>
      <c r="AB216" s="19" t="str">
        <f ca="1">IFERROR(__xludf.DUMMYFUNCTION("IMPORTXML(AI216, ""//li[strong[text()='International Franchised Units:']]"")"),"Loading...")</f>
        <v>Loading...</v>
      </c>
      <c r="AC216" s="24"/>
      <c r="AD216" s="14" t="str">
        <f t="shared" si="2"/>
        <v/>
      </c>
      <c r="AE216" s="25" t="str">
        <f ca="1">IFERROR(__xludf.DUMMYFUNCTION("IMPORTXML(AI216, ""//li[strong[text()='Sales Growth %:']]"")"),"Loading...")</f>
        <v>Loading...</v>
      </c>
      <c r="AF216" s="24"/>
      <c r="AG216" s="25" t="str">
        <f ca="1">IFERROR(__xludf.DUMMYFUNCTION("IMPORTXML(AI216, ""//li[strong[text()='Unit Growth %:']]"")"),"Loading...")</f>
        <v>Loading...</v>
      </c>
      <c r="AH216" s="25"/>
      <c r="AI216" s="48" t="s">
        <v>227</v>
      </c>
      <c r="AJ216" s="27"/>
      <c r="AK216" s="27"/>
      <c r="AL216" s="27"/>
      <c r="AM216" s="27"/>
      <c r="AN216" s="27"/>
      <c r="AO216" s="27"/>
      <c r="AP216" s="27"/>
      <c r="AQ216" s="27"/>
    </row>
    <row r="217" spans="1:43" ht="14.25" customHeight="1">
      <c r="A217" s="42">
        <v>24.216000000000001</v>
      </c>
      <c r="B217" s="14">
        <v>2024</v>
      </c>
      <c r="C217" s="15">
        <v>216</v>
      </c>
      <c r="D217" s="16" t="str">
        <f ca="1">IFERROR(__xludf.DUMMYFUNCTION("IMPORTXML(AI217, ""//h1[@itemprop='headline']/span"")"),"216. Home Helpers Home Care")</f>
        <v>216. Home Helpers Home Care</v>
      </c>
      <c r="E217" s="17" t="str">
        <f ca="1">IFERROR(__xludf.DUMMYFUNCTION("REGEXEXTRACT(D217, ""\.\s*(.+)"")"),"Home Helpers Home Care")</f>
        <v>Home Helpers Home Care</v>
      </c>
      <c r="F217" s="18" t="str">
        <f ca="1">IFERROR(__xludf.DUMMYFUNCTION("IMPORTXML(AI217, ""//li[strong[text()='Investment Range:']]"")"),"Investment Range:")</f>
        <v>Investment Range:</v>
      </c>
      <c r="G217" s="43" t="str">
        <f ca="1">IFERROR(__xludf.DUMMYFUNCTION("""COMPUTED_VALUE""")," $99,200 - $149,350")</f>
        <v xml:space="preserve"> $99,200 - $149,350</v>
      </c>
      <c r="H217" s="18" t="str">
        <f ca="1">IFERROR(__xludf.DUMMYFUNCTION("SUBSTITUTE(REGEXEXTRACT(G217, ""\$(\d{1,3}(?:,\d{3})*)""), "","", ""."")
"),"99.200")</f>
        <v>99.200</v>
      </c>
      <c r="I217" s="19" t="str">
        <f ca="1">IFERROR(__xludf.DUMMYFUNCTION("SUBSTITUTE(REGEXEXTRACT(G217, ""-\s*\$(\d{1,3}(?:,\d{3})*)""), "","", ""."")
"),"149.350")</f>
        <v>149.350</v>
      </c>
      <c r="J217" s="19" t="str">
        <f ca="1">IFERROR(__xludf.DUMMYFUNCTION("IMPORTXML(AI217, ""//li[strong[text()='Initial Investment:']]"")"),"Loading...")</f>
        <v>Loading...</v>
      </c>
      <c r="K217" s="24"/>
      <c r="L217" s="20" t="str">
        <f ca="1">IFERROR(__xludf.DUMMYFUNCTION("IMPORTXML(AI217, ""//li[strong[text()='Category:']]"")"),"Loading...")</f>
        <v>Loading...</v>
      </c>
      <c r="M217" s="24"/>
      <c r="N217" s="19" t="str">
        <f ca="1">IFERROR(__xludf.DUMMYFUNCTION("IMPORTXML(AI217, ""//li[strong[text()='Global Sales:']]"")"),"Loading...")</f>
        <v>Loading...</v>
      </c>
      <c r="O217" s="24"/>
      <c r="P217" s="19" t="str">
        <f t="shared" si="0"/>
        <v/>
      </c>
      <c r="Q217" s="19" t="str">
        <f ca="1">IFERROR(__xludf.DUMMYFUNCTION("IMPORTXML(AI217, ""//li[strong[text()='US Units:']]"")"),"Loading...")</f>
        <v>Loading...</v>
      </c>
      <c r="R217" s="24"/>
      <c r="S217" s="19" t="str">
        <f ca="1">IFERROR(__xludf.DUMMYFUNCTION("IMPORTXML(AI217, ""//li[strong[text()='International Units:']]"")"),"Loading...")</f>
        <v>Loading...</v>
      </c>
      <c r="T217" s="44"/>
      <c r="U217" s="19" t="str">
        <f ca="1">IFERROR(__xludf.DUMMYFUNCTION("IMPORTXML(AI217, ""//li[strong[text()='Percent Franchised:']]"")"),"Loading...")</f>
        <v>Loading...</v>
      </c>
      <c r="V217" s="24"/>
      <c r="W217" s="19" t="str">
        <f ca="1">IFERROR(__xludf.DUMMYFUNCTION("IMPORTXML(AI217, ""//li[strong[text()='% International Units:']]"")"),"Loading...")</f>
        <v>Loading...</v>
      </c>
      <c r="X217" s="24"/>
      <c r="Y217" s="19" t="str">
        <f ca="1">IFERROR(__xludf.DUMMYFUNCTION("IMPORTXML(AI217, ""//li[strong[text()='US Franchised Units:']]"")"),"Loading...")</f>
        <v>Loading...</v>
      </c>
      <c r="Z217" s="24"/>
      <c r="AA217" s="14" t="str">
        <f t="shared" si="1"/>
        <v/>
      </c>
      <c r="AB217" s="19" t="str">
        <f ca="1">IFERROR(__xludf.DUMMYFUNCTION("IMPORTXML(AI217, ""//li[strong[text()='International Franchised Units:']]"")"),"Loading...")</f>
        <v>Loading...</v>
      </c>
      <c r="AC217" s="24"/>
      <c r="AD217" s="14" t="str">
        <f t="shared" si="2"/>
        <v/>
      </c>
      <c r="AE217" s="25" t="str">
        <f ca="1">IFERROR(__xludf.DUMMYFUNCTION("IMPORTXML(AI217, ""//li[strong[text()='Sales Growth %:']]"")"),"Loading...")</f>
        <v>Loading...</v>
      </c>
      <c r="AF217" s="24"/>
      <c r="AG217" s="25" t="str">
        <f ca="1">IFERROR(__xludf.DUMMYFUNCTION("IMPORTXML(AI217, ""//li[strong[text()='Unit Growth %:']]"")"),"Loading...")</f>
        <v>Loading...</v>
      </c>
      <c r="AH217" s="25"/>
      <c r="AI217" s="48" t="s">
        <v>228</v>
      </c>
      <c r="AJ217" s="27"/>
      <c r="AK217" s="27"/>
      <c r="AL217" s="27"/>
      <c r="AM217" s="27"/>
      <c r="AN217" s="27"/>
      <c r="AO217" s="27"/>
      <c r="AP217" s="27"/>
      <c r="AQ217" s="27"/>
    </row>
    <row r="218" spans="1:43" ht="14.25" customHeight="1">
      <c r="A218" s="42">
        <v>24.216999999999999</v>
      </c>
      <c r="B218" s="14">
        <v>2024</v>
      </c>
      <c r="C218" s="32">
        <v>217</v>
      </c>
      <c r="D218" s="16" t="str">
        <f ca="1">IFERROR(__xludf.DUMMYFUNCTION("IMPORTXML(AI218, ""//h1[@itemprop='headline']/span"")"),"217. Real Property Management")</f>
        <v>217. Real Property Management</v>
      </c>
      <c r="E218" s="17" t="str">
        <f ca="1">IFERROR(__xludf.DUMMYFUNCTION("REGEXEXTRACT(D218, ""\.\s*(.+)"")"),"Real Property Management")</f>
        <v>Real Property Management</v>
      </c>
      <c r="F218" s="18" t="str">
        <f ca="1">IFERROR(__xludf.DUMMYFUNCTION("IMPORTXML(AI218, ""//li[strong[text()='Investment Range:']]"")"),"Investment Range:")</f>
        <v>Investment Range:</v>
      </c>
      <c r="G218" s="43" t="str">
        <f ca="1">IFERROR(__xludf.DUMMYFUNCTION("""COMPUTED_VALUE""")," $91,718 - $266,218")</f>
        <v xml:space="preserve"> $91,718 - $266,218</v>
      </c>
      <c r="H218" s="18" t="str">
        <f ca="1">IFERROR(__xludf.DUMMYFUNCTION("SUBSTITUTE(REGEXEXTRACT(G218, ""\$(\d{1,3}(?:,\d{3})*)""), "","", ""."")
"),"91.718")</f>
        <v>91.718</v>
      </c>
      <c r="I218" s="19" t="str">
        <f ca="1">IFERROR(__xludf.DUMMYFUNCTION("SUBSTITUTE(REGEXEXTRACT(G218, ""-\s*\$(\d{1,3}(?:,\d{3})*)""), "","", ""."")
"),"266.218")</f>
        <v>266.218</v>
      </c>
      <c r="J218" s="19" t="str">
        <f ca="1">IFERROR(__xludf.DUMMYFUNCTION("IMPORTXML(AI218, ""//li[strong[text()='Initial Investment:']]"")"),"Loading...")</f>
        <v>Loading...</v>
      </c>
      <c r="K218" s="24"/>
      <c r="L218" s="20" t="str">
        <f ca="1">IFERROR(__xludf.DUMMYFUNCTION("IMPORTXML(AI218, ""//li[strong[text()='Category:']]"")"),"Loading...")</f>
        <v>Loading...</v>
      </c>
      <c r="M218" s="24"/>
      <c r="N218" s="19" t="str">
        <f ca="1">IFERROR(__xludf.DUMMYFUNCTION("IMPORTXML(AI218, ""//li[strong[text()='Global Sales:']]"")"),"Loading...")</f>
        <v>Loading...</v>
      </c>
      <c r="O218" s="24"/>
      <c r="P218" s="19" t="str">
        <f t="shared" si="0"/>
        <v/>
      </c>
      <c r="Q218" s="19" t="str">
        <f ca="1">IFERROR(__xludf.DUMMYFUNCTION("IMPORTXML(AI218, ""//li[strong[text()='US Units:']]"")"),"Loading...")</f>
        <v>Loading...</v>
      </c>
      <c r="R218" s="24"/>
      <c r="S218" s="19" t="str">
        <f ca="1">IFERROR(__xludf.DUMMYFUNCTION("IMPORTXML(AI218, ""//li[strong[text()='International Units:']]"")"),"Loading...")</f>
        <v>Loading...</v>
      </c>
      <c r="T218" s="44"/>
      <c r="U218" s="19" t="str">
        <f ca="1">IFERROR(__xludf.DUMMYFUNCTION("IMPORTXML(AI218, ""//li[strong[text()='Percent Franchised:']]"")"),"Loading...")</f>
        <v>Loading...</v>
      </c>
      <c r="V218" s="24"/>
      <c r="W218" s="19" t="str">
        <f ca="1">IFERROR(__xludf.DUMMYFUNCTION("IMPORTXML(AI218, ""//li[strong[text()='% International Units:']]"")"),"Loading...")</f>
        <v>Loading...</v>
      </c>
      <c r="X218" s="24"/>
      <c r="Y218" s="19" t="str">
        <f ca="1">IFERROR(__xludf.DUMMYFUNCTION("IMPORTXML(AI218, ""//li[strong[text()='US Franchised Units:']]"")"),"Loading...")</f>
        <v>Loading...</v>
      </c>
      <c r="Z218" s="24"/>
      <c r="AA218" s="14" t="str">
        <f t="shared" si="1"/>
        <v/>
      </c>
      <c r="AB218" s="19" t="str">
        <f ca="1">IFERROR(__xludf.DUMMYFUNCTION("IMPORTXML(AI218, ""//li[strong[text()='International Franchised Units:']]"")"),"Loading...")</f>
        <v>Loading...</v>
      </c>
      <c r="AC218" s="24"/>
      <c r="AD218" s="14" t="str">
        <f t="shared" si="2"/>
        <v/>
      </c>
      <c r="AE218" s="25" t="str">
        <f ca="1">IFERROR(__xludf.DUMMYFUNCTION("IMPORTXML(AI218, ""//li[strong[text()='Sales Growth %:']]"")"),"Loading...")</f>
        <v>Loading...</v>
      </c>
      <c r="AF218" s="24"/>
      <c r="AG218" s="25" t="str">
        <f ca="1">IFERROR(__xludf.DUMMYFUNCTION("IMPORTXML(AI218, ""//li[strong[text()='Unit Growth %:']]"")"),"Loading...")</f>
        <v>Loading...</v>
      </c>
      <c r="AH218" s="25"/>
      <c r="AI218" s="48" t="s">
        <v>229</v>
      </c>
      <c r="AJ218" s="27"/>
      <c r="AK218" s="27"/>
      <c r="AL218" s="27"/>
      <c r="AM218" s="27"/>
      <c r="AN218" s="27"/>
      <c r="AO218" s="27"/>
      <c r="AP218" s="27"/>
      <c r="AQ218" s="27"/>
    </row>
    <row r="219" spans="1:43" ht="14.25" customHeight="1">
      <c r="A219" s="42">
        <v>24.218</v>
      </c>
      <c r="B219" s="14">
        <v>2024</v>
      </c>
      <c r="C219" s="36">
        <v>218</v>
      </c>
      <c r="D219" s="16" t="str">
        <f ca="1">IFERROR(__xludf.DUMMYFUNCTION("IMPORTXML(AI219, ""//h1[@itemprop='headline']/span"")"),"218. Benjamin Franklin Plumbing")</f>
        <v>218. Benjamin Franklin Plumbing</v>
      </c>
      <c r="E219" s="17" t="str">
        <f ca="1">IFERROR(__xludf.DUMMYFUNCTION("REGEXEXTRACT(D219, ""\.\s*(.+)"")"),"Benjamin Franklin Plumbing")</f>
        <v>Benjamin Franklin Plumbing</v>
      </c>
      <c r="F219" s="18" t="str">
        <f ca="1">IFERROR(__xludf.DUMMYFUNCTION("IMPORTXML(AI219, ""//li[strong[text()='Investment Range:']]"")"),"Investment Range:")</f>
        <v>Investment Range:</v>
      </c>
      <c r="G219" s="43" t="str">
        <f ca="1">IFERROR(__xludf.DUMMYFUNCTION("""COMPUTED_VALUE""")," $73,992 - $188,476")</f>
        <v xml:space="preserve"> $73,992 - $188,476</v>
      </c>
      <c r="H219" s="18" t="str">
        <f ca="1">IFERROR(__xludf.DUMMYFUNCTION("SUBSTITUTE(REGEXEXTRACT(G219, ""\$(\d{1,3}(?:,\d{3})*)""), "","", ""."")
"),"73.992")</f>
        <v>73.992</v>
      </c>
      <c r="I219" s="19" t="str">
        <f ca="1">IFERROR(__xludf.DUMMYFUNCTION("SUBSTITUTE(REGEXEXTRACT(G219, ""-\s*\$(\d{1,3}(?:,\d{3})*)""), "","", ""."")
"),"188.476")</f>
        <v>188.476</v>
      </c>
      <c r="J219" s="19" t="str">
        <f ca="1">IFERROR(__xludf.DUMMYFUNCTION("IMPORTXML(AI219, ""//li[strong[text()='Initial Investment:']]"")"),"Loading...")</f>
        <v>Loading...</v>
      </c>
      <c r="K219" s="24"/>
      <c r="L219" s="20" t="str">
        <f ca="1">IFERROR(__xludf.DUMMYFUNCTION("IMPORTXML(AI219, ""//li[strong[text()='Category:']]"")"),"Loading...")</f>
        <v>Loading...</v>
      </c>
      <c r="M219" s="24"/>
      <c r="N219" s="19" t="str">
        <f ca="1">IFERROR(__xludf.DUMMYFUNCTION("IMPORTXML(AI219, ""//li[strong[text()='Global Sales:']]"")"),"Loading...")</f>
        <v>Loading...</v>
      </c>
      <c r="O219" s="24"/>
      <c r="P219" s="19" t="str">
        <f t="shared" si="0"/>
        <v/>
      </c>
      <c r="Q219" s="19" t="str">
        <f ca="1">IFERROR(__xludf.DUMMYFUNCTION("IMPORTXML(AI219, ""//li[strong[text()='US Units:']]"")"),"Loading...")</f>
        <v>Loading...</v>
      </c>
      <c r="R219" s="24"/>
      <c r="S219" s="19" t="str">
        <f ca="1">IFERROR(__xludf.DUMMYFUNCTION("IMPORTXML(AI219, ""//li[strong[text()='International Units:']]"")"),"Loading...")</f>
        <v>Loading...</v>
      </c>
      <c r="T219" s="44"/>
      <c r="U219" s="19" t="str">
        <f ca="1">IFERROR(__xludf.DUMMYFUNCTION("IMPORTXML(AI219, ""//li[strong[text()='Percent Franchised:']]"")"),"Loading...")</f>
        <v>Loading...</v>
      </c>
      <c r="V219" s="24"/>
      <c r="W219" s="19" t="str">
        <f ca="1">IFERROR(__xludf.DUMMYFUNCTION("IMPORTXML(AI219, ""//li[strong[text()='% International Units:']]"")"),"Loading...")</f>
        <v>Loading...</v>
      </c>
      <c r="X219" s="24"/>
      <c r="Y219" s="19" t="str">
        <f ca="1">IFERROR(__xludf.DUMMYFUNCTION("IMPORTXML(AI219, ""//li[strong[text()='US Franchised Units:']]"")"),"Loading...")</f>
        <v>Loading...</v>
      </c>
      <c r="Z219" s="24"/>
      <c r="AA219" s="14" t="str">
        <f t="shared" si="1"/>
        <v/>
      </c>
      <c r="AB219" s="19" t="str">
        <f ca="1">IFERROR(__xludf.DUMMYFUNCTION("IMPORTXML(AI219, ""//li[strong[text()='International Franchised Units:']]"")"),"Loading...")</f>
        <v>Loading...</v>
      </c>
      <c r="AC219" s="24"/>
      <c r="AD219" s="14" t="str">
        <f t="shared" si="2"/>
        <v/>
      </c>
      <c r="AE219" s="25" t="str">
        <f ca="1">IFERROR(__xludf.DUMMYFUNCTION("IMPORTXML(AI219, ""//li[strong[text()='Sales Growth %:']]"")"),"Loading...")</f>
        <v>Loading...</v>
      </c>
      <c r="AF219" s="24"/>
      <c r="AG219" s="25" t="str">
        <f ca="1">IFERROR(__xludf.DUMMYFUNCTION("IMPORTXML(AI219, ""//li[strong[text()='Unit Growth %:']]"")"),"Loading...")</f>
        <v>Loading...</v>
      </c>
      <c r="AH219" s="25"/>
      <c r="AI219" s="48" t="s">
        <v>230</v>
      </c>
      <c r="AJ219" s="27"/>
      <c r="AK219" s="27"/>
      <c r="AL219" s="27"/>
      <c r="AM219" s="27"/>
      <c r="AN219" s="27"/>
      <c r="AO219" s="27"/>
      <c r="AP219" s="27"/>
      <c r="AQ219" s="27"/>
    </row>
    <row r="220" spans="1:43" ht="14.25" customHeight="1">
      <c r="A220" s="42">
        <v>24.219000000000001</v>
      </c>
      <c r="B220" s="14">
        <v>2024</v>
      </c>
      <c r="C220" s="36">
        <v>219</v>
      </c>
      <c r="D220" s="16" t="str">
        <f ca="1">IFERROR(__xludf.DUMMYFUNCTION("IMPORTXML(AI220, ""//h1[@itemprop='headline']/span"")"),"219. Homewatch CareGivers")</f>
        <v>219. Homewatch CareGivers</v>
      </c>
      <c r="E220" s="17" t="str">
        <f ca="1">IFERROR(__xludf.DUMMYFUNCTION("REGEXEXTRACT(D220, ""\.\s*(.+)"")"),"Homewatch CareGivers")</f>
        <v>Homewatch CareGivers</v>
      </c>
      <c r="F220" s="18" t="str">
        <f ca="1">IFERROR(__xludf.DUMMYFUNCTION("IMPORTXML(AI220, ""//li[strong[text()='Investment Range:']]"")"),"Investment Range:")</f>
        <v>Investment Range:</v>
      </c>
      <c r="G220" s="43" t="str">
        <f ca="1">IFERROR(__xludf.DUMMYFUNCTION("""COMPUTED_VALUE""")," $92,310 - $154,000")</f>
        <v xml:space="preserve"> $92,310 - $154,000</v>
      </c>
      <c r="H220" s="18" t="str">
        <f ca="1">IFERROR(__xludf.DUMMYFUNCTION("SUBSTITUTE(REGEXEXTRACT(G220, ""\$(\d{1,3}(?:,\d{3})*)""), "","", ""."")
"),"92.310")</f>
        <v>92.310</v>
      </c>
      <c r="I220" s="19" t="str">
        <f ca="1">IFERROR(__xludf.DUMMYFUNCTION("SUBSTITUTE(REGEXEXTRACT(G220, ""-\s*\$(\d{1,3}(?:,\d{3})*)""), "","", ""."")
"),"154.000")</f>
        <v>154.000</v>
      </c>
      <c r="J220" s="19" t="str">
        <f ca="1">IFERROR(__xludf.DUMMYFUNCTION("IMPORTXML(AI220, ""//li[strong[text()='Initial Investment:']]"")"),"Loading...")</f>
        <v>Loading...</v>
      </c>
      <c r="K220" s="24"/>
      <c r="L220" s="20" t="str">
        <f ca="1">IFERROR(__xludf.DUMMYFUNCTION("IMPORTXML(AI220, ""//li[strong[text()='Category:']]"")"),"Loading...")</f>
        <v>Loading...</v>
      </c>
      <c r="M220" s="24"/>
      <c r="N220" s="19" t="str">
        <f ca="1">IFERROR(__xludf.DUMMYFUNCTION("IMPORTXML(AI220, ""//li[strong[text()='Global Sales:']]"")"),"Loading...")</f>
        <v>Loading...</v>
      </c>
      <c r="O220" s="24"/>
      <c r="P220" s="19" t="str">
        <f t="shared" si="0"/>
        <v/>
      </c>
      <c r="Q220" s="19" t="str">
        <f ca="1">IFERROR(__xludf.DUMMYFUNCTION("IMPORTXML(AI220, ""//li[strong[text()='US Units:']]"")"),"Loading...")</f>
        <v>Loading...</v>
      </c>
      <c r="R220" s="24"/>
      <c r="S220" s="19" t="str">
        <f ca="1">IFERROR(__xludf.DUMMYFUNCTION("IMPORTXML(AI220, ""//li[strong[text()='International Units:']]"")"),"Loading...")</f>
        <v>Loading...</v>
      </c>
      <c r="T220" s="44"/>
      <c r="U220" s="19" t="str">
        <f ca="1">IFERROR(__xludf.DUMMYFUNCTION("IMPORTXML(AI220, ""//li[strong[text()='Percent Franchised:']]"")"),"Loading...")</f>
        <v>Loading...</v>
      </c>
      <c r="V220" s="24"/>
      <c r="W220" s="19" t="str">
        <f ca="1">IFERROR(__xludf.DUMMYFUNCTION("IMPORTXML(AI220, ""//li[strong[text()='% International Units:']]"")"),"Loading...")</f>
        <v>Loading...</v>
      </c>
      <c r="X220" s="24"/>
      <c r="Y220" s="19" t="str">
        <f ca="1">IFERROR(__xludf.DUMMYFUNCTION("IMPORTXML(AI220, ""//li[strong[text()='US Franchised Units:']]"")"),"Loading...")</f>
        <v>Loading...</v>
      </c>
      <c r="Z220" s="24"/>
      <c r="AA220" s="14" t="str">
        <f t="shared" si="1"/>
        <v/>
      </c>
      <c r="AB220" s="19" t="str">
        <f ca="1">IFERROR(__xludf.DUMMYFUNCTION("IMPORTXML(AI220, ""//li[strong[text()='International Franchised Units:']]"")"),"Loading...")</f>
        <v>Loading...</v>
      </c>
      <c r="AC220" s="24"/>
      <c r="AD220" s="14" t="str">
        <f t="shared" si="2"/>
        <v/>
      </c>
      <c r="AE220" s="25" t="str">
        <f ca="1">IFERROR(__xludf.DUMMYFUNCTION("IMPORTXML(AI220, ""//li[strong[text()='Sales Growth %:']]"")"),"Loading...")</f>
        <v>Loading...</v>
      </c>
      <c r="AF220" s="24"/>
      <c r="AG220" s="25" t="str">
        <f ca="1">IFERROR(__xludf.DUMMYFUNCTION("IMPORTXML(AI220, ""//li[strong[text()='Unit Growth %:']]"")"),"Loading...")</f>
        <v>Loading...</v>
      </c>
      <c r="AH220" s="25"/>
      <c r="AI220" s="48" t="s">
        <v>231</v>
      </c>
      <c r="AJ220" s="27"/>
      <c r="AK220" s="27"/>
      <c r="AL220" s="27"/>
      <c r="AM220" s="27"/>
      <c r="AN220" s="27"/>
      <c r="AO220" s="27"/>
      <c r="AP220" s="27"/>
      <c r="AQ220" s="27"/>
    </row>
    <row r="221" spans="1:43" ht="14.25" customHeight="1">
      <c r="A221" s="42">
        <v>24.22</v>
      </c>
      <c r="B221" s="14">
        <v>2024</v>
      </c>
      <c r="C221" s="15">
        <v>220</v>
      </c>
      <c r="D221" s="16" t="str">
        <f ca="1">IFERROR(__xludf.DUMMYFUNCTION("IMPORTXML(AI221, ""//h1[@itemprop='headline']/span"")"),"196. Sola Salons")</f>
        <v>196. Sola Salons</v>
      </c>
      <c r="E221" s="17" t="str">
        <f ca="1">IFERROR(__xludf.DUMMYFUNCTION("REGEXEXTRACT(D221, ""\.\s*(.+)"")"),"Sola Salons")</f>
        <v>Sola Salons</v>
      </c>
      <c r="F221" s="18" t="str">
        <f ca="1">IFERROR(__xludf.DUMMYFUNCTION("IMPORTXML(AI221, ""//li[strong[text()='Investment Range:']]"")"),"Investment Range:")</f>
        <v>Investment Range:</v>
      </c>
      <c r="G221" s="43" t="str">
        <f ca="1">IFERROR(__xludf.DUMMYFUNCTION("""COMPUTED_VALUE""")," $924,021 - $1,957,824")</f>
        <v xml:space="preserve"> $924,021 - $1,957,824</v>
      </c>
      <c r="H221" s="18" t="str">
        <f ca="1">IFERROR(__xludf.DUMMYFUNCTION("SUBSTITUTE(REGEXEXTRACT(G221, ""\$(\d{1,3}(?:,\d{3})*)""), "","", ""."")
"),"924.021")</f>
        <v>924.021</v>
      </c>
      <c r="I221" s="19" t="str">
        <f ca="1">IFERROR(__xludf.DUMMYFUNCTION("SUBSTITUTE(REGEXEXTRACT(G221, ""-\s*\$(\d{1,3}(?:,\d{3})*)""), "","", ""."")
"),"1.957.824")</f>
        <v>1.957.824</v>
      </c>
      <c r="J221" s="19" t="str">
        <f ca="1">IFERROR(__xludf.DUMMYFUNCTION("IMPORTXML(AI221, ""//li[strong[text()='Initial Investment:']]"")"),"Loading...")</f>
        <v>Loading...</v>
      </c>
      <c r="K221" s="24"/>
      <c r="L221" s="20" t="str">
        <f ca="1">IFERROR(__xludf.DUMMYFUNCTION("IMPORTXML(AI221, ""//li[strong[text()='Category:']]"")"),"Loading...")</f>
        <v>Loading...</v>
      </c>
      <c r="M221" s="24"/>
      <c r="N221" s="19" t="str">
        <f ca="1">IFERROR(__xludf.DUMMYFUNCTION("IMPORTXML(AI221, ""//li[strong[text()='Global Sales:']]"")"),"Loading...")</f>
        <v>Loading...</v>
      </c>
      <c r="O221" s="24"/>
      <c r="P221" s="19" t="str">
        <f t="shared" si="0"/>
        <v/>
      </c>
      <c r="Q221" s="19" t="str">
        <f ca="1">IFERROR(__xludf.DUMMYFUNCTION("IMPORTXML(AI221, ""//li[strong[text()='US Units:']]"")"),"Loading...")</f>
        <v>Loading...</v>
      </c>
      <c r="R221" s="24"/>
      <c r="S221" s="19" t="str">
        <f ca="1">IFERROR(__xludf.DUMMYFUNCTION("IMPORTXML(AI221, ""//li[strong[text()='International Units:']]"")"),"Loading...")</f>
        <v>Loading...</v>
      </c>
      <c r="T221" s="44"/>
      <c r="U221" s="19" t="str">
        <f ca="1">IFERROR(__xludf.DUMMYFUNCTION("IMPORTXML(AI221, ""//li[strong[text()='Percent Franchised:']]"")"),"Loading...")</f>
        <v>Loading...</v>
      </c>
      <c r="V221" s="24"/>
      <c r="W221" s="19" t="str">
        <f ca="1">IFERROR(__xludf.DUMMYFUNCTION("IMPORTXML(AI221, ""//li[strong[text()='% International Units:']]"")"),"% International Units:")</f>
        <v>% International Units:</v>
      </c>
      <c r="X221" s="45">
        <f ca="1">IFERROR(__xludf.DUMMYFUNCTION("""COMPUTED_VALUE"""),0.01)</f>
        <v>0.01</v>
      </c>
      <c r="Y221" s="19" t="str">
        <f ca="1">IFERROR(__xludf.DUMMYFUNCTION("IMPORTXML(AI221, ""//li[strong[text()='US Franchised Units:']]"")"),"Loading...")</f>
        <v>Loading...</v>
      </c>
      <c r="Z221" s="24"/>
      <c r="AA221" s="14" t="str">
        <f t="shared" si="1"/>
        <v/>
      </c>
      <c r="AB221" s="19" t="str">
        <f ca="1">IFERROR(__xludf.DUMMYFUNCTION("IMPORTXML(AI221, ""//li[strong[text()='International Franchised Units:']]"")"),"Loading...")</f>
        <v>Loading...</v>
      </c>
      <c r="AC221" s="24"/>
      <c r="AD221" s="14" t="str">
        <f t="shared" si="2"/>
        <v/>
      </c>
      <c r="AE221" s="25" t="str">
        <f ca="1">IFERROR(__xludf.DUMMYFUNCTION("IMPORTXML(AI221, ""//li[strong[text()='Sales Growth %:']]"")"),"Loading...")</f>
        <v>Loading...</v>
      </c>
      <c r="AF221" s="24"/>
      <c r="AG221" s="25" t="str">
        <f ca="1">IFERROR(__xludf.DUMMYFUNCTION("IMPORTXML(AI221, ""//li[strong[text()='Unit Growth %:']]"")"),"Loading...")</f>
        <v>Loading...</v>
      </c>
      <c r="AH221" s="25"/>
      <c r="AI221" s="48" t="s">
        <v>208</v>
      </c>
      <c r="AJ221" s="27"/>
      <c r="AK221" s="27"/>
      <c r="AL221" s="27"/>
      <c r="AM221" s="27"/>
      <c r="AN221" s="27"/>
      <c r="AO221" s="27"/>
      <c r="AP221" s="27"/>
      <c r="AQ221" s="27"/>
    </row>
    <row r="222" spans="1:43" ht="14.25" customHeight="1">
      <c r="A222" s="42">
        <v>24.221</v>
      </c>
      <c r="B222" s="14">
        <v>2024</v>
      </c>
      <c r="C222" s="32">
        <v>221</v>
      </c>
      <c r="D222" s="16" t="str">
        <f ca="1">IFERROR(__xludf.DUMMYFUNCTION("IMPORTXML(AI222, ""//h1[@itemprop='headline']/span"")"),"221. Glass Doctor")</f>
        <v>221. Glass Doctor</v>
      </c>
      <c r="E222" s="17" t="str">
        <f ca="1">IFERROR(__xludf.DUMMYFUNCTION("REGEXEXTRACT(D222, ""\.\s*(.+)"")"),"Glass Doctor")</f>
        <v>Glass Doctor</v>
      </c>
      <c r="F222" s="18" t="str">
        <f ca="1">IFERROR(__xludf.DUMMYFUNCTION("IMPORTXML(AI222, ""//li[strong[text()='Investment Range:']]"")"),"Investment Range:")</f>
        <v>Investment Range:</v>
      </c>
      <c r="G222" s="43" t="str">
        <f ca="1">IFERROR(__xludf.DUMMYFUNCTION("""COMPUTED_VALUE""")," $152,900 - $302,100")</f>
        <v xml:space="preserve"> $152,900 - $302,100</v>
      </c>
      <c r="H222" s="18" t="str">
        <f ca="1">IFERROR(__xludf.DUMMYFUNCTION("SUBSTITUTE(REGEXEXTRACT(G222, ""\$(\d{1,3}(?:,\d{3})*)""), "","", ""."")
"),"152.900")</f>
        <v>152.900</v>
      </c>
      <c r="I222" s="19" t="str">
        <f ca="1">IFERROR(__xludf.DUMMYFUNCTION("SUBSTITUTE(REGEXEXTRACT(G222, ""-\s*\$(\d{1,3}(?:,\d{3})*)""), "","", ""."")
"),"302.100")</f>
        <v>302.100</v>
      </c>
      <c r="J222" s="19" t="str">
        <f ca="1">IFERROR(__xludf.DUMMYFUNCTION("IMPORTXML(AI222, ""//li[strong[text()='Initial Investment:']]"")"),"Loading...")</f>
        <v>Loading...</v>
      </c>
      <c r="K222" s="24"/>
      <c r="L222" s="20" t="str">
        <f ca="1">IFERROR(__xludf.DUMMYFUNCTION("IMPORTXML(AI222, ""//li[strong[text()='Category:']]"")"),"Loading...")</f>
        <v>Loading...</v>
      </c>
      <c r="M222" s="24"/>
      <c r="N222" s="19" t="str">
        <f ca="1">IFERROR(__xludf.DUMMYFUNCTION("IMPORTXML(AI222, ""//li[strong[text()='Global Sales:']]"")"),"Loading...")</f>
        <v>Loading...</v>
      </c>
      <c r="O222" s="24"/>
      <c r="P222" s="19" t="str">
        <f t="shared" si="0"/>
        <v/>
      </c>
      <c r="Q222" s="19" t="str">
        <f ca="1">IFERROR(__xludf.DUMMYFUNCTION("IMPORTXML(AI222, ""//li[strong[text()='US Units:']]"")"),"Loading...")</f>
        <v>Loading...</v>
      </c>
      <c r="R222" s="24"/>
      <c r="S222" s="19" t="str">
        <f ca="1">IFERROR(__xludf.DUMMYFUNCTION("IMPORTXML(AI222, ""//li[strong[text()='International Units:']]"")"),"Loading...")</f>
        <v>Loading...</v>
      </c>
      <c r="T222" s="44"/>
      <c r="U222" s="19" t="str">
        <f ca="1">IFERROR(__xludf.DUMMYFUNCTION("IMPORTXML(AI222, ""//li[strong[text()='Percent Franchised:']]"")"),"Loading...")</f>
        <v>Loading...</v>
      </c>
      <c r="V222" s="24"/>
      <c r="W222" s="19" t="str">
        <f ca="1">IFERROR(__xludf.DUMMYFUNCTION("IMPORTXML(AI222, ""//li[strong[text()='% International Units:']]"")"),"Loading...")</f>
        <v>Loading...</v>
      </c>
      <c r="X222" s="24"/>
      <c r="Y222" s="19" t="str">
        <f ca="1">IFERROR(__xludf.DUMMYFUNCTION("IMPORTXML(AI222, ""//li[strong[text()='US Franchised Units:']]"")"),"Loading...")</f>
        <v>Loading...</v>
      </c>
      <c r="Z222" s="24"/>
      <c r="AA222" s="14" t="str">
        <f t="shared" si="1"/>
        <v/>
      </c>
      <c r="AB222" s="19" t="str">
        <f ca="1">IFERROR(__xludf.DUMMYFUNCTION("IMPORTXML(AI222, ""//li[strong[text()='International Franchised Units:']]"")"),"Loading...")</f>
        <v>Loading...</v>
      </c>
      <c r="AC222" s="24"/>
      <c r="AD222" s="14" t="str">
        <f t="shared" si="2"/>
        <v/>
      </c>
      <c r="AE222" s="25" t="str">
        <f ca="1">IFERROR(__xludf.DUMMYFUNCTION("IMPORTXML(AI222, ""//li[strong[text()='Sales Growth %:']]"")"),"Loading...")</f>
        <v>Loading...</v>
      </c>
      <c r="AF222" s="24"/>
      <c r="AG222" s="25" t="str">
        <f ca="1">IFERROR(__xludf.DUMMYFUNCTION("IMPORTXML(AI222, ""//li[strong[text()='Unit Growth %:']]"")"),"Unit Growth %:")</f>
        <v>Unit Growth %:</v>
      </c>
      <c r="AH222" s="25" t="str">
        <f ca="1">IFERROR(__xludf.DUMMYFUNCTION("""COMPUTED_VALUE""")," -4.5%")</f>
        <v xml:space="preserve"> -4.5%</v>
      </c>
      <c r="AI222" s="48" t="s">
        <v>232</v>
      </c>
      <c r="AJ222" s="27"/>
      <c r="AK222" s="27"/>
      <c r="AL222" s="27"/>
      <c r="AM222" s="27"/>
      <c r="AN222" s="27"/>
      <c r="AO222" s="27"/>
      <c r="AP222" s="27"/>
      <c r="AQ222" s="27"/>
    </row>
    <row r="223" spans="1:43" ht="14.25" customHeight="1">
      <c r="A223" s="42">
        <v>24.222000000000001</v>
      </c>
      <c r="B223" s="14">
        <v>2024</v>
      </c>
      <c r="C223" s="36">
        <v>222</v>
      </c>
      <c r="D223" s="16" t="str">
        <f ca="1">IFERROR(__xludf.DUMMYFUNCTION("IMPORTXML(AI223, ""//h1[@itemprop='headline']/span"")"),"222. Always Best Care")</f>
        <v>222. Always Best Care</v>
      </c>
      <c r="E223" s="17" t="str">
        <f ca="1">IFERROR(__xludf.DUMMYFUNCTION("REGEXEXTRACT(D223, ""\.\s*(.+)"")"),"Always Best Care")</f>
        <v>Always Best Care</v>
      </c>
      <c r="F223" s="18" t="str">
        <f ca="1">IFERROR(__xludf.DUMMYFUNCTION("IMPORTXML(AI223, ""//li[strong[text()='Investment Range:']]"")"),"Investment Range:")</f>
        <v>Investment Range:</v>
      </c>
      <c r="G223" s="43" t="str">
        <f ca="1">IFERROR(__xludf.DUMMYFUNCTION("""COMPUTED_VALUE""")," $89,725 - $145,900")</f>
        <v xml:space="preserve"> $89,725 - $145,900</v>
      </c>
      <c r="H223" s="18" t="str">
        <f ca="1">IFERROR(__xludf.DUMMYFUNCTION("SUBSTITUTE(REGEXEXTRACT(G223, ""\$(\d{1,3}(?:,\d{3})*)""), "","", ""."")
"),"89.725")</f>
        <v>89.725</v>
      </c>
      <c r="I223" s="19" t="str">
        <f ca="1">IFERROR(__xludf.DUMMYFUNCTION("SUBSTITUTE(REGEXEXTRACT(G223, ""-\s*\$(\d{1,3}(?:,\d{3})*)""), "","", ""."")
"),"145.900")</f>
        <v>145.900</v>
      </c>
      <c r="J223" s="19" t="str">
        <f ca="1">IFERROR(__xludf.DUMMYFUNCTION("IMPORTXML(AI223, ""//li[strong[text()='Initial Investment:']]"")"),"Loading...")</f>
        <v>Loading...</v>
      </c>
      <c r="K223" s="24"/>
      <c r="L223" s="20" t="str">
        <f ca="1">IFERROR(__xludf.DUMMYFUNCTION("IMPORTXML(AI223, ""//li[strong[text()='Category:']]"")"),"Loading...")</f>
        <v>Loading...</v>
      </c>
      <c r="M223" s="24"/>
      <c r="N223" s="19" t="str">
        <f ca="1">IFERROR(__xludf.DUMMYFUNCTION("IMPORTXML(AI223, ""//li[strong[text()='Global Sales:']]"")"),"Loading...")</f>
        <v>Loading...</v>
      </c>
      <c r="O223" s="24"/>
      <c r="P223" s="19" t="str">
        <f t="shared" si="0"/>
        <v/>
      </c>
      <c r="Q223" s="19" t="str">
        <f ca="1">IFERROR(__xludf.DUMMYFUNCTION("IMPORTXML(AI223, ""//li[strong[text()='US Units:']]"")"),"Loading...")</f>
        <v>Loading...</v>
      </c>
      <c r="R223" s="24"/>
      <c r="S223" s="19" t="str">
        <f ca="1">IFERROR(__xludf.DUMMYFUNCTION("IMPORTXML(AI223, ""//li[strong[text()='International Units:']]"")"),"Loading...")</f>
        <v>Loading...</v>
      </c>
      <c r="T223" s="44"/>
      <c r="U223" s="19" t="str">
        <f ca="1">IFERROR(__xludf.DUMMYFUNCTION("IMPORTXML(AI223, ""//li[strong[text()='Percent Franchised:']]"")"),"Loading...")</f>
        <v>Loading...</v>
      </c>
      <c r="V223" s="24"/>
      <c r="W223" s="19" t="str">
        <f ca="1">IFERROR(__xludf.DUMMYFUNCTION("IMPORTXML(AI223, ""//li[strong[text()='% International Units:']]"")"),"Loading...")</f>
        <v>Loading...</v>
      </c>
      <c r="X223" s="24"/>
      <c r="Y223" s="19" t="str">
        <f ca="1">IFERROR(__xludf.DUMMYFUNCTION("IMPORTXML(AI223, ""//li[strong[text()='US Franchised Units:']]"")"),"Loading...")</f>
        <v>Loading...</v>
      </c>
      <c r="Z223" s="24"/>
      <c r="AA223" s="14" t="str">
        <f t="shared" si="1"/>
        <v/>
      </c>
      <c r="AB223" s="19" t="str">
        <f ca="1">IFERROR(__xludf.DUMMYFUNCTION("IMPORTXML(AI223, ""//li[strong[text()='International Franchised Units:']]"")"),"Loading...")</f>
        <v>Loading...</v>
      </c>
      <c r="AC223" s="24"/>
      <c r="AD223" s="14" t="str">
        <f t="shared" si="2"/>
        <v/>
      </c>
      <c r="AE223" s="25" t="str">
        <f ca="1">IFERROR(__xludf.DUMMYFUNCTION("IMPORTXML(AI223, ""//li[strong[text()='Sales Growth %:']]"")"),"Loading...")</f>
        <v>Loading...</v>
      </c>
      <c r="AF223" s="24"/>
      <c r="AG223" s="25" t="str">
        <f ca="1">IFERROR(__xludf.DUMMYFUNCTION("IMPORTXML(AI223, ""//li[strong[text()='Unit Growth %:']]"")"),"Loading...")</f>
        <v>Loading...</v>
      </c>
      <c r="AH223" s="25"/>
      <c r="AI223" s="48" t="s">
        <v>233</v>
      </c>
      <c r="AJ223" s="27"/>
      <c r="AK223" s="27"/>
      <c r="AL223" s="27"/>
      <c r="AM223" s="27"/>
      <c r="AN223" s="27"/>
      <c r="AO223" s="27"/>
      <c r="AP223" s="27"/>
      <c r="AQ223" s="27"/>
    </row>
    <row r="224" spans="1:43" ht="14.25" customHeight="1">
      <c r="A224" s="42">
        <v>24.222999999999999</v>
      </c>
      <c r="B224" s="14">
        <v>2024</v>
      </c>
      <c r="C224" s="36">
        <v>223</v>
      </c>
      <c r="D224" s="16" t="str">
        <f ca="1">IFERROR(__xludf.DUMMYFUNCTION("IMPORTXML(AI224, ""//h1[@itemprop='headline']/span"")"),"223. Allegra Marketing Print Mail")</f>
        <v>223. Allegra Marketing Print Mail</v>
      </c>
      <c r="E224" s="17" t="str">
        <f ca="1">IFERROR(__xludf.DUMMYFUNCTION("REGEXEXTRACT(D224, ""\.\s*(.+)"")"),"Allegra Marketing Print Mail")</f>
        <v>Allegra Marketing Print Mail</v>
      </c>
      <c r="F224" s="18" t="str">
        <f ca="1">IFERROR(__xludf.DUMMYFUNCTION("IMPORTXML(AI224, ""//li[strong[text()='Investment Range:']]"")"),"Investment Range:")</f>
        <v>Investment Range:</v>
      </c>
      <c r="G224" s="43" t="str">
        <f ca="1">IFERROR(__xludf.DUMMYFUNCTION("""COMPUTED_VALUE""")," $127,450 - $455,419")</f>
        <v xml:space="preserve"> $127,450 - $455,419</v>
      </c>
      <c r="H224" s="18" t="str">
        <f ca="1">IFERROR(__xludf.DUMMYFUNCTION("SUBSTITUTE(REGEXEXTRACT(G224, ""\$(\d{1,3}(?:,\d{3})*)""), "","", ""."")
"),"127.450")</f>
        <v>127.450</v>
      </c>
      <c r="I224" s="19" t="str">
        <f ca="1">IFERROR(__xludf.DUMMYFUNCTION("SUBSTITUTE(REGEXEXTRACT(G224, ""-\s*\$(\d{1,3}(?:,\d{3})*)""), "","", ""."")
"),"455.419")</f>
        <v>455.419</v>
      </c>
      <c r="J224" s="19" t="str">
        <f ca="1">IFERROR(__xludf.DUMMYFUNCTION("IMPORTXML(AI224, ""//li[strong[text()='Initial Investment:']]"")"),"Loading...")</f>
        <v>Loading...</v>
      </c>
      <c r="K224" s="24"/>
      <c r="L224" s="20" t="str">
        <f ca="1">IFERROR(__xludf.DUMMYFUNCTION("IMPORTXML(AI224, ""//li[strong[text()='Category:']]"")"),"Loading...")</f>
        <v>Loading...</v>
      </c>
      <c r="M224" s="24"/>
      <c r="N224" s="19" t="str">
        <f ca="1">IFERROR(__xludf.DUMMYFUNCTION("IMPORTXML(AI224, ""//li[strong[text()='Global Sales:']]"")"),"Loading...")</f>
        <v>Loading...</v>
      </c>
      <c r="O224" s="24"/>
      <c r="P224" s="19" t="str">
        <f t="shared" si="0"/>
        <v/>
      </c>
      <c r="Q224" s="19" t="str">
        <f ca="1">IFERROR(__xludf.DUMMYFUNCTION("IMPORTXML(AI224, ""//li[strong[text()='US Units:']]"")"),"Loading...")</f>
        <v>Loading...</v>
      </c>
      <c r="R224" s="24"/>
      <c r="S224" s="19" t="str">
        <f ca="1">IFERROR(__xludf.DUMMYFUNCTION("IMPORTXML(AI224, ""//li[strong[text()='International Units:']]"")"),"Loading...")</f>
        <v>Loading...</v>
      </c>
      <c r="T224" s="44"/>
      <c r="U224" s="19" t="str">
        <f ca="1">IFERROR(__xludf.DUMMYFUNCTION("IMPORTXML(AI224, ""//li[strong[text()='Percent Franchised:']]"")"),"Loading...")</f>
        <v>Loading...</v>
      </c>
      <c r="V224" s="24"/>
      <c r="W224" s="19" t="str">
        <f ca="1">IFERROR(__xludf.DUMMYFUNCTION("IMPORTXML(AI224, ""//li[strong[text()='% International Units:']]"")"),"Loading...")</f>
        <v>Loading...</v>
      </c>
      <c r="X224" s="24"/>
      <c r="Y224" s="19" t="str">
        <f ca="1">IFERROR(__xludf.DUMMYFUNCTION("IMPORTXML(AI224, ""//li[strong[text()='US Franchised Units:']]"")"),"US Franchised Units:")</f>
        <v>US Franchised Units:</v>
      </c>
      <c r="Z224" s="24">
        <f ca="1">IFERROR(__xludf.DUMMYFUNCTION("""COMPUTED_VALUE"""),185)</f>
        <v>185</v>
      </c>
      <c r="AA224" s="14" t="str">
        <f t="shared" ca="1" si="1"/>
        <v>185</v>
      </c>
      <c r="AB224" s="19" t="str">
        <f ca="1">IFERROR(__xludf.DUMMYFUNCTION("IMPORTXML(AI224, ""//li[strong[text()='International Franchised Units:']]"")"),"Loading...")</f>
        <v>Loading...</v>
      </c>
      <c r="AC224" s="24"/>
      <c r="AD224" s="14" t="str">
        <f t="shared" si="2"/>
        <v/>
      </c>
      <c r="AE224" s="25" t="str">
        <f ca="1">IFERROR(__xludf.DUMMYFUNCTION("IMPORTXML(AI224, ""//li[strong[text()='Sales Growth %:']]"")"),"Loading...")</f>
        <v>Loading...</v>
      </c>
      <c r="AF224" s="24"/>
      <c r="AG224" s="25" t="str">
        <f ca="1">IFERROR(__xludf.DUMMYFUNCTION("IMPORTXML(AI224, ""//li[strong[text()='Unit Growth %:']]"")"),"Loading...")</f>
        <v>Loading...</v>
      </c>
      <c r="AH224" s="25"/>
      <c r="AI224" s="48" t="s">
        <v>234</v>
      </c>
      <c r="AJ224" s="27"/>
      <c r="AK224" s="27"/>
      <c r="AL224" s="27"/>
      <c r="AM224" s="27"/>
      <c r="AN224" s="27"/>
      <c r="AO224" s="27"/>
      <c r="AP224" s="27"/>
      <c r="AQ224" s="27"/>
    </row>
    <row r="225" spans="1:43" ht="14.25" customHeight="1">
      <c r="A225" s="42">
        <v>24.224</v>
      </c>
      <c r="B225" s="14">
        <v>2024</v>
      </c>
      <c r="C225" s="15">
        <v>224</v>
      </c>
      <c r="D225" s="16" t="str">
        <f ca="1">IFERROR(__xludf.DUMMYFUNCTION("IMPORTXML(AI225, ""//h1[@itemprop='headline']/span"")"),"224. Yogi Bear’s Jellystone Park")</f>
        <v>224. Yogi Bear’s Jellystone Park</v>
      </c>
      <c r="E225" s="17" t="str">
        <f ca="1">IFERROR(__xludf.DUMMYFUNCTION("REGEXEXTRACT(D225, ""\.\s*(.+)"")"),"Yogi Bear’s Jellystone Park")</f>
        <v>Yogi Bear’s Jellystone Park</v>
      </c>
      <c r="F225" s="18" t="str">
        <f ca="1">IFERROR(__xludf.DUMMYFUNCTION("IMPORTXML(AI225, ""//li[strong[text()='Investment Range:']]"")"),"Investment Range:")</f>
        <v>Investment Range:</v>
      </c>
      <c r="G225" s="43" t="str">
        <f ca="1">IFERROR(__xludf.DUMMYFUNCTION("""COMPUTED_VALUE""")," $257,000 - $1,648,000")</f>
        <v xml:space="preserve"> $257,000 - $1,648,000</v>
      </c>
      <c r="H225" s="18" t="str">
        <f ca="1">IFERROR(__xludf.DUMMYFUNCTION("SUBSTITUTE(REGEXEXTRACT(G225, ""\$(\d{1,3}(?:,\d{3})*)""), "","", ""."")
"),"257.000")</f>
        <v>257.000</v>
      </c>
      <c r="I225" s="19" t="str">
        <f ca="1">IFERROR(__xludf.DUMMYFUNCTION("SUBSTITUTE(REGEXEXTRACT(G225, ""-\s*\$(\d{1,3}(?:,\d{3})*)""), "","", ""."")
"),"1.648.000")</f>
        <v>1.648.000</v>
      </c>
      <c r="J225" s="19" t="str">
        <f ca="1">IFERROR(__xludf.DUMMYFUNCTION("IMPORTXML(AI225, ""//li[strong[text()='Initial Investment:']]"")"),"Loading...")</f>
        <v>Loading...</v>
      </c>
      <c r="K225" s="24"/>
      <c r="L225" s="20" t="str">
        <f ca="1">IFERROR(__xludf.DUMMYFUNCTION("IMPORTXML(AI225, ""//li[strong[text()='Category:']]"")"),"Loading...")</f>
        <v>Loading...</v>
      </c>
      <c r="M225" s="24"/>
      <c r="N225" s="19" t="str">
        <f ca="1">IFERROR(__xludf.DUMMYFUNCTION("IMPORTXML(AI225, ""//li[strong[text()='Global Sales:']]"")"),"Loading...")</f>
        <v>Loading...</v>
      </c>
      <c r="O225" s="24"/>
      <c r="P225" s="19" t="str">
        <f t="shared" si="0"/>
        <v/>
      </c>
      <c r="Q225" s="19" t="str">
        <f ca="1">IFERROR(__xludf.DUMMYFUNCTION("IMPORTXML(AI225, ""//li[strong[text()='US Units:']]"")"),"Loading...")</f>
        <v>Loading...</v>
      </c>
      <c r="R225" s="24"/>
      <c r="S225" s="19" t="str">
        <f ca="1">IFERROR(__xludf.DUMMYFUNCTION("IMPORTXML(AI225, ""//li[strong[text()='International Units:']]"")"),"Loading...")</f>
        <v>Loading...</v>
      </c>
      <c r="T225" s="44"/>
      <c r="U225" s="19" t="str">
        <f ca="1">IFERROR(__xludf.DUMMYFUNCTION("IMPORTXML(AI225, ""//li[strong[text()='Percent Franchised:']]"")"),"Loading...")</f>
        <v>Loading...</v>
      </c>
      <c r="V225" s="24"/>
      <c r="W225" s="19" t="str">
        <f ca="1">IFERROR(__xludf.DUMMYFUNCTION("IMPORTXML(AI225, ""//li[strong[text()='% International Units:']]"")"),"Loading...")</f>
        <v>Loading...</v>
      </c>
      <c r="X225" s="24"/>
      <c r="Y225" s="19" t="str">
        <f ca="1">IFERROR(__xludf.DUMMYFUNCTION("IMPORTXML(AI225, ""//li[strong[text()='US Franchised Units:']]"")"),"Loading...")</f>
        <v>Loading...</v>
      </c>
      <c r="Z225" s="24"/>
      <c r="AA225" s="14" t="str">
        <f t="shared" si="1"/>
        <v/>
      </c>
      <c r="AB225" s="19" t="str">
        <f ca="1">IFERROR(__xludf.DUMMYFUNCTION("IMPORTXML(AI225, ""//li[strong[text()='International Franchised Units:']]"")"),"Loading...")</f>
        <v>Loading...</v>
      </c>
      <c r="AC225" s="24"/>
      <c r="AD225" s="14" t="str">
        <f t="shared" si="2"/>
        <v/>
      </c>
      <c r="AE225" s="25" t="str">
        <f ca="1">IFERROR(__xludf.DUMMYFUNCTION("IMPORTXML(AI225, ""//li[strong[text()='Sales Growth %:']]"")"),"Loading...")</f>
        <v>Loading...</v>
      </c>
      <c r="AF225" s="24"/>
      <c r="AG225" s="25" t="str">
        <f ca="1">IFERROR(__xludf.DUMMYFUNCTION("IMPORTXML(AI225, ""//li[strong[text()='Unit Growth %:']]"")"),"Loading...")</f>
        <v>Loading...</v>
      </c>
      <c r="AH225" s="25"/>
      <c r="AI225" s="48" t="s">
        <v>235</v>
      </c>
      <c r="AJ225" s="27"/>
      <c r="AK225" s="27"/>
      <c r="AL225" s="27"/>
      <c r="AM225" s="27"/>
      <c r="AN225" s="27"/>
      <c r="AO225" s="27"/>
      <c r="AP225" s="27"/>
      <c r="AQ225" s="27"/>
    </row>
    <row r="226" spans="1:43" ht="14.25" customHeight="1">
      <c r="A226" s="42">
        <v>24.225000000000001</v>
      </c>
      <c r="B226" s="14">
        <v>2024</v>
      </c>
      <c r="C226" s="32">
        <v>225</v>
      </c>
      <c r="D226" s="16" t="str">
        <f ca="1">IFERROR(__xludf.DUMMYFUNCTION("IMPORTXML(AI226, ""//h1[@itemprop='headline']/span"")"),"106. City Wide Facility Solutions")</f>
        <v>106. City Wide Facility Solutions</v>
      </c>
      <c r="E226" s="17" t="str">
        <f ca="1">IFERROR(__xludf.DUMMYFUNCTION("REGEXEXTRACT(D226, ""\.\s*(.+)"")"),"City Wide Facility Solutions")</f>
        <v>City Wide Facility Solutions</v>
      </c>
      <c r="F226" s="18" t="str">
        <f ca="1">IFERROR(__xludf.DUMMYFUNCTION("IMPORTXML(AI226, ""//li[strong[text()='Investment Range:']]"")"),"#N/A")</f>
        <v>#N/A</v>
      </c>
      <c r="G226" s="43"/>
      <c r="H226" s="18" t="str">
        <f ca="1">IFERROR(__xludf.DUMMYFUNCTION("SUBSTITUTE(REGEXEXTRACT(G226, ""\$(\d{1,3}(?:,\d{3})*)""), "","", ""."")
"),"#N/A")</f>
        <v>#N/A</v>
      </c>
      <c r="I226" s="19" t="str">
        <f ca="1">IFERROR(__xludf.DUMMYFUNCTION("SUBSTITUTE(REGEXEXTRACT(G226, ""-\s*\$(\d{1,3}(?:,\d{3})*)""), "","", ""."")
"),"#N/A")</f>
        <v>#N/A</v>
      </c>
      <c r="J226" s="19" t="str">
        <f ca="1">IFERROR(__xludf.DUMMYFUNCTION("IMPORTXML(AI226, ""//li[strong[text()='Initial Investment:']]"")"),"Loading...")</f>
        <v>Loading...</v>
      </c>
      <c r="K226" s="24"/>
      <c r="L226" s="20" t="str">
        <f ca="1">IFERROR(__xludf.DUMMYFUNCTION("IMPORTXML(AI226, ""//li[strong[text()='Category:']]"")"),"Loading...")</f>
        <v>Loading...</v>
      </c>
      <c r="M226" s="24"/>
      <c r="N226" s="19" t="str">
        <f ca="1">IFERROR(__xludf.DUMMYFUNCTION("IMPORTXML(AI226, ""//li[strong[text()='Global Sales:']]"")"),"Loading...")</f>
        <v>Loading...</v>
      </c>
      <c r="O226" s="24"/>
      <c r="P226" s="19" t="str">
        <f t="shared" si="0"/>
        <v/>
      </c>
      <c r="Q226" s="19" t="str">
        <f ca="1">IFERROR(__xludf.DUMMYFUNCTION("IMPORTXML(AI226, ""//li[strong[text()='US Units:']]"")"),"Loading...")</f>
        <v>Loading...</v>
      </c>
      <c r="R226" s="24"/>
      <c r="S226" s="19" t="str">
        <f ca="1">IFERROR(__xludf.DUMMYFUNCTION("IMPORTXML(AI226, ""//li[strong[text()='International Units:']]"")"),"Loading...")</f>
        <v>Loading...</v>
      </c>
      <c r="T226" s="44"/>
      <c r="U226" s="19" t="str">
        <f ca="1">IFERROR(__xludf.DUMMYFUNCTION("IMPORTXML(AI226, ""//li[strong[text()='Percent Franchised:']]"")"),"Loading...")</f>
        <v>Loading...</v>
      </c>
      <c r="V226" s="24"/>
      <c r="W226" s="19" t="str">
        <f ca="1">IFERROR(__xludf.DUMMYFUNCTION("IMPORTXML(AI226, ""//li[strong[text()='% International Units:']]"")"),"Loading...")</f>
        <v>Loading...</v>
      </c>
      <c r="X226" s="24"/>
      <c r="Y226" s="19" t="str">
        <f ca="1">IFERROR(__xludf.DUMMYFUNCTION("IMPORTXML(AI226, ""//li[strong[text()='US Franchised Units:']]"")"),"Loading...")</f>
        <v>Loading...</v>
      </c>
      <c r="Z226" s="24"/>
      <c r="AA226" s="14" t="str">
        <f t="shared" si="1"/>
        <v/>
      </c>
      <c r="AB226" s="19" t="str">
        <f ca="1">IFERROR(__xludf.DUMMYFUNCTION("IMPORTXML(AI226, ""//li[strong[text()='International Franchised Units:']]"")"),"Loading...")</f>
        <v>Loading...</v>
      </c>
      <c r="AC226" s="24"/>
      <c r="AD226" s="14" t="str">
        <f t="shared" si="2"/>
        <v/>
      </c>
      <c r="AE226" s="25" t="str">
        <f ca="1">IFERROR(__xludf.DUMMYFUNCTION("IMPORTXML(AI226, ""//li[strong[text()='Sales Growth %:']]"")"),"Loading...")</f>
        <v>Loading...</v>
      </c>
      <c r="AF226" s="24"/>
      <c r="AG226" s="25" t="str">
        <f ca="1">IFERROR(__xludf.DUMMYFUNCTION("IMPORTXML(AI226, ""//li[strong[text()='Unit Growth %:']]"")"),"Loading...")</f>
        <v>Loading...</v>
      </c>
      <c r="AH226" s="25"/>
      <c r="AI226" s="48" t="s">
        <v>122</v>
      </c>
      <c r="AJ226" s="27"/>
      <c r="AK226" s="27"/>
      <c r="AL226" s="27"/>
      <c r="AM226" s="27"/>
      <c r="AN226" s="27"/>
      <c r="AO226" s="27"/>
      <c r="AP226" s="27"/>
      <c r="AQ226" s="27"/>
    </row>
    <row r="227" spans="1:43" ht="14.25" customHeight="1">
      <c r="A227" s="42">
        <v>24.225999999999999</v>
      </c>
      <c r="B227" s="14">
        <v>2024</v>
      </c>
      <c r="C227" s="36">
        <v>226</v>
      </c>
      <c r="D227" s="16" t="str">
        <f ca="1">IFERROR(__xludf.DUMMYFUNCTION("IMPORTXML(AI227, ""//h1[@itemprop='headline']/span"")"),"226. FirstLight Home Care")</f>
        <v>226. FirstLight Home Care</v>
      </c>
      <c r="E227" s="17" t="str">
        <f ca="1">IFERROR(__xludf.DUMMYFUNCTION("REGEXEXTRACT(D227, ""\.\s*(.+)"")"),"FirstLight Home Care")</f>
        <v>FirstLight Home Care</v>
      </c>
      <c r="F227" s="18" t="str">
        <f ca="1">IFERROR(__xludf.DUMMYFUNCTION("IMPORTXML(AI227, ""//li[strong[text()='Investment Range:']]"")"),"Investment Range:")</f>
        <v>Investment Range:</v>
      </c>
      <c r="G227" s="43" t="str">
        <f ca="1">IFERROR(__xludf.DUMMYFUNCTION("""COMPUTED_VALUE""")," $113,300 - $199,400")</f>
        <v xml:space="preserve"> $113,300 - $199,400</v>
      </c>
      <c r="H227" s="18" t="str">
        <f ca="1">IFERROR(__xludf.DUMMYFUNCTION("SUBSTITUTE(REGEXEXTRACT(G227, ""\$(\d{1,3}(?:,\d{3})*)""), "","", ""."")
"),"113.300")</f>
        <v>113.300</v>
      </c>
      <c r="I227" s="19" t="str">
        <f ca="1">IFERROR(__xludf.DUMMYFUNCTION("SUBSTITUTE(REGEXEXTRACT(G227, ""-\s*\$(\d{1,3}(?:,\d{3})*)""), "","", ""."")
"),"199.400")</f>
        <v>199.400</v>
      </c>
      <c r="J227" s="19" t="str">
        <f ca="1">IFERROR(__xludf.DUMMYFUNCTION("IMPORTXML(AI227, ""//li[strong[text()='Initial Investment:']]"")"),"Loading...")</f>
        <v>Loading...</v>
      </c>
      <c r="K227" s="24"/>
      <c r="L227" s="20" t="str">
        <f ca="1">IFERROR(__xludf.DUMMYFUNCTION("IMPORTXML(AI227, ""//li[strong[text()='Category:']]"")"),"Loading...")</f>
        <v>Loading...</v>
      </c>
      <c r="M227" s="24"/>
      <c r="N227" s="19" t="str">
        <f ca="1">IFERROR(__xludf.DUMMYFUNCTION("IMPORTXML(AI227, ""//li[strong[text()='Global Sales:']]"")"),"Loading...")</f>
        <v>Loading...</v>
      </c>
      <c r="O227" s="24"/>
      <c r="P227" s="19" t="str">
        <f t="shared" si="0"/>
        <v/>
      </c>
      <c r="Q227" s="19" t="str">
        <f ca="1">IFERROR(__xludf.DUMMYFUNCTION("IMPORTXML(AI227, ""//li[strong[text()='US Units:']]"")"),"Loading...")</f>
        <v>Loading...</v>
      </c>
      <c r="R227" s="24"/>
      <c r="S227" s="19" t="str">
        <f ca="1">IFERROR(__xludf.DUMMYFUNCTION("IMPORTXML(AI227, ""//li[strong[text()='International Units:']]"")"),"Loading...")</f>
        <v>Loading...</v>
      </c>
      <c r="T227" s="44"/>
      <c r="U227" s="19" t="str">
        <f ca="1">IFERROR(__xludf.DUMMYFUNCTION("IMPORTXML(AI227, ""//li[strong[text()='Percent Franchised:']]"")"),"Percent Franchised:")</f>
        <v>Percent Franchised:</v>
      </c>
      <c r="V227" s="45">
        <f ca="1">IFERROR(__xludf.DUMMYFUNCTION("""COMPUTED_VALUE"""),1)</f>
        <v>1</v>
      </c>
      <c r="W227" s="19" t="str">
        <f ca="1">IFERROR(__xludf.DUMMYFUNCTION("IMPORTXML(AI227, ""//li[strong[text()='% International Units:']]"")"),"Loading...")</f>
        <v>Loading...</v>
      </c>
      <c r="X227" s="24"/>
      <c r="Y227" s="19" t="str">
        <f ca="1">IFERROR(__xludf.DUMMYFUNCTION("IMPORTXML(AI227, ""//li[strong[text()='US Franchised Units:']]"")"),"Loading...")</f>
        <v>Loading...</v>
      </c>
      <c r="Z227" s="24"/>
      <c r="AA227" s="14" t="str">
        <f t="shared" si="1"/>
        <v/>
      </c>
      <c r="AB227" s="19" t="str">
        <f ca="1">IFERROR(__xludf.DUMMYFUNCTION("IMPORTXML(AI227, ""//li[strong[text()='International Franchised Units:']]"")"),"International Franchised Units:")</f>
        <v>International Franchised Units:</v>
      </c>
      <c r="AC227" s="24">
        <f ca="1">IFERROR(__xludf.DUMMYFUNCTION("""COMPUTED_VALUE"""),0)</f>
        <v>0</v>
      </c>
      <c r="AD227" s="14" t="str">
        <f t="shared" ca="1" si="2"/>
        <v>0</v>
      </c>
      <c r="AE227" s="25" t="str">
        <f ca="1">IFERROR(__xludf.DUMMYFUNCTION("IMPORTXML(AI227, ""//li[strong[text()='Sales Growth %:']]"")"),"Loading...")</f>
        <v>Loading...</v>
      </c>
      <c r="AF227" s="24"/>
      <c r="AG227" s="25" t="str">
        <f ca="1">IFERROR(__xludf.DUMMYFUNCTION("IMPORTXML(AI227, ""//li[strong[text()='Unit Growth %:']]"")"),"Loading...")</f>
        <v>Loading...</v>
      </c>
      <c r="AH227" s="25"/>
      <c r="AI227" s="48" t="s">
        <v>236</v>
      </c>
      <c r="AJ227" s="27"/>
      <c r="AK227" s="27"/>
      <c r="AL227" s="27"/>
      <c r="AM227" s="27"/>
      <c r="AN227" s="27"/>
      <c r="AO227" s="27"/>
      <c r="AP227" s="27"/>
      <c r="AQ227" s="27"/>
    </row>
    <row r="228" spans="1:43" ht="14.25" customHeight="1">
      <c r="A228" s="42">
        <v>24.227</v>
      </c>
      <c r="B228" s="14">
        <v>2024</v>
      </c>
      <c r="C228" s="36">
        <v>227</v>
      </c>
      <c r="D228" s="16" t="str">
        <f ca="1">IFERROR(__xludf.DUMMYFUNCTION("IMPORTXML(AI228, ""//h1[@itemprop='headline']/span"")"),"227. Lee’s Famous Recipe Chicken")</f>
        <v>227. Lee’s Famous Recipe Chicken</v>
      </c>
      <c r="E228" s="17" t="str">
        <f ca="1">IFERROR(__xludf.DUMMYFUNCTION("REGEXEXTRACT(D228, ""\.\s*(.+)"")"),"Lee’s Famous Recipe Chicken")</f>
        <v>Lee’s Famous Recipe Chicken</v>
      </c>
      <c r="F228" s="18" t="str">
        <f ca="1">IFERROR(__xludf.DUMMYFUNCTION("IMPORTXML(AI228, ""//li[strong[text()='Investment Range:']]"")"),"Investment Range:")</f>
        <v>Investment Range:</v>
      </c>
      <c r="G228" s="43" t="str">
        <f ca="1">IFERROR(__xludf.DUMMYFUNCTION("""COMPUTED_VALUE""")," $1,228,100 - $2,049,400")</f>
        <v xml:space="preserve"> $1,228,100 - $2,049,400</v>
      </c>
      <c r="H228" s="18" t="str">
        <f ca="1">IFERROR(__xludf.DUMMYFUNCTION("SUBSTITUTE(REGEXEXTRACT(G228, ""\$(\d{1,3}(?:,\d{3})*)""), "","", ""."")
"),"1.228.100")</f>
        <v>1.228.100</v>
      </c>
      <c r="I228" s="19" t="str">
        <f ca="1">IFERROR(__xludf.DUMMYFUNCTION("SUBSTITUTE(REGEXEXTRACT(G228, ""-\s*\$(\d{1,3}(?:,\d{3})*)""), "","", ""."")
"),"2.049.400")</f>
        <v>2.049.400</v>
      </c>
      <c r="J228" s="19" t="str">
        <f ca="1">IFERROR(__xludf.DUMMYFUNCTION("IMPORTXML(AI228, ""//li[strong[text()='Initial Investment:']]"")"),"Loading...")</f>
        <v>Loading...</v>
      </c>
      <c r="K228" s="24"/>
      <c r="L228" s="20" t="str">
        <f ca="1">IFERROR(__xludf.DUMMYFUNCTION("IMPORTXML(AI228, ""//li[strong[text()='Category:']]"")"),"Loading...")</f>
        <v>Loading...</v>
      </c>
      <c r="M228" s="24"/>
      <c r="N228" s="19" t="str">
        <f ca="1">IFERROR(__xludf.DUMMYFUNCTION("IMPORTXML(AI228, ""//li[strong[text()='Global Sales:']]"")"),"Loading...")</f>
        <v>Loading...</v>
      </c>
      <c r="O228" s="24"/>
      <c r="P228" s="19" t="str">
        <f t="shared" si="0"/>
        <v/>
      </c>
      <c r="Q228" s="19" t="str">
        <f ca="1">IFERROR(__xludf.DUMMYFUNCTION("IMPORTXML(AI228, ""//li[strong[text()='US Units:']]"")"),"Loading...")</f>
        <v>Loading...</v>
      </c>
      <c r="R228" s="24"/>
      <c r="S228" s="19" t="str">
        <f ca="1">IFERROR(__xludf.DUMMYFUNCTION("IMPORTXML(AI228, ""//li[strong[text()='International Units:']]"")"),"Loading...")</f>
        <v>Loading...</v>
      </c>
      <c r="T228" s="44"/>
      <c r="U228" s="19" t="str">
        <f ca="1">IFERROR(__xludf.DUMMYFUNCTION("IMPORTXML(AI228, ""//li[strong[text()='Percent Franchised:']]"")"),"Loading...")</f>
        <v>Loading...</v>
      </c>
      <c r="V228" s="24"/>
      <c r="W228" s="19" t="str">
        <f ca="1">IFERROR(__xludf.DUMMYFUNCTION("IMPORTXML(AI228, ""//li[strong[text()='% International Units:']]"")"),"Loading...")</f>
        <v>Loading...</v>
      </c>
      <c r="X228" s="24"/>
      <c r="Y228" s="19" t="str">
        <f ca="1">IFERROR(__xludf.DUMMYFUNCTION("IMPORTXML(AI228, ""//li[strong[text()='US Franchised Units:']]"")"),"Loading...")</f>
        <v>Loading...</v>
      </c>
      <c r="Z228" s="24"/>
      <c r="AA228" s="14" t="str">
        <f t="shared" si="1"/>
        <v/>
      </c>
      <c r="AB228" s="19" t="str">
        <f ca="1">IFERROR(__xludf.DUMMYFUNCTION("IMPORTXML(AI228, ""//li[strong[text()='International Franchised Units:']]"")"),"Loading...")</f>
        <v>Loading...</v>
      </c>
      <c r="AC228" s="24"/>
      <c r="AD228" s="14" t="str">
        <f t="shared" si="2"/>
        <v/>
      </c>
      <c r="AE228" s="25" t="str">
        <f ca="1">IFERROR(__xludf.DUMMYFUNCTION("IMPORTXML(AI228, ""//li[strong[text()='Sales Growth %:']]"")"),"Loading...")</f>
        <v>Loading...</v>
      </c>
      <c r="AF228" s="24"/>
      <c r="AG228" s="25" t="str">
        <f ca="1">IFERROR(__xludf.DUMMYFUNCTION("IMPORTXML(AI228, ""//li[strong[text()='Unit Growth %:']]"")"),"Loading...")</f>
        <v>Loading...</v>
      </c>
      <c r="AH228" s="25"/>
      <c r="AI228" s="48" t="s">
        <v>237</v>
      </c>
      <c r="AJ228" s="27"/>
      <c r="AK228" s="27"/>
      <c r="AL228" s="27"/>
      <c r="AM228" s="27"/>
      <c r="AN228" s="27"/>
      <c r="AO228" s="27"/>
      <c r="AP228" s="27"/>
      <c r="AQ228" s="27"/>
    </row>
    <row r="229" spans="1:43" ht="14.25" customHeight="1">
      <c r="A229" s="42">
        <v>24.228000000000002</v>
      </c>
      <c r="B229" s="14">
        <v>2024</v>
      </c>
      <c r="C229" s="15">
        <v>228</v>
      </c>
      <c r="D229" s="16" t="str">
        <f ca="1">IFERROR(__xludf.DUMMYFUNCTION("IMPORTXML(AI229, ""//h1[@itemprop='headline']/span"")"),"228. Chem-Dry")</f>
        <v>228. Chem-Dry</v>
      </c>
      <c r="E229" s="17" t="str">
        <f ca="1">IFERROR(__xludf.DUMMYFUNCTION("REGEXEXTRACT(D229, ""\.\s*(.+)"")"),"Chem-Dry")</f>
        <v>Chem-Dry</v>
      </c>
      <c r="F229" s="18" t="str">
        <f ca="1">IFERROR(__xludf.DUMMYFUNCTION("IMPORTXML(AI229, ""//li[strong[text()='Investment Range:']]"")"),"Investment Range:")</f>
        <v>Investment Range:</v>
      </c>
      <c r="G229" s="43" t="str">
        <f ca="1">IFERROR(__xludf.DUMMYFUNCTION("""COMPUTED_VALUE""")," $72,145 - $253,869")</f>
        <v xml:space="preserve"> $72,145 - $253,869</v>
      </c>
      <c r="H229" s="18" t="str">
        <f ca="1">IFERROR(__xludf.DUMMYFUNCTION("SUBSTITUTE(REGEXEXTRACT(G229, ""\$(\d{1,3}(?:,\d{3})*)""), "","", ""."")
"),"72.145")</f>
        <v>72.145</v>
      </c>
      <c r="I229" s="19" t="str">
        <f ca="1">IFERROR(__xludf.DUMMYFUNCTION("SUBSTITUTE(REGEXEXTRACT(G229, ""-\s*\$(\d{1,3}(?:,\d{3})*)""), "","", ""."")
"),"253.869")</f>
        <v>253.869</v>
      </c>
      <c r="J229" s="19" t="str">
        <f ca="1">IFERROR(__xludf.DUMMYFUNCTION("IMPORTXML(AI229, ""//li[strong[text()='Initial Investment:']]"")"),"Loading...")</f>
        <v>Loading...</v>
      </c>
      <c r="K229" s="24"/>
      <c r="L229" s="20" t="str">
        <f ca="1">IFERROR(__xludf.DUMMYFUNCTION("IMPORTXML(AI229, ""//li[strong[text()='Category:']]"")"),"Loading...")</f>
        <v>Loading...</v>
      </c>
      <c r="M229" s="24"/>
      <c r="N229" s="19" t="str">
        <f ca="1">IFERROR(__xludf.DUMMYFUNCTION("IMPORTXML(AI229, ""//li[strong[text()='Global Sales:']]"")"),"Loading...")</f>
        <v>Loading...</v>
      </c>
      <c r="O229" s="24"/>
      <c r="P229" s="19" t="str">
        <f t="shared" si="0"/>
        <v/>
      </c>
      <c r="Q229" s="19" t="str">
        <f ca="1">IFERROR(__xludf.DUMMYFUNCTION("IMPORTXML(AI229, ""//li[strong[text()='US Units:']]"")"),"Loading...")</f>
        <v>Loading...</v>
      </c>
      <c r="R229" s="24"/>
      <c r="S229" s="19" t="str">
        <f ca="1">IFERROR(__xludf.DUMMYFUNCTION("IMPORTXML(AI229, ""//li[strong[text()='International Units:']]"")"),"Loading...")</f>
        <v>Loading...</v>
      </c>
      <c r="T229" s="44"/>
      <c r="U229" s="19" t="str">
        <f ca="1">IFERROR(__xludf.DUMMYFUNCTION("IMPORTXML(AI229, ""//li[strong[text()='Percent Franchised:']]"")"),"Loading...")</f>
        <v>Loading...</v>
      </c>
      <c r="V229" s="24"/>
      <c r="W229" s="19" t="str">
        <f ca="1">IFERROR(__xludf.DUMMYFUNCTION("IMPORTXML(AI229, ""//li[strong[text()='% International Units:']]"")"),"Loading...")</f>
        <v>Loading...</v>
      </c>
      <c r="X229" s="24"/>
      <c r="Y229" s="19" t="str">
        <f ca="1">IFERROR(__xludf.DUMMYFUNCTION("IMPORTXML(AI229, ""//li[strong[text()='US Franchised Units:']]"")"),"Loading...")</f>
        <v>Loading...</v>
      </c>
      <c r="Z229" s="24"/>
      <c r="AA229" s="14" t="str">
        <f t="shared" si="1"/>
        <v/>
      </c>
      <c r="AB229" s="19" t="str">
        <f ca="1">IFERROR(__xludf.DUMMYFUNCTION("IMPORTXML(AI229, ""//li[strong[text()='International Franchised Units:']]"")"),"International Franchised Units:")</f>
        <v>International Franchised Units:</v>
      </c>
      <c r="AC229" s="24">
        <f ca="1">IFERROR(__xludf.DUMMYFUNCTION("""COMPUTED_VALUE"""),500)</f>
        <v>500</v>
      </c>
      <c r="AD229" s="14" t="str">
        <f t="shared" ca="1" si="2"/>
        <v>500</v>
      </c>
      <c r="AE229" s="25" t="str">
        <f ca="1">IFERROR(__xludf.DUMMYFUNCTION("IMPORTXML(AI229, ""//li[strong[text()='Sales Growth %:']]"")"),"Loading...")</f>
        <v>Loading...</v>
      </c>
      <c r="AF229" s="24"/>
      <c r="AG229" s="25" t="str">
        <f ca="1">IFERROR(__xludf.DUMMYFUNCTION("IMPORTXML(AI229, ""//li[strong[text()='Unit Growth %:']]"")"),"Loading...")</f>
        <v>Loading...</v>
      </c>
      <c r="AH229" s="25"/>
      <c r="AI229" s="48" t="s">
        <v>238</v>
      </c>
      <c r="AJ229" s="27"/>
      <c r="AK229" s="27"/>
      <c r="AL229" s="27"/>
      <c r="AM229" s="27"/>
      <c r="AN229" s="27"/>
      <c r="AO229" s="27"/>
      <c r="AP229" s="27"/>
      <c r="AQ229" s="27"/>
    </row>
    <row r="230" spans="1:43" ht="14.25" customHeight="1">
      <c r="A230" s="42">
        <v>24.228999999999999</v>
      </c>
      <c r="B230" s="14">
        <v>2024</v>
      </c>
      <c r="C230" s="32">
        <v>229</v>
      </c>
      <c r="D230" s="16" t="str">
        <f ca="1">IFERROR(__xludf.DUMMYFUNCTION("IMPORTXML(AI230, ""//h1[@itemprop='headline']/span"")"),"229. United Country")</f>
        <v>229. United Country</v>
      </c>
      <c r="E230" s="17" t="str">
        <f ca="1">IFERROR(__xludf.DUMMYFUNCTION("REGEXEXTRACT(D230, ""\.\s*(.+)"")"),"United Country")</f>
        <v>United Country</v>
      </c>
      <c r="F230" s="18" t="str">
        <f ca="1">IFERROR(__xludf.DUMMYFUNCTION("IMPORTXML(AI230, ""//li[strong[text()='Investment Range:']]"")"),"Investment Range:")</f>
        <v>Investment Range:</v>
      </c>
      <c r="G230" s="43" t="str">
        <f ca="1">IFERROR(__xludf.DUMMYFUNCTION("""COMPUTED_VALUE""")," $10,500 - $17,920")</f>
        <v xml:space="preserve"> $10,500 - $17,920</v>
      </c>
      <c r="H230" s="18" t="str">
        <f ca="1">IFERROR(__xludf.DUMMYFUNCTION("SUBSTITUTE(REGEXEXTRACT(G230, ""\$(\d{1,3}(?:,\d{3})*)""), "","", ""."")
"),"10.500")</f>
        <v>10.500</v>
      </c>
      <c r="I230" s="19" t="str">
        <f ca="1">IFERROR(__xludf.DUMMYFUNCTION("SUBSTITUTE(REGEXEXTRACT(G230, ""-\s*\$(\d{1,3}(?:,\d{3})*)""), "","", ""."")
"),"17.920")</f>
        <v>17.920</v>
      </c>
      <c r="J230" s="19" t="str">
        <f ca="1">IFERROR(__xludf.DUMMYFUNCTION("IMPORTXML(AI230, ""//li[strong[text()='Initial Investment:']]"")"),"Loading...")</f>
        <v>Loading...</v>
      </c>
      <c r="K230" s="24"/>
      <c r="L230" s="20" t="str">
        <f ca="1">IFERROR(__xludf.DUMMYFUNCTION("IMPORTXML(AI230, ""//li[strong[text()='Category:']]"")"),"Loading...")</f>
        <v>Loading...</v>
      </c>
      <c r="M230" s="24"/>
      <c r="N230" s="19" t="str">
        <f ca="1">IFERROR(__xludf.DUMMYFUNCTION("IMPORTXML(AI230, ""//li[strong[text()='Global Sales:']]"")"),"Loading...")</f>
        <v>Loading...</v>
      </c>
      <c r="O230" s="24"/>
      <c r="P230" s="19" t="str">
        <f t="shared" si="0"/>
        <v/>
      </c>
      <c r="Q230" s="19" t="str">
        <f ca="1">IFERROR(__xludf.DUMMYFUNCTION("IMPORTXML(AI230, ""//li[strong[text()='US Units:']]"")"),"Loading...")</f>
        <v>Loading...</v>
      </c>
      <c r="R230" s="24"/>
      <c r="S230" s="19" t="str">
        <f ca="1">IFERROR(__xludf.DUMMYFUNCTION("IMPORTXML(AI230, ""//li[strong[text()='International Units:']]"")"),"Loading...")</f>
        <v>Loading...</v>
      </c>
      <c r="T230" s="44"/>
      <c r="U230" s="19" t="str">
        <f ca="1">IFERROR(__xludf.DUMMYFUNCTION("IMPORTXML(AI230, ""//li[strong[text()='Percent Franchised:']]"")"),"Loading...")</f>
        <v>Loading...</v>
      </c>
      <c r="V230" s="24"/>
      <c r="W230" s="19" t="str">
        <f ca="1">IFERROR(__xludf.DUMMYFUNCTION("IMPORTXML(AI230, ""//li[strong[text()='% International Units:']]"")"),"Loading...")</f>
        <v>Loading...</v>
      </c>
      <c r="X230" s="24"/>
      <c r="Y230" s="19" t="str">
        <f ca="1">IFERROR(__xludf.DUMMYFUNCTION("IMPORTXML(AI230, ""//li[strong[text()='US Franchised Units:']]"")"),"Loading...")</f>
        <v>Loading...</v>
      </c>
      <c r="Z230" s="24"/>
      <c r="AA230" s="14" t="str">
        <f t="shared" si="1"/>
        <v/>
      </c>
      <c r="AB230" s="19" t="str">
        <f ca="1">IFERROR(__xludf.DUMMYFUNCTION("IMPORTXML(AI230, ""//li[strong[text()='International Franchised Units:']]"")"),"Loading...")</f>
        <v>Loading...</v>
      </c>
      <c r="AC230" s="24"/>
      <c r="AD230" s="14" t="str">
        <f t="shared" si="2"/>
        <v/>
      </c>
      <c r="AE230" s="25" t="str">
        <f ca="1">IFERROR(__xludf.DUMMYFUNCTION("IMPORTXML(AI230, ""//li[strong[text()='Sales Growth %:']]"")"),"Loading...")</f>
        <v>Loading...</v>
      </c>
      <c r="AF230" s="24"/>
      <c r="AG230" s="25" t="str">
        <f ca="1">IFERROR(__xludf.DUMMYFUNCTION("IMPORTXML(AI230, ""//li[strong[text()='Unit Growth %:']]"")"),"Unit Growth %:")</f>
        <v>Unit Growth %:</v>
      </c>
      <c r="AH230" s="25" t="str">
        <f ca="1">IFERROR(__xludf.DUMMYFUNCTION("""COMPUTED_VALUE""")," 0.2%")</f>
        <v xml:space="preserve"> 0.2%</v>
      </c>
      <c r="AI230" s="48" t="s">
        <v>239</v>
      </c>
      <c r="AJ230" s="27"/>
      <c r="AK230" s="27"/>
      <c r="AL230" s="27"/>
      <c r="AM230" s="27"/>
      <c r="AN230" s="27"/>
      <c r="AO230" s="27"/>
      <c r="AP230" s="27"/>
      <c r="AQ230" s="27"/>
    </row>
    <row r="231" spans="1:43" ht="14.25" customHeight="1">
      <c r="A231" s="42">
        <v>24.23</v>
      </c>
      <c r="B231" s="14">
        <v>2024</v>
      </c>
      <c r="C231" s="36">
        <v>230</v>
      </c>
      <c r="D231" s="16" t="str">
        <f ca="1">IFERROR(__xludf.DUMMYFUNCTION("IMPORTXML(AI231, ""//h1[@itemprop='headline']/span"")"),"230. Playa Bowls")</f>
        <v>230. Playa Bowls</v>
      </c>
      <c r="E231" s="17" t="str">
        <f ca="1">IFERROR(__xludf.DUMMYFUNCTION("REGEXEXTRACT(D231, ""\.\s*(.+)"")"),"Playa Bowls")</f>
        <v>Playa Bowls</v>
      </c>
      <c r="F231" s="18" t="str">
        <f ca="1">IFERROR(__xludf.DUMMYFUNCTION("IMPORTXML(AI231, ""//li[strong[text()='Investment Range:']]"")"),"Investment Range:")</f>
        <v>Investment Range:</v>
      </c>
      <c r="G231" s="43" t="str">
        <f ca="1">IFERROR(__xludf.DUMMYFUNCTION("""COMPUTED_VALUE""")," $188,675 - $636,458")</f>
        <v xml:space="preserve"> $188,675 - $636,458</v>
      </c>
      <c r="H231" s="18" t="str">
        <f ca="1">IFERROR(__xludf.DUMMYFUNCTION("SUBSTITUTE(REGEXEXTRACT(G231, ""\$(\d{1,3}(?:,\d{3})*)""), "","", ""."")
"),"188.675")</f>
        <v>188.675</v>
      </c>
      <c r="I231" s="19" t="str">
        <f ca="1">IFERROR(__xludf.DUMMYFUNCTION("SUBSTITUTE(REGEXEXTRACT(G231, ""-\s*\$(\d{1,3}(?:,\d{3})*)""), "","", ""."")
"),"636.458")</f>
        <v>636.458</v>
      </c>
      <c r="J231" s="19" t="str">
        <f ca="1">IFERROR(__xludf.DUMMYFUNCTION("IMPORTXML(AI231, ""//li[strong[text()='Initial Investment:']]"")"),"Loading...")</f>
        <v>Loading...</v>
      </c>
      <c r="K231" s="24"/>
      <c r="L231" s="20" t="str">
        <f ca="1">IFERROR(__xludf.DUMMYFUNCTION("IMPORTXML(AI231, ""//li[strong[text()='Category:']]"")"),"Loading...")</f>
        <v>Loading...</v>
      </c>
      <c r="M231" s="24"/>
      <c r="N231" s="19" t="str">
        <f ca="1">IFERROR(__xludf.DUMMYFUNCTION("IMPORTXML(AI231, ""//li[strong[text()='Global Sales:']]"")"),"Global Sales:")</f>
        <v>Global Sales:</v>
      </c>
      <c r="O231" s="24" t="str">
        <f ca="1">IFERROR(__xludf.DUMMYFUNCTION("""COMPUTED_VALUE""")," $225,022,992")</f>
        <v xml:space="preserve"> $225,022,992</v>
      </c>
      <c r="P231" s="19" t="str">
        <f t="shared" ca="1" si="0"/>
        <v xml:space="preserve"> 225.022.992</v>
      </c>
      <c r="Q231" s="19" t="str">
        <f ca="1">IFERROR(__xludf.DUMMYFUNCTION("IMPORTXML(AI231, ""//li[strong[text()='US Units:']]"")"),"US Units:")</f>
        <v>US Units:</v>
      </c>
      <c r="R231" s="24">
        <f ca="1">IFERROR(__xludf.DUMMYFUNCTION("""COMPUTED_VALUE"""),243)</f>
        <v>243</v>
      </c>
      <c r="S231" s="19" t="str">
        <f ca="1">IFERROR(__xludf.DUMMYFUNCTION("IMPORTXML(AI231, ""//li[strong[text()='International Units:']]"")"),"Loading...")</f>
        <v>Loading...</v>
      </c>
      <c r="T231" s="44"/>
      <c r="U231" s="19" t="str">
        <f ca="1">IFERROR(__xludf.DUMMYFUNCTION("IMPORTXML(AI231, ""//li[strong[text()='Percent Franchised:']]"")"),"Loading...")</f>
        <v>Loading...</v>
      </c>
      <c r="V231" s="24"/>
      <c r="W231" s="19" t="str">
        <f ca="1">IFERROR(__xludf.DUMMYFUNCTION("IMPORTXML(AI231, ""//li[strong[text()='% International Units:']]"")"),"Loading...")</f>
        <v>Loading...</v>
      </c>
      <c r="X231" s="24"/>
      <c r="Y231" s="19" t="str">
        <f ca="1">IFERROR(__xludf.DUMMYFUNCTION("IMPORTXML(AI231, ""//li[strong[text()='US Franchised Units:']]"")"),"Loading...")</f>
        <v>Loading...</v>
      </c>
      <c r="Z231" s="24"/>
      <c r="AA231" s="14" t="str">
        <f t="shared" si="1"/>
        <v/>
      </c>
      <c r="AB231" s="19" t="str">
        <f ca="1">IFERROR(__xludf.DUMMYFUNCTION("IMPORTXML(AI231, ""//li[strong[text()='International Franchised Units:']]"")"),"Loading...")</f>
        <v>Loading...</v>
      </c>
      <c r="AC231" s="24"/>
      <c r="AD231" s="14" t="str">
        <f t="shared" si="2"/>
        <v/>
      </c>
      <c r="AE231" s="25" t="str">
        <f ca="1">IFERROR(__xludf.DUMMYFUNCTION("IMPORTXML(AI231, ""//li[strong[text()='Sales Growth %:']]"")"),"Loading...")</f>
        <v>Loading...</v>
      </c>
      <c r="AF231" s="24"/>
      <c r="AG231" s="25" t="str">
        <f ca="1">IFERROR(__xludf.DUMMYFUNCTION("IMPORTXML(AI231, ""//li[strong[text()='Unit Growth %:']]"")"),"Loading...")</f>
        <v>Loading...</v>
      </c>
      <c r="AH231" s="25"/>
      <c r="AI231" s="48" t="s">
        <v>240</v>
      </c>
      <c r="AJ231" s="27"/>
      <c r="AK231" s="27"/>
      <c r="AL231" s="27"/>
      <c r="AM231" s="27"/>
      <c r="AN231" s="27"/>
      <c r="AO231" s="27"/>
      <c r="AP231" s="27"/>
      <c r="AQ231" s="27"/>
    </row>
    <row r="232" spans="1:43" ht="14.25" customHeight="1">
      <c r="A232" s="42">
        <v>24.231000000000002</v>
      </c>
      <c r="B232" s="14">
        <v>2024</v>
      </c>
      <c r="C232" s="36">
        <v>231</v>
      </c>
      <c r="D232" s="16" t="str">
        <f ca="1">IFERROR(__xludf.DUMMYFUNCTION("IMPORTXML(AI232, ""//h1[@itemprop='headline']/span"")"),"231. Beef O Brady's")</f>
        <v>231. Beef O Brady's</v>
      </c>
      <c r="E232" s="17" t="str">
        <f ca="1">IFERROR(__xludf.DUMMYFUNCTION("REGEXEXTRACT(D232, ""\.\s*(.+)"")"),"Beef O Brady's")</f>
        <v>Beef O Brady's</v>
      </c>
      <c r="F232" s="18" t="str">
        <f ca="1">IFERROR(__xludf.DUMMYFUNCTION("IMPORTXML(AI232, ""//li[strong[text()='Investment Range:']]"")"),"Investment Range:")</f>
        <v>Investment Range:</v>
      </c>
      <c r="G232" s="43" t="str">
        <f ca="1">IFERROR(__xludf.DUMMYFUNCTION("""COMPUTED_VALUE""")," $812,850 - $1,475,375")</f>
        <v xml:space="preserve"> $812,850 - $1,475,375</v>
      </c>
      <c r="H232" s="18" t="str">
        <f ca="1">IFERROR(__xludf.DUMMYFUNCTION("SUBSTITUTE(REGEXEXTRACT(G232, ""\$(\d{1,3}(?:,\d{3})*)""), "","", ""."")
"),"812.850")</f>
        <v>812.850</v>
      </c>
      <c r="I232" s="19" t="str">
        <f ca="1">IFERROR(__xludf.DUMMYFUNCTION("SUBSTITUTE(REGEXEXTRACT(G232, ""-\s*\$(\d{1,3}(?:,\d{3})*)""), "","", ""."")
"),"1.475.375")</f>
        <v>1.475.375</v>
      </c>
      <c r="J232" s="19" t="str">
        <f ca="1">IFERROR(__xludf.DUMMYFUNCTION("IMPORTXML(AI232, ""//li[strong[text()='Initial Investment:']]"")"),"Loading...")</f>
        <v>Loading...</v>
      </c>
      <c r="K232" s="24"/>
      <c r="L232" s="20" t="str">
        <f ca="1">IFERROR(__xludf.DUMMYFUNCTION("IMPORTXML(AI232, ""//li[strong[text()='Category:']]"")"),"Loading...")</f>
        <v>Loading...</v>
      </c>
      <c r="M232" s="24"/>
      <c r="N232" s="19" t="str">
        <f ca="1">IFERROR(__xludf.DUMMYFUNCTION("IMPORTXML(AI232, ""//li[strong[text()='Global Sales:']]"")"),"Loading...")</f>
        <v>Loading...</v>
      </c>
      <c r="O232" s="24"/>
      <c r="P232" s="19" t="str">
        <f t="shared" si="0"/>
        <v/>
      </c>
      <c r="Q232" s="19" t="str">
        <f ca="1">IFERROR(__xludf.DUMMYFUNCTION("IMPORTXML(AI232, ""//li[strong[text()='US Units:']]"")"),"Loading...")</f>
        <v>Loading...</v>
      </c>
      <c r="R232" s="24"/>
      <c r="S232" s="19" t="str">
        <f ca="1">IFERROR(__xludf.DUMMYFUNCTION("IMPORTXML(AI232, ""//li[strong[text()='International Units:']]"")"),"Loading...")</f>
        <v>Loading...</v>
      </c>
      <c r="T232" s="44"/>
      <c r="U232" s="19" t="str">
        <f ca="1">IFERROR(__xludf.DUMMYFUNCTION("IMPORTXML(AI232, ""//li[strong[text()='Percent Franchised:']]"")"),"Loading...")</f>
        <v>Loading...</v>
      </c>
      <c r="V232" s="24"/>
      <c r="W232" s="19" t="str">
        <f ca="1">IFERROR(__xludf.DUMMYFUNCTION("IMPORTXML(AI232, ""//li[strong[text()='% International Units:']]"")"),"Loading...")</f>
        <v>Loading...</v>
      </c>
      <c r="X232" s="24"/>
      <c r="Y232" s="19" t="str">
        <f ca="1">IFERROR(__xludf.DUMMYFUNCTION("IMPORTXML(AI232, ""//li[strong[text()='US Franchised Units:']]"")"),"Loading...")</f>
        <v>Loading...</v>
      </c>
      <c r="Z232" s="24"/>
      <c r="AA232" s="14" t="str">
        <f t="shared" si="1"/>
        <v/>
      </c>
      <c r="AB232" s="19" t="str">
        <f ca="1">IFERROR(__xludf.DUMMYFUNCTION("IMPORTXML(AI232, ""//li[strong[text()='International Franchised Units:']]"")"),"Loading...")</f>
        <v>Loading...</v>
      </c>
      <c r="AC232" s="24"/>
      <c r="AD232" s="14" t="str">
        <f t="shared" si="2"/>
        <v/>
      </c>
      <c r="AE232" s="25" t="str">
        <f ca="1">IFERROR(__xludf.DUMMYFUNCTION("IMPORTXML(AI232, ""//li[strong[text()='Sales Growth %:']]"")"),"Loading...")</f>
        <v>Loading...</v>
      </c>
      <c r="AF232" s="24"/>
      <c r="AG232" s="25" t="str">
        <f ca="1">IFERROR(__xludf.DUMMYFUNCTION("IMPORTXML(AI232, ""//li[strong[text()='Unit Growth %:']]"")"),"Loading...")</f>
        <v>Loading...</v>
      </c>
      <c r="AH232" s="25"/>
      <c r="AI232" s="48" t="s">
        <v>241</v>
      </c>
      <c r="AJ232" s="27"/>
      <c r="AK232" s="27"/>
      <c r="AL232" s="27"/>
      <c r="AM232" s="27"/>
      <c r="AN232" s="27"/>
      <c r="AO232" s="27"/>
      <c r="AP232" s="27"/>
      <c r="AQ232" s="27"/>
    </row>
    <row r="233" spans="1:43" ht="14.25" customHeight="1">
      <c r="A233" s="42">
        <v>24.231999999999999</v>
      </c>
      <c r="B233" s="14">
        <v>2024</v>
      </c>
      <c r="C233" s="15">
        <v>232</v>
      </c>
      <c r="D233" s="16" t="str">
        <f ca="1">IFERROR(__xludf.DUMMYFUNCTION("IMPORTXML(AI233, ""//h1[@itemprop='headline']/span"")"),"232. L&amp;L Hawaiian Barbecue")</f>
        <v>232. L&amp;L Hawaiian Barbecue</v>
      </c>
      <c r="E233" s="17" t="str">
        <f ca="1">IFERROR(__xludf.DUMMYFUNCTION("REGEXEXTRACT(D233, ""\.\s*(.+)"")"),"L&amp;L Hawaiian Barbecue")</f>
        <v>L&amp;L Hawaiian Barbecue</v>
      </c>
      <c r="F233" s="18" t="str">
        <f ca="1">IFERROR(__xludf.DUMMYFUNCTION("IMPORTXML(AI233, ""//li[strong[text()='Investment Range:']]"")"),"Investment Range:")</f>
        <v>Investment Range:</v>
      </c>
      <c r="G233" s="43" t="str">
        <f ca="1">IFERROR(__xludf.DUMMYFUNCTION("""COMPUTED_VALUE""")," $210,190 - $839,860")</f>
        <v xml:space="preserve"> $210,190 - $839,860</v>
      </c>
      <c r="H233" s="18" t="str">
        <f ca="1">IFERROR(__xludf.DUMMYFUNCTION("SUBSTITUTE(REGEXEXTRACT(G233, ""\$(\d{1,3}(?:,\d{3})*)""), "","", ""."")
"),"210.190")</f>
        <v>210.190</v>
      </c>
      <c r="I233" s="19" t="str">
        <f ca="1">IFERROR(__xludf.DUMMYFUNCTION("SUBSTITUTE(REGEXEXTRACT(G233, ""-\s*\$(\d{1,3}(?:,\d{3})*)""), "","", ""."")
"),"839.860")</f>
        <v>839.860</v>
      </c>
      <c r="J233" s="19" t="str">
        <f ca="1">IFERROR(__xludf.DUMMYFUNCTION("IMPORTXML(AI233, ""//li[strong[text()='Initial Investment:']]"")"),"Loading...")</f>
        <v>Loading...</v>
      </c>
      <c r="K233" s="24"/>
      <c r="L233" s="20" t="str">
        <f ca="1">IFERROR(__xludf.DUMMYFUNCTION("IMPORTXML(AI233, ""//li[strong[text()='Category:']]"")"),"Loading...")</f>
        <v>Loading...</v>
      </c>
      <c r="M233" s="24"/>
      <c r="N233" s="19" t="str">
        <f ca="1">IFERROR(__xludf.DUMMYFUNCTION("IMPORTXML(AI233, ""//li[strong[text()='Global Sales:']]"")"),"Loading...")</f>
        <v>Loading...</v>
      </c>
      <c r="O233" s="24"/>
      <c r="P233" s="19" t="str">
        <f t="shared" si="0"/>
        <v/>
      </c>
      <c r="Q233" s="19" t="str">
        <f ca="1">IFERROR(__xludf.DUMMYFUNCTION("IMPORTXML(AI233, ""//li[strong[text()='US Units:']]"")"),"Loading...")</f>
        <v>Loading...</v>
      </c>
      <c r="R233" s="24"/>
      <c r="S233" s="19" t="str">
        <f ca="1">IFERROR(__xludf.DUMMYFUNCTION("IMPORTXML(AI233, ""//li[strong[text()='International Units:']]"")"),"Loading...")</f>
        <v>Loading...</v>
      </c>
      <c r="T233" s="44"/>
      <c r="U233" s="19" t="str">
        <f ca="1">IFERROR(__xludf.DUMMYFUNCTION("IMPORTXML(AI233, ""//li[strong[text()='Percent Franchised:']]"")"),"Loading...")</f>
        <v>Loading...</v>
      </c>
      <c r="V233" s="24"/>
      <c r="W233" s="19" t="str">
        <f ca="1">IFERROR(__xludf.DUMMYFUNCTION("IMPORTXML(AI233, ""//li[strong[text()='% International Units:']]"")"),"Loading...")</f>
        <v>Loading...</v>
      </c>
      <c r="X233" s="24"/>
      <c r="Y233" s="19" t="str">
        <f ca="1">IFERROR(__xludf.DUMMYFUNCTION("IMPORTXML(AI233, ""//li[strong[text()='US Franchised Units:']]"")"),"Loading...")</f>
        <v>Loading...</v>
      </c>
      <c r="Z233" s="24"/>
      <c r="AA233" s="14" t="str">
        <f t="shared" si="1"/>
        <v/>
      </c>
      <c r="AB233" s="19" t="str">
        <f ca="1">IFERROR(__xludf.DUMMYFUNCTION("IMPORTXML(AI233, ""//li[strong[text()='International Franchised Units:']]"")"),"Loading...")</f>
        <v>Loading...</v>
      </c>
      <c r="AC233" s="24"/>
      <c r="AD233" s="14" t="str">
        <f t="shared" si="2"/>
        <v/>
      </c>
      <c r="AE233" s="25" t="str">
        <f ca="1">IFERROR(__xludf.DUMMYFUNCTION("IMPORTXML(AI233, ""//li[strong[text()='Sales Growth %:']]"")"),"Loading...")</f>
        <v>Loading...</v>
      </c>
      <c r="AF233" s="24"/>
      <c r="AG233" s="25" t="str">
        <f ca="1">IFERROR(__xludf.DUMMYFUNCTION("IMPORTXML(AI233, ""//li[strong[text()='Unit Growth %:']]"")"),"Loading...")</f>
        <v>Loading...</v>
      </c>
      <c r="AH233" s="25"/>
      <c r="AI233" s="48" t="s">
        <v>242</v>
      </c>
      <c r="AJ233" s="27"/>
      <c r="AK233" s="27"/>
      <c r="AL233" s="27"/>
      <c r="AM233" s="27"/>
      <c r="AN233" s="27"/>
      <c r="AO233" s="27"/>
      <c r="AP233" s="27"/>
      <c r="AQ233" s="27"/>
    </row>
    <row r="234" spans="1:43" ht="14.25" customHeight="1">
      <c r="A234" s="42">
        <v>24.233000000000001</v>
      </c>
      <c r="B234" s="14">
        <v>2024</v>
      </c>
      <c r="C234" s="32">
        <v>233</v>
      </c>
      <c r="D234" s="16" t="str">
        <f ca="1">IFERROR(__xludf.DUMMYFUNCTION("IMPORTXML(AI234, ""//h1[@itemprop='headline']/span"")"),"233. Lawn Doctor")</f>
        <v>233. Lawn Doctor</v>
      </c>
      <c r="E234" s="17" t="str">
        <f ca="1">IFERROR(__xludf.DUMMYFUNCTION("REGEXEXTRACT(D234, ""\.\s*(.+)"")"),"Lawn Doctor")</f>
        <v>Lawn Doctor</v>
      </c>
      <c r="F234" s="18" t="str">
        <f ca="1">IFERROR(__xludf.DUMMYFUNCTION("IMPORTXML(AI234, ""//li[strong[text()='Investment Range:']]"")"),"Investment Range:")</f>
        <v>Investment Range:</v>
      </c>
      <c r="G234" s="43" t="str">
        <f ca="1">IFERROR(__xludf.DUMMYFUNCTION("""COMPUTED_VALUE""")," $133,475 - $149,027")</f>
        <v xml:space="preserve"> $133,475 - $149,027</v>
      </c>
      <c r="H234" s="18" t="str">
        <f ca="1">IFERROR(__xludf.DUMMYFUNCTION("SUBSTITUTE(REGEXEXTRACT(G234, ""\$(\d{1,3}(?:,\d{3})*)""), "","", ""."")
"),"133.475")</f>
        <v>133.475</v>
      </c>
      <c r="I234" s="19" t="str">
        <f ca="1">IFERROR(__xludf.DUMMYFUNCTION("SUBSTITUTE(REGEXEXTRACT(G234, ""-\s*\$(\d{1,3}(?:,\d{3})*)""), "","", ""."")
"),"149.027")</f>
        <v>149.027</v>
      </c>
      <c r="J234" s="19" t="str">
        <f ca="1">IFERROR(__xludf.DUMMYFUNCTION("IMPORTXML(AI234, ""//li[strong[text()='Initial Investment:']]"")"),"Initial Investment:")</f>
        <v>Initial Investment:</v>
      </c>
      <c r="K234" s="24" t="str">
        <f ca="1">IFERROR(__xludf.DUMMYFUNCTION("""COMPUTED_VALUE""")," $118,950 - $122,000")</f>
        <v xml:space="preserve"> $118,950 - $122,000</v>
      </c>
      <c r="L234" s="20" t="str">
        <f ca="1">IFERROR(__xludf.DUMMYFUNCTION("IMPORTXML(AI234, ""//li[strong[text()='Category:']]"")"),"Category:")</f>
        <v>Category:</v>
      </c>
      <c r="M234" s="24" t="str">
        <f ca="1">IFERROR(__xludf.DUMMYFUNCTION("""COMPUTED_VALUE""")," Home Services")</f>
        <v xml:space="preserve"> Home Services</v>
      </c>
      <c r="N234" s="19" t="str">
        <f ca="1">IFERROR(__xludf.DUMMYFUNCTION("IMPORTXML(AI234, ""//li[strong[text()='Global Sales:']]"")"),"Loading...")</f>
        <v>Loading...</v>
      </c>
      <c r="O234" s="24"/>
      <c r="P234" s="19" t="str">
        <f t="shared" si="0"/>
        <v/>
      </c>
      <c r="Q234" s="19" t="str">
        <f ca="1">IFERROR(__xludf.DUMMYFUNCTION("IMPORTXML(AI234, ""//li[strong[text()='US Units:']]"")"),"Loading...")</f>
        <v>Loading...</v>
      </c>
      <c r="R234" s="24"/>
      <c r="S234" s="19" t="str">
        <f ca="1">IFERROR(__xludf.DUMMYFUNCTION("IMPORTXML(AI234, ""//li[strong[text()='International Units:']]"")"),"Loading...")</f>
        <v>Loading...</v>
      </c>
      <c r="T234" s="44"/>
      <c r="U234" s="19" t="str">
        <f ca="1">IFERROR(__xludf.DUMMYFUNCTION("IMPORTXML(AI234, ""//li[strong[text()='Percent Franchised:']]"")"),"Loading...")</f>
        <v>Loading...</v>
      </c>
      <c r="V234" s="24"/>
      <c r="W234" s="19" t="str">
        <f ca="1">IFERROR(__xludf.DUMMYFUNCTION("IMPORTXML(AI234, ""//li[strong[text()='% International Units:']]"")"),"Loading...")</f>
        <v>Loading...</v>
      </c>
      <c r="X234" s="24"/>
      <c r="Y234" s="19" t="str">
        <f ca="1">IFERROR(__xludf.DUMMYFUNCTION("IMPORTXML(AI234, ""//li[strong[text()='US Franchised Units:']]"")"),"Loading...")</f>
        <v>Loading...</v>
      </c>
      <c r="Z234" s="24"/>
      <c r="AA234" s="14" t="str">
        <f t="shared" si="1"/>
        <v/>
      </c>
      <c r="AB234" s="19" t="str">
        <f ca="1">IFERROR(__xludf.DUMMYFUNCTION("IMPORTXML(AI234, ""//li[strong[text()='International Franchised Units:']]"")"),"Loading...")</f>
        <v>Loading...</v>
      </c>
      <c r="AC234" s="24"/>
      <c r="AD234" s="14" t="str">
        <f t="shared" si="2"/>
        <v/>
      </c>
      <c r="AE234" s="25" t="str">
        <f ca="1">IFERROR(__xludf.DUMMYFUNCTION("IMPORTXML(AI234, ""//li[strong[text()='Sales Growth %:']]"")"),"Loading...")</f>
        <v>Loading...</v>
      </c>
      <c r="AF234" s="24"/>
      <c r="AG234" s="25" t="str">
        <f ca="1">IFERROR(__xludf.DUMMYFUNCTION("IMPORTXML(AI234, ""//li[strong[text()='Unit Growth %:']]"")"),"Loading...")</f>
        <v>Loading...</v>
      </c>
      <c r="AH234" s="25"/>
      <c r="AI234" s="48" t="s">
        <v>243</v>
      </c>
      <c r="AJ234" s="27"/>
      <c r="AK234" s="27"/>
      <c r="AL234" s="27"/>
      <c r="AM234" s="27"/>
      <c r="AN234" s="27"/>
      <c r="AO234" s="27"/>
      <c r="AP234" s="27"/>
      <c r="AQ234" s="27"/>
    </row>
    <row r="235" spans="1:43" ht="14.25" customHeight="1">
      <c r="A235" s="42">
        <v>24.234000000000002</v>
      </c>
      <c r="B235" s="14">
        <v>2024</v>
      </c>
      <c r="C235" s="36">
        <v>234</v>
      </c>
      <c r="D235" s="16" t="str">
        <f ca="1">IFERROR(__xludf.DUMMYFUNCTION("IMPORTXML(AI235, ""//h1[@itemprop='headline']/span"")"),"234. Huddle House")</f>
        <v>234. Huddle House</v>
      </c>
      <c r="E235" s="17" t="str">
        <f ca="1">IFERROR(__xludf.DUMMYFUNCTION("REGEXEXTRACT(D235, ""\.\s*(.+)"")"),"Huddle House")</f>
        <v>Huddle House</v>
      </c>
      <c r="F235" s="18" t="str">
        <f ca="1">IFERROR(__xludf.DUMMYFUNCTION("IMPORTXML(AI235, ""//li[strong[text()='Investment Range:']]"")"),"Investment Range:")</f>
        <v>Investment Range:</v>
      </c>
      <c r="G235" s="43" t="str">
        <f ca="1">IFERROR(__xludf.DUMMYFUNCTION("""COMPUTED_VALUE""")," $576,310 - $1,421,175")</f>
        <v xml:space="preserve"> $576,310 - $1,421,175</v>
      </c>
      <c r="H235" s="18" t="str">
        <f ca="1">IFERROR(__xludf.DUMMYFUNCTION("SUBSTITUTE(REGEXEXTRACT(G235, ""\$(\d{1,3}(?:,\d{3})*)""), "","", ""."")
"),"576.310")</f>
        <v>576.310</v>
      </c>
      <c r="I235" s="19" t="str">
        <f ca="1">IFERROR(__xludf.DUMMYFUNCTION("SUBSTITUTE(REGEXEXTRACT(G235, ""-\s*\$(\d{1,3}(?:,\d{3})*)""), "","", ""."")
"),"1.421.175")</f>
        <v>1.421.175</v>
      </c>
      <c r="J235" s="19" t="str">
        <f ca="1">IFERROR(__xludf.DUMMYFUNCTION("IMPORTXML(AI235, ""//li[strong[text()='Initial Investment:']]"")"),"Initial Investment:")</f>
        <v>Initial Investment:</v>
      </c>
      <c r="K235" s="24" t="str">
        <f ca="1">IFERROR(__xludf.DUMMYFUNCTION("""COMPUTED_VALUE""")," $35,000")</f>
        <v xml:space="preserve"> $35,000</v>
      </c>
      <c r="L235" s="20" t="str">
        <f ca="1">IFERROR(__xludf.DUMMYFUNCTION("IMPORTXML(AI235, ""//li[strong[text()='Category:']]"")"),"Loading...")</f>
        <v>Loading...</v>
      </c>
      <c r="M235" s="24"/>
      <c r="N235" s="19" t="str">
        <f ca="1">IFERROR(__xludf.DUMMYFUNCTION("IMPORTXML(AI235, ""//li[strong[text()='Global Sales:']]"")"),"Loading...")</f>
        <v>Loading...</v>
      </c>
      <c r="O235" s="24"/>
      <c r="P235" s="19" t="str">
        <f t="shared" si="0"/>
        <v/>
      </c>
      <c r="Q235" s="19" t="str">
        <f ca="1">IFERROR(__xludf.DUMMYFUNCTION("IMPORTXML(AI235, ""//li[strong[text()='US Units:']]"")"),"Loading...")</f>
        <v>Loading...</v>
      </c>
      <c r="R235" s="24"/>
      <c r="S235" s="19" t="str">
        <f ca="1">IFERROR(__xludf.DUMMYFUNCTION("IMPORTXML(AI235, ""//li[strong[text()='International Units:']]"")"),"Loading...")</f>
        <v>Loading...</v>
      </c>
      <c r="T235" s="44"/>
      <c r="U235" s="19" t="str">
        <f ca="1">IFERROR(__xludf.DUMMYFUNCTION("IMPORTXML(AI235, ""//li[strong[text()='Percent Franchised:']]"")"),"Loading...")</f>
        <v>Loading...</v>
      </c>
      <c r="V235" s="24"/>
      <c r="W235" s="19" t="str">
        <f ca="1">IFERROR(__xludf.DUMMYFUNCTION("IMPORTXML(AI235, ""//li[strong[text()='% International Units:']]"")"),"Loading...")</f>
        <v>Loading...</v>
      </c>
      <c r="X235" s="24"/>
      <c r="Y235" s="19" t="str">
        <f ca="1">IFERROR(__xludf.DUMMYFUNCTION("IMPORTXML(AI235, ""//li[strong[text()='US Franchised Units:']]"")"),"Loading...")</f>
        <v>Loading...</v>
      </c>
      <c r="Z235" s="24"/>
      <c r="AA235" s="14" t="str">
        <f t="shared" si="1"/>
        <v/>
      </c>
      <c r="AB235" s="19" t="str">
        <f ca="1">IFERROR(__xludf.DUMMYFUNCTION("IMPORTXML(AI235, ""//li[strong[text()='International Franchised Units:']]"")"),"Loading...")</f>
        <v>Loading...</v>
      </c>
      <c r="AC235" s="24"/>
      <c r="AD235" s="14" t="str">
        <f t="shared" si="2"/>
        <v/>
      </c>
      <c r="AE235" s="25" t="str">
        <f ca="1">IFERROR(__xludf.DUMMYFUNCTION("IMPORTXML(AI235, ""//li[strong[text()='Sales Growth %:']]"")"),"Loading...")</f>
        <v>Loading...</v>
      </c>
      <c r="AF235" s="24"/>
      <c r="AG235" s="25" t="str">
        <f ca="1">IFERROR(__xludf.DUMMYFUNCTION("IMPORTXML(AI235, ""//li[strong[text()='Unit Growth %:']]"")"),"Loading...")</f>
        <v>Loading...</v>
      </c>
      <c r="AH235" s="25"/>
      <c r="AI235" s="48" t="s">
        <v>244</v>
      </c>
      <c r="AJ235" s="27"/>
      <c r="AK235" s="27"/>
      <c r="AL235" s="27"/>
      <c r="AM235" s="27"/>
      <c r="AN235" s="27"/>
      <c r="AO235" s="27"/>
      <c r="AP235" s="27"/>
      <c r="AQ235" s="27"/>
    </row>
    <row r="236" spans="1:43" ht="14.25" customHeight="1">
      <c r="A236" s="42">
        <v>24.234999999999999</v>
      </c>
      <c r="B236" s="14">
        <v>2024</v>
      </c>
      <c r="C236" s="36">
        <v>235</v>
      </c>
      <c r="D236" s="16" t="str">
        <f ca="1">IFERROR(__xludf.DUMMYFUNCTION("IMPORTXML(AI236, ""//h1[@itemprop='headline']/span"")"),"235. The Melting Pot")</f>
        <v>235. The Melting Pot</v>
      </c>
      <c r="E236" s="17" t="str">
        <f ca="1">IFERROR(__xludf.DUMMYFUNCTION("REGEXEXTRACT(D236, ""\.\s*(.+)"")"),"The Melting Pot")</f>
        <v>The Melting Pot</v>
      </c>
      <c r="F236" s="18" t="str">
        <f ca="1">IFERROR(__xludf.DUMMYFUNCTION("IMPORTXML(AI236, ""//li[strong[text()='Investment Range:']]"")"),"#N/A")</f>
        <v>#N/A</v>
      </c>
      <c r="G236" s="43"/>
      <c r="H236" s="18" t="str">
        <f ca="1">IFERROR(__xludf.DUMMYFUNCTION("SUBSTITUTE(REGEXEXTRACT(G236, ""\$(\d{1,3}(?:,\d{3})*)""), "","", ""."")
"),"#N/A")</f>
        <v>#N/A</v>
      </c>
      <c r="I236" s="19" t="str">
        <f ca="1">IFERROR(__xludf.DUMMYFUNCTION("SUBSTITUTE(REGEXEXTRACT(G236, ""-\s*\$(\d{1,3}(?:,\d{3})*)""), "","", ""."")
"),"#N/A")</f>
        <v>#N/A</v>
      </c>
      <c r="J236" s="19" t="str">
        <f ca="1">IFERROR(__xludf.DUMMYFUNCTION("IMPORTXML(AI236, ""//li[strong[text()='Initial Investment:']]"")"),"Loading...")</f>
        <v>Loading...</v>
      </c>
      <c r="K236" s="24"/>
      <c r="L236" s="20" t="str">
        <f ca="1">IFERROR(__xludf.DUMMYFUNCTION("IMPORTXML(AI236, ""//li[strong[text()='Category:']]"")"),"Loading...")</f>
        <v>Loading...</v>
      </c>
      <c r="M236" s="24"/>
      <c r="N236" s="19" t="str">
        <f ca="1">IFERROR(__xludf.DUMMYFUNCTION("IMPORTXML(AI236, ""//li[strong[text()='Global Sales:']]"")"),"Loading...")</f>
        <v>Loading...</v>
      </c>
      <c r="O236" s="24"/>
      <c r="P236" s="19" t="str">
        <f t="shared" si="0"/>
        <v/>
      </c>
      <c r="Q236" s="19" t="str">
        <f ca="1">IFERROR(__xludf.DUMMYFUNCTION("IMPORTXML(AI236, ""//li[strong[text()='US Units:']]"")"),"Loading...")</f>
        <v>Loading...</v>
      </c>
      <c r="R236" s="24"/>
      <c r="S236" s="19" t="str">
        <f ca="1">IFERROR(__xludf.DUMMYFUNCTION("IMPORTXML(AI236, ""//li[strong[text()='International Units:']]"")"),"Loading...")</f>
        <v>Loading...</v>
      </c>
      <c r="T236" s="44"/>
      <c r="U236" s="19" t="str">
        <f ca="1">IFERROR(__xludf.DUMMYFUNCTION("IMPORTXML(AI236, ""//li[strong[text()='Percent Franchised:']]"")"),"Loading...")</f>
        <v>Loading...</v>
      </c>
      <c r="V236" s="24"/>
      <c r="W236" s="19" t="str">
        <f ca="1">IFERROR(__xludf.DUMMYFUNCTION("IMPORTXML(AI236, ""//li[strong[text()='% International Units:']]"")"),"Loading...")</f>
        <v>Loading...</v>
      </c>
      <c r="X236" s="24"/>
      <c r="Y236" s="19" t="str">
        <f ca="1">IFERROR(__xludf.DUMMYFUNCTION("IMPORTXML(AI236, ""//li[strong[text()='US Franchised Units:']]"")"),"Loading...")</f>
        <v>Loading...</v>
      </c>
      <c r="Z236" s="24"/>
      <c r="AA236" s="14" t="str">
        <f t="shared" si="1"/>
        <v/>
      </c>
      <c r="AB236" s="19" t="str">
        <f ca="1">IFERROR(__xludf.DUMMYFUNCTION("IMPORTXML(AI236, ""//li[strong[text()='International Franchised Units:']]"")"),"Loading...")</f>
        <v>Loading...</v>
      </c>
      <c r="AC236" s="24"/>
      <c r="AD236" s="14" t="str">
        <f t="shared" si="2"/>
        <v/>
      </c>
      <c r="AE236" s="25" t="str">
        <f ca="1">IFERROR(__xludf.DUMMYFUNCTION("IMPORTXML(AI236, ""//li[strong[text()='Sales Growth %:']]"")"),"Loading...")</f>
        <v>Loading...</v>
      </c>
      <c r="AF236" s="24"/>
      <c r="AG236" s="25" t="str">
        <f ca="1">IFERROR(__xludf.DUMMYFUNCTION("IMPORTXML(AI236, ""//li[strong[text()='Unit Growth %:']]"")"),"Loading...")</f>
        <v>Loading...</v>
      </c>
      <c r="AH236" s="25"/>
      <c r="AI236" s="48" t="s">
        <v>245</v>
      </c>
      <c r="AJ236" s="27"/>
      <c r="AK236" s="27"/>
      <c r="AL236" s="27"/>
      <c r="AM236" s="27"/>
      <c r="AN236" s="27"/>
      <c r="AO236" s="27"/>
      <c r="AP236" s="27"/>
      <c r="AQ236" s="27"/>
    </row>
    <row r="237" spans="1:43" ht="14.25" customHeight="1">
      <c r="A237" s="42">
        <v>24.236000000000001</v>
      </c>
      <c r="B237" s="14">
        <v>2024</v>
      </c>
      <c r="C237" s="15">
        <v>236</v>
      </c>
      <c r="D237" s="16" t="str">
        <f ca="1">IFERROR(__xludf.DUMMYFUNCTION("IMPORTXML(AI237, ""//h1[@itemprop='headline']/span"")"),"236. Newk's Eatery")</f>
        <v>236. Newk's Eatery</v>
      </c>
      <c r="E237" s="17" t="str">
        <f ca="1">IFERROR(__xludf.DUMMYFUNCTION("REGEXEXTRACT(D237, ""\.\s*(.+)"")"),"Newk's Eatery")</f>
        <v>Newk's Eatery</v>
      </c>
      <c r="F237" s="18" t="str">
        <f ca="1">IFERROR(__xludf.DUMMYFUNCTION("IMPORTXML(AI237, ""//li[strong[text()='Investment Range:']]"")"),"#N/A")</f>
        <v>#N/A</v>
      </c>
      <c r="G237" s="43"/>
      <c r="H237" s="18" t="str">
        <f ca="1">IFERROR(__xludf.DUMMYFUNCTION("SUBSTITUTE(REGEXEXTRACT(G237, ""\$(\d{1,3}(?:,\d{3})*)""), "","", ""."")
"),"#N/A")</f>
        <v>#N/A</v>
      </c>
      <c r="I237" s="19" t="str">
        <f ca="1">IFERROR(__xludf.DUMMYFUNCTION("SUBSTITUTE(REGEXEXTRACT(G237, ""-\s*\$(\d{1,3}(?:,\d{3})*)""), "","", ""."")
"),"#N/A")</f>
        <v>#N/A</v>
      </c>
      <c r="J237" s="19" t="str">
        <f ca="1">IFERROR(__xludf.DUMMYFUNCTION("IMPORTXML(AI237, ""//li[strong[text()='Initial Investment:']]"")"),"#N/A")</f>
        <v>#N/A</v>
      </c>
      <c r="K237" s="24"/>
      <c r="L237" s="20" t="str">
        <f ca="1">IFERROR(__xludf.DUMMYFUNCTION("IMPORTXML(AI237, ""//li[strong[text()='Category:']]"")"),"Loading...")</f>
        <v>Loading...</v>
      </c>
      <c r="M237" s="24"/>
      <c r="N237" s="19" t="str">
        <f ca="1">IFERROR(__xludf.DUMMYFUNCTION("IMPORTXML(AI237, ""//li[strong[text()='Global Sales:']]"")"),"Loading...")</f>
        <v>Loading...</v>
      </c>
      <c r="O237" s="24"/>
      <c r="P237" s="19" t="str">
        <f t="shared" si="0"/>
        <v/>
      </c>
      <c r="Q237" s="19" t="str">
        <f ca="1">IFERROR(__xludf.DUMMYFUNCTION("IMPORTXML(AI237, ""//li[strong[text()='US Units:']]"")"),"Loading...")</f>
        <v>Loading...</v>
      </c>
      <c r="R237" s="24"/>
      <c r="S237" s="19" t="str">
        <f ca="1">IFERROR(__xludf.DUMMYFUNCTION("IMPORTXML(AI237, ""//li[strong[text()='International Units:']]"")"),"International Units:")</f>
        <v>International Units:</v>
      </c>
      <c r="T237" s="44">
        <f ca="1">IFERROR(__xludf.DUMMYFUNCTION("""COMPUTED_VALUE"""),0)</f>
        <v>0</v>
      </c>
      <c r="U237" s="19" t="str">
        <f ca="1">IFERROR(__xludf.DUMMYFUNCTION("IMPORTXML(AI237, ""//li[strong[text()='Percent Franchised:']]"")"),"Loading...")</f>
        <v>Loading...</v>
      </c>
      <c r="V237" s="24"/>
      <c r="W237" s="19" t="str">
        <f ca="1">IFERROR(__xludf.DUMMYFUNCTION("IMPORTXML(AI237, ""//li[strong[text()='% International Units:']]"")"),"Loading...")</f>
        <v>Loading...</v>
      </c>
      <c r="X237" s="24"/>
      <c r="Y237" s="19" t="str">
        <f ca="1">IFERROR(__xludf.DUMMYFUNCTION("IMPORTXML(AI237, ""//li[strong[text()='US Franchised Units:']]"")"),"Loading...")</f>
        <v>Loading...</v>
      </c>
      <c r="Z237" s="24"/>
      <c r="AA237" s="14" t="str">
        <f t="shared" si="1"/>
        <v/>
      </c>
      <c r="AB237" s="19" t="str">
        <f ca="1">IFERROR(__xludf.DUMMYFUNCTION("IMPORTXML(AI237, ""//li[strong[text()='International Franchised Units:']]"")"),"Loading...")</f>
        <v>Loading...</v>
      </c>
      <c r="AC237" s="24"/>
      <c r="AD237" s="14" t="str">
        <f t="shared" si="2"/>
        <v/>
      </c>
      <c r="AE237" s="25" t="str">
        <f ca="1">IFERROR(__xludf.DUMMYFUNCTION("IMPORTXML(AI237, ""//li[strong[text()='Sales Growth %:']]"")"),"Loading...")</f>
        <v>Loading...</v>
      </c>
      <c r="AF237" s="24"/>
      <c r="AG237" s="25" t="str">
        <f ca="1">IFERROR(__xludf.DUMMYFUNCTION("IMPORTXML(AI237, ""//li[strong[text()='Unit Growth %:']]"")"),"Loading...")</f>
        <v>Loading...</v>
      </c>
      <c r="AH237" s="25"/>
      <c r="AI237" s="48" t="s">
        <v>246</v>
      </c>
      <c r="AJ237" s="27"/>
      <c r="AK237" s="27"/>
      <c r="AL237" s="27"/>
      <c r="AM237" s="27"/>
      <c r="AN237" s="27"/>
      <c r="AO237" s="27"/>
      <c r="AP237" s="27"/>
      <c r="AQ237" s="27"/>
    </row>
    <row r="238" spans="1:43" ht="14.25" customHeight="1">
      <c r="A238" s="42">
        <v>24.236999999999998</v>
      </c>
      <c r="B238" s="14">
        <v>2024</v>
      </c>
      <c r="C238" s="32">
        <v>237</v>
      </c>
      <c r="D238" s="16" t="str">
        <f ca="1">IFERROR(__xludf.DUMMYFUNCTION("IMPORTXML(AI238, ""//h1[@itemprop='headline']/span"")"),"102. Club Pilates")</f>
        <v>102. Club Pilates</v>
      </c>
      <c r="E238" s="17" t="str">
        <f ca="1">IFERROR(__xludf.DUMMYFUNCTION("REGEXEXTRACT(D238, ""\.\s*(.+)"")"),"Club Pilates")</f>
        <v>Club Pilates</v>
      </c>
      <c r="F238" s="18" t="str">
        <f ca="1">IFERROR(__xludf.DUMMYFUNCTION("IMPORTXML(AI238, ""//li[strong[text()='Investment Range:']]"")"),"Investment Range:")</f>
        <v>Investment Range:</v>
      </c>
      <c r="G238" s="43" t="str">
        <f ca="1">IFERROR(__xludf.DUMMYFUNCTION("""COMPUTED_VALUE""")," $196,525 - $458,575")</f>
        <v xml:space="preserve"> $196,525 - $458,575</v>
      </c>
      <c r="H238" s="18" t="str">
        <f ca="1">IFERROR(__xludf.DUMMYFUNCTION("SUBSTITUTE(REGEXEXTRACT(G238, ""\$(\d{1,3}(?:,\d{3})*)""), "","", ""."")
"),"196.525")</f>
        <v>196.525</v>
      </c>
      <c r="I238" s="19" t="str">
        <f ca="1">IFERROR(__xludf.DUMMYFUNCTION("SUBSTITUTE(REGEXEXTRACT(G238, ""-\s*\$(\d{1,3}(?:,\d{3})*)""), "","", ""."")
"),"458.575")</f>
        <v>458.575</v>
      </c>
      <c r="J238" s="19" t="str">
        <f ca="1">IFERROR(__xludf.DUMMYFUNCTION("IMPORTXML(AI238, ""//li[strong[text()='Initial Investment:']]"")"),"Loading...")</f>
        <v>Loading...</v>
      </c>
      <c r="K238" s="24"/>
      <c r="L238" s="20" t="str">
        <f ca="1">IFERROR(__xludf.DUMMYFUNCTION("IMPORTXML(AI238, ""//li[strong[text()='Category:']]"")"),"Loading...")</f>
        <v>Loading...</v>
      </c>
      <c r="M238" s="24"/>
      <c r="N238" s="19" t="str">
        <f ca="1">IFERROR(__xludf.DUMMYFUNCTION("IMPORTXML(AI238, ""//li[strong[text()='Global Sales:']]"")"),"Loading...")</f>
        <v>Loading...</v>
      </c>
      <c r="O238" s="24"/>
      <c r="P238" s="19" t="str">
        <f t="shared" si="0"/>
        <v/>
      </c>
      <c r="Q238" s="19" t="str">
        <f ca="1">IFERROR(__xludf.DUMMYFUNCTION("IMPORTXML(AI238, ""//li[strong[text()='US Units:']]"")"),"Loading...")</f>
        <v>Loading...</v>
      </c>
      <c r="R238" s="24"/>
      <c r="S238" s="19" t="str">
        <f ca="1">IFERROR(__xludf.DUMMYFUNCTION("IMPORTXML(AI238, ""//li[strong[text()='International Units:']]"")"),"International Units:")</f>
        <v>International Units:</v>
      </c>
      <c r="T238" s="44">
        <f ca="1">IFERROR(__xludf.DUMMYFUNCTION("""COMPUTED_VALUE"""),83)</f>
        <v>83</v>
      </c>
      <c r="U238" s="19" t="str">
        <f ca="1">IFERROR(__xludf.DUMMYFUNCTION("IMPORTXML(AI238, ""//li[strong[text()='Percent Franchised:']]"")"),"Loading...")</f>
        <v>Loading...</v>
      </c>
      <c r="V238" s="24"/>
      <c r="W238" s="19" t="str">
        <f ca="1">IFERROR(__xludf.DUMMYFUNCTION("IMPORTXML(AI238, ""//li[strong[text()='% International Units:']]"")"),"Loading...")</f>
        <v>Loading...</v>
      </c>
      <c r="X238" s="24"/>
      <c r="Y238" s="19" t="str">
        <f ca="1">IFERROR(__xludf.DUMMYFUNCTION("IMPORTXML(AI238, ""//li[strong[text()='US Franchised Units:']]"")"),"Loading...")</f>
        <v>Loading...</v>
      </c>
      <c r="Z238" s="24"/>
      <c r="AA238" s="14" t="str">
        <f t="shared" si="1"/>
        <v/>
      </c>
      <c r="AB238" s="19" t="str">
        <f ca="1">IFERROR(__xludf.DUMMYFUNCTION("IMPORTXML(AI238, ""//li[strong[text()='International Franchised Units:']]"")"),"Loading...")</f>
        <v>Loading...</v>
      </c>
      <c r="AC238" s="24"/>
      <c r="AD238" s="14" t="str">
        <f t="shared" si="2"/>
        <v/>
      </c>
      <c r="AE238" s="25" t="str">
        <f ca="1">IFERROR(__xludf.DUMMYFUNCTION("IMPORTXML(AI238, ""//li[strong[text()='Sales Growth %:']]"")"),"Loading...")</f>
        <v>Loading...</v>
      </c>
      <c r="AF238" s="24"/>
      <c r="AG238" s="25" t="str">
        <f ca="1">IFERROR(__xludf.DUMMYFUNCTION("IMPORTXML(AI238, ""//li[strong[text()='Unit Growth %:']]"")"),"Loading...")</f>
        <v>Loading...</v>
      </c>
      <c r="AH238" s="25"/>
      <c r="AI238" s="48" t="s">
        <v>118</v>
      </c>
      <c r="AJ238" s="27"/>
      <c r="AK238" s="27"/>
      <c r="AL238" s="27"/>
      <c r="AM238" s="27"/>
      <c r="AN238" s="27"/>
      <c r="AO238" s="27"/>
      <c r="AP238" s="27"/>
      <c r="AQ238" s="27"/>
    </row>
    <row r="239" spans="1:43" ht="14.25" customHeight="1">
      <c r="A239" s="42">
        <v>24.238</v>
      </c>
      <c r="B239" s="14">
        <v>2024</v>
      </c>
      <c r="C239" s="36">
        <v>238</v>
      </c>
      <c r="D239" s="16" t="str">
        <f ca="1">IFERROR(__xludf.DUMMYFUNCTION("IMPORTXML(AI239, ""//h1[@itemprop='headline']/span"")"),"94. FASTSIGNS")</f>
        <v>94. FASTSIGNS</v>
      </c>
      <c r="E239" s="17" t="str">
        <f ca="1">IFERROR(__xludf.DUMMYFUNCTION("REGEXEXTRACT(D239, ""\.\s*(.+)"")"),"FASTSIGNS")</f>
        <v>FASTSIGNS</v>
      </c>
      <c r="F239" s="18" t="str">
        <f ca="1">IFERROR(__xludf.DUMMYFUNCTION("IMPORTXML(AI239, ""//li[strong[text()='Investment Range:']]"")"),"Investment Range:")</f>
        <v>Investment Range:</v>
      </c>
      <c r="G239" s="43" t="str">
        <f ca="1">IFERROR(__xludf.DUMMYFUNCTION("""COMPUTED_VALUE""")," $248,083 - $344,624")</f>
        <v xml:space="preserve"> $248,083 - $344,624</v>
      </c>
      <c r="H239" s="18" t="str">
        <f ca="1">IFERROR(__xludf.DUMMYFUNCTION("SUBSTITUTE(REGEXEXTRACT(G239, ""\$(\d{1,3}(?:,\d{3})*)""), "","", ""."")
"),"248.083")</f>
        <v>248.083</v>
      </c>
      <c r="I239" s="19" t="str">
        <f ca="1">IFERROR(__xludf.DUMMYFUNCTION("SUBSTITUTE(REGEXEXTRACT(G239, ""-\s*\$(\d{1,3}(?:,\d{3})*)""), "","", ""."")
"),"344.624")</f>
        <v>344.624</v>
      </c>
      <c r="J239" s="19" t="str">
        <f ca="1">IFERROR(__xludf.DUMMYFUNCTION("IMPORTXML(AI239, ""//li[strong[text()='Initial Investment:']]"")"),"Loading...")</f>
        <v>Loading...</v>
      </c>
      <c r="K239" s="24"/>
      <c r="L239" s="20" t="str">
        <f ca="1">IFERROR(__xludf.DUMMYFUNCTION("IMPORTXML(AI239, ""//li[strong[text()='Category:']]"")"),"Loading...")</f>
        <v>Loading...</v>
      </c>
      <c r="M239" s="24"/>
      <c r="N239" s="19" t="str">
        <f ca="1">IFERROR(__xludf.DUMMYFUNCTION("IMPORTXML(AI239, ""//li[strong[text()='Global Sales:']]"")"),"Loading...")</f>
        <v>Loading...</v>
      </c>
      <c r="O239" s="24"/>
      <c r="P239" s="19" t="str">
        <f t="shared" si="0"/>
        <v/>
      </c>
      <c r="Q239" s="19" t="str">
        <f ca="1">IFERROR(__xludf.DUMMYFUNCTION("IMPORTXML(AI239, ""//li[strong[text()='US Units:']]"")"),"Loading...")</f>
        <v>Loading...</v>
      </c>
      <c r="R239" s="24"/>
      <c r="S239" s="19" t="str">
        <f ca="1">IFERROR(__xludf.DUMMYFUNCTION("IMPORTXML(AI239, ""//li[strong[text()='International Units:']]"")"),"Loading...")</f>
        <v>Loading...</v>
      </c>
      <c r="T239" s="44"/>
      <c r="U239" s="19" t="str">
        <f ca="1">IFERROR(__xludf.DUMMYFUNCTION("IMPORTXML(AI239, ""//li[strong[text()='Percent Franchised:']]"")"),"Loading...")</f>
        <v>Loading...</v>
      </c>
      <c r="V239" s="24"/>
      <c r="W239" s="19" t="str">
        <f ca="1">IFERROR(__xludf.DUMMYFUNCTION("IMPORTXML(AI239, ""//li[strong[text()='% International Units:']]"")"),"Loading...")</f>
        <v>Loading...</v>
      </c>
      <c r="X239" s="24"/>
      <c r="Y239" s="19" t="str">
        <f ca="1">IFERROR(__xludf.DUMMYFUNCTION("IMPORTXML(AI239, ""//li[strong[text()='US Franchised Units:']]"")"),"Loading...")</f>
        <v>Loading...</v>
      </c>
      <c r="Z239" s="24"/>
      <c r="AA239" s="14" t="str">
        <f t="shared" si="1"/>
        <v/>
      </c>
      <c r="AB239" s="19" t="str">
        <f ca="1">IFERROR(__xludf.DUMMYFUNCTION("IMPORTXML(AI239, ""//li[strong[text()='International Franchised Units:']]"")"),"Loading...")</f>
        <v>Loading...</v>
      </c>
      <c r="AC239" s="24"/>
      <c r="AD239" s="14" t="str">
        <f t="shared" si="2"/>
        <v/>
      </c>
      <c r="AE239" s="25" t="str">
        <f ca="1">IFERROR(__xludf.DUMMYFUNCTION("IMPORTXML(AI239, ""//li[strong[text()='Sales Growth %:']]"")"),"Loading...")</f>
        <v>Loading...</v>
      </c>
      <c r="AF239" s="24"/>
      <c r="AG239" s="25" t="str">
        <f ca="1">IFERROR(__xludf.DUMMYFUNCTION("IMPORTXML(AI239, ""//li[strong[text()='Unit Growth %:']]"")"),"Loading...")</f>
        <v>Loading...</v>
      </c>
      <c r="AH239" s="25"/>
      <c r="AI239" s="48" t="s">
        <v>110</v>
      </c>
      <c r="AJ239" s="27"/>
      <c r="AK239" s="27"/>
      <c r="AL239" s="27"/>
      <c r="AM239" s="27"/>
      <c r="AN239" s="27"/>
      <c r="AO239" s="27"/>
      <c r="AP239" s="27"/>
      <c r="AQ239" s="27"/>
    </row>
    <row r="240" spans="1:43" ht="14.25" customHeight="1">
      <c r="A240" s="42">
        <v>24.239000000000001</v>
      </c>
      <c r="B240" s="14">
        <v>2024</v>
      </c>
      <c r="C240" s="36">
        <v>239</v>
      </c>
      <c r="D240" s="16" t="str">
        <f ca="1">IFERROR(__xludf.DUMMYFUNCTION("IMPORTXML(AI240, ""//h1[@itemprop='headline']/span"")"),"239. Elements Massage")</f>
        <v>239. Elements Massage</v>
      </c>
      <c r="E240" s="17" t="str">
        <f ca="1">IFERROR(__xludf.DUMMYFUNCTION("REGEXEXTRACT(D240, ""\.\s*(.+)"")"),"Elements Massage")</f>
        <v>Elements Massage</v>
      </c>
      <c r="F240" s="18" t="str">
        <f ca="1">IFERROR(__xludf.DUMMYFUNCTION("IMPORTXML(AI240, ""//li[strong[text()='Investment Range:']]"")"),"#N/A")</f>
        <v>#N/A</v>
      </c>
      <c r="G240" s="43"/>
      <c r="H240" s="18" t="str">
        <f ca="1">IFERROR(__xludf.DUMMYFUNCTION("SUBSTITUTE(REGEXEXTRACT(G240, ""\$(\d{1,3}(?:,\d{3})*)""), "","", ""."")
"),"#N/A")</f>
        <v>#N/A</v>
      </c>
      <c r="I240" s="19" t="str">
        <f ca="1">IFERROR(__xludf.DUMMYFUNCTION("SUBSTITUTE(REGEXEXTRACT(G240, ""-\s*\$(\d{1,3}(?:,\d{3})*)""), "","", ""."")
"),"#N/A")</f>
        <v>#N/A</v>
      </c>
      <c r="J240" s="19" t="str">
        <f ca="1">IFERROR(__xludf.DUMMYFUNCTION("IMPORTXML(AI240, ""//li[strong[text()='Initial Investment:']]"")"),"Loading...")</f>
        <v>Loading...</v>
      </c>
      <c r="K240" s="24"/>
      <c r="L240" s="20" t="str">
        <f ca="1">IFERROR(__xludf.DUMMYFUNCTION("IMPORTXML(AI240, ""//li[strong[text()='Category:']]"")"),"Loading...")</f>
        <v>Loading...</v>
      </c>
      <c r="M240" s="24"/>
      <c r="N240" s="19" t="str">
        <f ca="1">IFERROR(__xludf.DUMMYFUNCTION("IMPORTXML(AI240, ""//li[strong[text()='Global Sales:']]"")"),"Loading...")</f>
        <v>Loading...</v>
      </c>
      <c r="O240" s="24"/>
      <c r="P240" s="19" t="str">
        <f t="shared" si="0"/>
        <v/>
      </c>
      <c r="Q240" s="19" t="str">
        <f ca="1">IFERROR(__xludf.DUMMYFUNCTION("IMPORTXML(AI240, ""//li[strong[text()='US Units:']]"")"),"Loading...")</f>
        <v>Loading...</v>
      </c>
      <c r="R240" s="24"/>
      <c r="S240" s="19" t="str">
        <f ca="1">IFERROR(__xludf.DUMMYFUNCTION("IMPORTXML(AI240, ""//li[strong[text()='International Units:']]"")"),"Loading...")</f>
        <v>Loading...</v>
      </c>
      <c r="T240" s="44"/>
      <c r="U240" s="19" t="str">
        <f ca="1">IFERROR(__xludf.DUMMYFUNCTION("IMPORTXML(AI240, ""//li[strong[text()='Percent Franchised:']]"")"),"Loading...")</f>
        <v>Loading...</v>
      </c>
      <c r="V240" s="24"/>
      <c r="W240" s="19" t="str">
        <f ca="1">IFERROR(__xludf.DUMMYFUNCTION("IMPORTXML(AI240, ""//li[strong[text()='% International Units:']]"")"),"Loading...")</f>
        <v>Loading...</v>
      </c>
      <c r="X240" s="24"/>
      <c r="Y240" s="19" t="str">
        <f ca="1">IFERROR(__xludf.DUMMYFUNCTION("IMPORTXML(AI240, ""//li[strong[text()='US Franchised Units:']]"")"),"Loading...")</f>
        <v>Loading...</v>
      </c>
      <c r="Z240" s="24"/>
      <c r="AA240" s="14" t="str">
        <f t="shared" si="1"/>
        <v/>
      </c>
      <c r="AB240" s="19" t="str">
        <f ca="1">IFERROR(__xludf.DUMMYFUNCTION("IMPORTXML(AI240, ""//li[strong[text()='International Franchised Units:']]"")"),"Loading...")</f>
        <v>Loading...</v>
      </c>
      <c r="AC240" s="24"/>
      <c r="AD240" s="14" t="str">
        <f t="shared" si="2"/>
        <v/>
      </c>
      <c r="AE240" s="25" t="str">
        <f ca="1">IFERROR(__xludf.DUMMYFUNCTION("IMPORTXML(AI240, ""//li[strong[text()='Sales Growth %:']]"")"),"Loading...")</f>
        <v>Loading...</v>
      </c>
      <c r="AF240" s="24"/>
      <c r="AG240" s="25" t="str">
        <f ca="1">IFERROR(__xludf.DUMMYFUNCTION("IMPORTXML(AI240, ""//li[strong[text()='Unit Growth %:']]"")"),"Loading...")</f>
        <v>Loading...</v>
      </c>
      <c r="AH240" s="25"/>
      <c r="AI240" s="48" t="s">
        <v>247</v>
      </c>
      <c r="AJ240" s="27"/>
      <c r="AK240" s="27"/>
      <c r="AL240" s="27"/>
      <c r="AM240" s="27"/>
      <c r="AN240" s="27"/>
      <c r="AO240" s="27"/>
      <c r="AP240" s="27"/>
      <c r="AQ240" s="27"/>
    </row>
    <row r="241" spans="1:43" ht="14.25" customHeight="1">
      <c r="A241" s="42">
        <v>24.24</v>
      </c>
      <c r="B241" s="14">
        <v>2024</v>
      </c>
      <c r="C241" s="15">
        <v>240</v>
      </c>
      <c r="D241" s="16" t="str">
        <f ca="1">IFERROR(__xludf.DUMMYFUNCTION("IMPORTXML(AI241, ""//h1[@itemprop='headline']/span"")"),"240. Fantastic Sams")</f>
        <v>240. Fantastic Sams</v>
      </c>
      <c r="E241" s="17" t="str">
        <f ca="1">IFERROR(__xludf.DUMMYFUNCTION("REGEXEXTRACT(D241, ""\.\s*(.+)"")"),"Fantastic Sams")</f>
        <v>Fantastic Sams</v>
      </c>
      <c r="F241" s="18" t="str">
        <f ca="1">IFERROR(__xludf.DUMMYFUNCTION("IMPORTXML(AI241, ""//li[strong[text()='Investment Range:']]"")"),"Investment Range:")</f>
        <v>Investment Range:</v>
      </c>
      <c r="G241" s="43" t="str">
        <f ca="1">IFERROR(__xludf.DUMMYFUNCTION("""COMPUTED_VALUE""")," $48,500 - $101,500")</f>
        <v xml:space="preserve"> $48,500 - $101,500</v>
      </c>
      <c r="H241" s="18" t="str">
        <f ca="1">IFERROR(__xludf.DUMMYFUNCTION("SUBSTITUTE(REGEXEXTRACT(G241, ""\$(\d{1,3}(?:,\d{3})*)""), "","", ""."")
"),"48.500")</f>
        <v>48.500</v>
      </c>
      <c r="I241" s="19" t="str">
        <f ca="1">IFERROR(__xludf.DUMMYFUNCTION("SUBSTITUTE(REGEXEXTRACT(G241, ""-\s*\$(\d{1,3}(?:,\d{3})*)""), "","", ""."")
"),"101.500")</f>
        <v>101.500</v>
      </c>
      <c r="J241" s="19" t="str">
        <f ca="1">IFERROR(__xludf.DUMMYFUNCTION("IMPORTXML(AI241, ""//li[strong[text()='Initial Investment:']]"")"),"Loading...")</f>
        <v>Loading...</v>
      </c>
      <c r="K241" s="24"/>
      <c r="L241" s="20" t="str">
        <f ca="1">IFERROR(__xludf.DUMMYFUNCTION("IMPORTXML(AI241, ""//li[strong[text()='Category:']]"")"),"Loading...")</f>
        <v>Loading...</v>
      </c>
      <c r="M241" s="24"/>
      <c r="N241" s="19" t="str">
        <f ca="1">IFERROR(__xludf.DUMMYFUNCTION("IMPORTXML(AI241, ""//li[strong[text()='Global Sales:']]"")"),"Loading...")</f>
        <v>Loading...</v>
      </c>
      <c r="O241" s="24"/>
      <c r="P241" s="19" t="str">
        <f t="shared" si="0"/>
        <v/>
      </c>
      <c r="Q241" s="19" t="str">
        <f ca="1">IFERROR(__xludf.DUMMYFUNCTION("IMPORTXML(AI241, ""//li[strong[text()='US Units:']]"")"),"Loading...")</f>
        <v>Loading...</v>
      </c>
      <c r="R241" s="24"/>
      <c r="S241" s="19" t="str">
        <f ca="1">IFERROR(__xludf.DUMMYFUNCTION("IMPORTXML(AI241, ""//li[strong[text()='International Units:']]"")"),"Loading...")</f>
        <v>Loading...</v>
      </c>
      <c r="T241" s="44"/>
      <c r="U241" s="19" t="str">
        <f ca="1">IFERROR(__xludf.DUMMYFUNCTION("IMPORTXML(AI241, ""//li[strong[text()='Percent Franchised:']]"")"),"Loading...")</f>
        <v>Loading...</v>
      </c>
      <c r="V241" s="24"/>
      <c r="W241" s="19" t="str">
        <f ca="1">IFERROR(__xludf.DUMMYFUNCTION("IMPORTXML(AI241, ""//li[strong[text()='% International Units:']]"")"),"Loading...")</f>
        <v>Loading...</v>
      </c>
      <c r="X241" s="24"/>
      <c r="Y241" s="19" t="str">
        <f ca="1">IFERROR(__xludf.DUMMYFUNCTION("IMPORTXML(AI241, ""//li[strong[text()='US Franchised Units:']]"")"),"Loading...")</f>
        <v>Loading...</v>
      </c>
      <c r="Z241" s="24"/>
      <c r="AA241" s="14" t="str">
        <f t="shared" si="1"/>
        <v/>
      </c>
      <c r="AB241" s="19" t="str">
        <f ca="1">IFERROR(__xludf.DUMMYFUNCTION("IMPORTXML(AI241, ""//li[strong[text()='International Franchised Units:']]"")"),"Loading...")</f>
        <v>Loading...</v>
      </c>
      <c r="AC241" s="24"/>
      <c r="AD241" s="14" t="str">
        <f t="shared" si="2"/>
        <v/>
      </c>
      <c r="AE241" s="25" t="str">
        <f ca="1">IFERROR(__xludf.DUMMYFUNCTION("IMPORTXML(AI241, ""//li[strong[text()='Sales Growth %:']]"")"),"Loading...")</f>
        <v>Loading...</v>
      </c>
      <c r="AF241" s="24"/>
      <c r="AG241" s="25" t="str">
        <f ca="1">IFERROR(__xludf.DUMMYFUNCTION("IMPORTXML(AI241, ""//li[strong[text()='Unit Growth %:']]"")"),"Loading...")</f>
        <v>Loading...</v>
      </c>
      <c r="AH241" s="25"/>
      <c r="AI241" s="48" t="s">
        <v>248</v>
      </c>
      <c r="AJ241" s="27"/>
      <c r="AK241" s="27"/>
      <c r="AL241" s="27"/>
      <c r="AM241" s="27"/>
      <c r="AN241" s="27"/>
      <c r="AO241" s="27"/>
      <c r="AP241" s="27"/>
      <c r="AQ241" s="27"/>
    </row>
    <row r="242" spans="1:43" ht="14.25" customHeight="1">
      <c r="A242" s="42">
        <v>24.241</v>
      </c>
      <c r="B242" s="14">
        <v>2024</v>
      </c>
      <c r="C242" s="32">
        <v>241</v>
      </c>
      <c r="D242" s="16" t="str">
        <f ca="1">IFERROR(__xludf.DUMMYFUNCTION("IMPORTXML(AI242, ""//h1[@itemprop='headline']/span"")"),"241. Superior Fence &amp; Rail")</f>
        <v>241. Superior Fence &amp; Rail</v>
      </c>
      <c r="E242" s="17" t="str">
        <f ca="1">IFERROR(__xludf.DUMMYFUNCTION("REGEXEXTRACT(D242, ""\.\s*(.+)"")"),"Superior Fence &amp; Rail")</f>
        <v>Superior Fence &amp; Rail</v>
      </c>
      <c r="F242" s="18" t="str">
        <f ca="1">IFERROR(__xludf.DUMMYFUNCTION("IMPORTXML(AI242, ""//li[strong[text()='Investment Range:']]"")"),"Investment Range:")</f>
        <v>Investment Range:</v>
      </c>
      <c r="G242" s="43" t="str">
        <f ca="1">IFERROR(__xludf.DUMMYFUNCTION("""COMPUTED_VALUE""")," $130,500 - $206,800")</f>
        <v xml:space="preserve"> $130,500 - $206,800</v>
      </c>
      <c r="H242" s="18" t="str">
        <f ca="1">IFERROR(__xludf.DUMMYFUNCTION("SUBSTITUTE(REGEXEXTRACT(G242, ""\$(\d{1,3}(?:,\d{3})*)""), "","", ""."")
"),"130.500")</f>
        <v>130.500</v>
      </c>
      <c r="I242" s="19" t="str">
        <f ca="1">IFERROR(__xludf.DUMMYFUNCTION("SUBSTITUTE(REGEXEXTRACT(G242, ""-\s*\$(\d{1,3}(?:,\d{3})*)""), "","", ""."")
"),"206.800")</f>
        <v>206.800</v>
      </c>
      <c r="J242" s="19" t="str">
        <f ca="1">IFERROR(__xludf.DUMMYFUNCTION("IMPORTXML(AI242, ""//li[strong[text()='Initial Investment:']]"")"),"Loading...")</f>
        <v>Loading...</v>
      </c>
      <c r="K242" s="24"/>
      <c r="L242" s="20" t="str">
        <f ca="1">IFERROR(__xludf.DUMMYFUNCTION("IMPORTXML(AI242, ""//li[strong[text()='Category:']]"")"),"Loading...")</f>
        <v>Loading...</v>
      </c>
      <c r="M242" s="24"/>
      <c r="N242" s="19" t="str">
        <f ca="1">IFERROR(__xludf.DUMMYFUNCTION("IMPORTXML(AI242, ""//li[strong[text()='Global Sales:']]"")"),"Loading...")</f>
        <v>Loading...</v>
      </c>
      <c r="O242" s="24"/>
      <c r="P242" s="19" t="str">
        <f t="shared" si="0"/>
        <v/>
      </c>
      <c r="Q242" s="19" t="str">
        <f ca="1">IFERROR(__xludf.DUMMYFUNCTION("IMPORTXML(AI242, ""//li[strong[text()='US Units:']]"")"),"Loading...")</f>
        <v>Loading...</v>
      </c>
      <c r="R242" s="24"/>
      <c r="S242" s="19" t="str">
        <f ca="1">IFERROR(__xludf.DUMMYFUNCTION("IMPORTXML(AI242, ""//li[strong[text()='International Units:']]"")"),"Loading...")</f>
        <v>Loading...</v>
      </c>
      <c r="T242" s="44"/>
      <c r="U242" s="19" t="str">
        <f ca="1">IFERROR(__xludf.DUMMYFUNCTION("IMPORTXML(AI242, ""//li[strong[text()='Percent Franchised:']]"")"),"Loading...")</f>
        <v>Loading...</v>
      </c>
      <c r="V242" s="24"/>
      <c r="W242" s="19" t="str">
        <f ca="1">IFERROR(__xludf.DUMMYFUNCTION("IMPORTXML(AI242, ""//li[strong[text()='% International Units:']]"")"),"Loading...")</f>
        <v>Loading...</v>
      </c>
      <c r="X242" s="24"/>
      <c r="Y242" s="19" t="str">
        <f ca="1">IFERROR(__xludf.DUMMYFUNCTION("IMPORTXML(AI242, ""//li[strong[text()='US Franchised Units:']]"")"),"Loading...")</f>
        <v>Loading...</v>
      </c>
      <c r="Z242" s="24"/>
      <c r="AA242" s="14" t="str">
        <f t="shared" si="1"/>
        <v/>
      </c>
      <c r="AB242" s="19" t="str">
        <f ca="1">IFERROR(__xludf.DUMMYFUNCTION("IMPORTXML(AI242, ""//li[strong[text()='International Franchised Units:']]"")"),"Loading...")</f>
        <v>Loading...</v>
      </c>
      <c r="AC242" s="24"/>
      <c r="AD242" s="14" t="str">
        <f t="shared" si="2"/>
        <v/>
      </c>
      <c r="AE242" s="25" t="str">
        <f ca="1">IFERROR(__xludf.DUMMYFUNCTION("IMPORTXML(AI242, ""//li[strong[text()='Sales Growth %:']]"")"),"Loading...")</f>
        <v>Loading...</v>
      </c>
      <c r="AF242" s="24"/>
      <c r="AG242" s="25" t="str">
        <f ca="1">IFERROR(__xludf.DUMMYFUNCTION("IMPORTXML(AI242, ""//li[strong[text()='Unit Growth %:']]"")"),"Loading...")</f>
        <v>Loading...</v>
      </c>
      <c r="AH242" s="25"/>
      <c r="AI242" s="48" t="s">
        <v>249</v>
      </c>
      <c r="AJ242" s="27"/>
      <c r="AK242" s="27"/>
      <c r="AL242" s="27"/>
      <c r="AM242" s="27"/>
      <c r="AN242" s="27"/>
      <c r="AO242" s="27"/>
      <c r="AP242" s="27"/>
      <c r="AQ242" s="27"/>
    </row>
    <row r="243" spans="1:43" ht="14.25" customHeight="1">
      <c r="A243" s="42">
        <v>24.242000000000001</v>
      </c>
      <c r="B243" s="14">
        <v>2024</v>
      </c>
      <c r="C243" s="36">
        <v>242</v>
      </c>
      <c r="D243" s="16" t="str">
        <f ca="1">IFERROR(__xludf.DUMMYFUNCTION("IMPORTXML(AI243, ""//h1[@itemprop='headline']/span"")"),"242. Image360")</f>
        <v>242. Image360</v>
      </c>
      <c r="E243" s="17" t="str">
        <f ca="1">IFERROR(__xludf.DUMMYFUNCTION("REGEXEXTRACT(D243, ""\.\s*(.+)"")"),"Image360")</f>
        <v>Image360</v>
      </c>
      <c r="F243" s="18" t="str">
        <f ca="1">IFERROR(__xludf.DUMMYFUNCTION("IMPORTXML(AI243, ""//li[strong[text()='Investment Range:']]"")"),"Investment Range:")</f>
        <v>Investment Range:</v>
      </c>
      <c r="G243" s="43" t="str">
        <f ca="1">IFERROR(__xludf.DUMMYFUNCTION("""COMPUTED_VALUE""")," $217,726 - $502,142")</f>
        <v xml:space="preserve"> $217,726 - $502,142</v>
      </c>
      <c r="H243" s="18" t="str">
        <f ca="1">IFERROR(__xludf.DUMMYFUNCTION("SUBSTITUTE(REGEXEXTRACT(G243, ""\$(\d{1,3}(?:,\d{3})*)""), "","", ""."")
"),"217.726")</f>
        <v>217.726</v>
      </c>
      <c r="I243" s="19" t="str">
        <f ca="1">IFERROR(__xludf.DUMMYFUNCTION("SUBSTITUTE(REGEXEXTRACT(G243, ""-\s*\$(\d{1,3}(?:,\d{3})*)""), "","", ""."")
"),"502.142")</f>
        <v>502.142</v>
      </c>
      <c r="J243" s="19" t="str">
        <f ca="1">IFERROR(__xludf.DUMMYFUNCTION("IMPORTXML(AI243, ""//li[strong[text()='Initial Investment:']]"")"),"Loading...")</f>
        <v>Loading...</v>
      </c>
      <c r="K243" s="24"/>
      <c r="L243" s="20" t="str">
        <f ca="1">IFERROR(__xludf.DUMMYFUNCTION("IMPORTXML(AI243, ""//li[strong[text()='Category:']]"")"),"Loading...")</f>
        <v>Loading...</v>
      </c>
      <c r="M243" s="24"/>
      <c r="N243" s="19" t="str">
        <f ca="1">IFERROR(__xludf.DUMMYFUNCTION("IMPORTXML(AI243, ""//li[strong[text()='Global Sales:']]"")"),"Loading...")</f>
        <v>Loading...</v>
      </c>
      <c r="O243" s="24"/>
      <c r="P243" s="19" t="str">
        <f t="shared" si="0"/>
        <v/>
      </c>
      <c r="Q243" s="19" t="str">
        <f ca="1">IFERROR(__xludf.DUMMYFUNCTION("IMPORTXML(AI243, ""//li[strong[text()='US Units:']]"")"),"Loading...")</f>
        <v>Loading...</v>
      </c>
      <c r="R243" s="24"/>
      <c r="S243" s="19" t="str">
        <f ca="1">IFERROR(__xludf.DUMMYFUNCTION("IMPORTXML(AI243, ""//li[strong[text()='International Units:']]"")"),"Loading...")</f>
        <v>Loading...</v>
      </c>
      <c r="T243" s="44"/>
      <c r="U243" s="19" t="str">
        <f ca="1">IFERROR(__xludf.DUMMYFUNCTION("IMPORTXML(AI243, ""//li[strong[text()='Percent Franchised:']]"")"),"Loading...")</f>
        <v>Loading...</v>
      </c>
      <c r="V243" s="24"/>
      <c r="W243" s="19" t="str">
        <f ca="1">IFERROR(__xludf.DUMMYFUNCTION("IMPORTXML(AI243, ""//li[strong[text()='% International Units:']]"")"),"Loading...")</f>
        <v>Loading...</v>
      </c>
      <c r="X243" s="24"/>
      <c r="Y243" s="19" t="str">
        <f ca="1">IFERROR(__xludf.DUMMYFUNCTION("IMPORTXML(AI243, ""//li[strong[text()='US Franchised Units:']]"")"),"Loading...")</f>
        <v>Loading...</v>
      </c>
      <c r="Z243" s="24"/>
      <c r="AA243" s="14" t="str">
        <f t="shared" si="1"/>
        <v/>
      </c>
      <c r="AB243" s="19" t="str">
        <f ca="1">IFERROR(__xludf.DUMMYFUNCTION("IMPORTXML(AI243, ""//li[strong[text()='International Franchised Units:']]"")"),"Loading...")</f>
        <v>Loading...</v>
      </c>
      <c r="AC243" s="24"/>
      <c r="AD243" s="14" t="str">
        <f t="shared" si="2"/>
        <v/>
      </c>
      <c r="AE243" s="25" t="str">
        <f ca="1">IFERROR(__xludf.DUMMYFUNCTION("IMPORTXML(AI243, ""//li[strong[text()='Sales Growth %:']]"")"),"Sales Growth %:")</f>
        <v>Sales Growth %:</v>
      </c>
      <c r="AF243" s="24" t="str">
        <f ca="1">IFERROR(__xludf.DUMMYFUNCTION("""COMPUTED_VALUE""")," 4.6%")</f>
        <v xml:space="preserve"> 4.6%</v>
      </c>
      <c r="AG243" s="25" t="str">
        <f ca="1">IFERROR(__xludf.DUMMYFUNCTION("IMPORTXML(AI243, ""//li[strong[text()='Unit Growth %:']]"")"),"Loading...")</f>
        <v>Loading...</v>
      </c>
      <c r="AH243" s="25"/>
      <c r="AI243" s="48" t="s">
        <v>250</v>
      </c>
      <c r="AJ243" s="27"/>
      <c r="AK243" s="27"/>
      <c r="AL243" s="27"/>
      <c r="AM243" s="27"/>
      <c r="AN243" s="27"/>
      <c r="AO243" s="27"/>
      <c r="AP243" s="27"/>
      <c r="AQ243" s="27"/>
    </row>
    <row r="244" spans="1:43" ht="14.25" customHeight="1">
      <c r="A244" s="42">
        <v>24.242999999999999</v>
      </c>
      <c r="B244" s="14">
        <v>2024</v>
      </c>
      <c r="C244" s="36">
        <v>243</v>
      </c>
      <c r="D244" s="16" t="str">
        <f ca="1">IFERROR(__xludf.DUMMYFUNCTION("IMPORTXML(AI244, ""//h1[@itemprop='headline']/span"")"),"243. CRDN")</f>
        <v>243. CRDN</v>
      </c>
      <c r="E244" s="17" t="str">
        <f ca="1">IFERROR(__xludf.DUMMYFUNCTION("REGEXEXTRACT(D244, ""\.\s*(.+)"")"),"CRDN")</f>
        <v>CRDN</v>
      </c>
      <c r="F244" s="18" t="str">
        <f ca="1">IFERROR(__xludf.DUMMYFUNCTION("IMPORTXML(AI244, ""//li[strong[text()='Investment Range:']]"")"),"Investment Range:")</f>
        <v>Investment Range:</v>
      </c>
      <c r="G244" s="43" t="str">
        <f ca="1">IFERROR(__xludf.DUMMYFUNCTION("""COMPUTED_VALUE""")," $55,650 - $538,850")</f>
        <v xml:space="preserve"> $55,650 - $538,850</v>
      </c>
      <c r="H244" s="18" t="str">
        <f ca="1">IFERROR(__xludf.DUMMYFUNCTION("SUBSTITUTE(REGEXEXTRACT(G244, ""\$(\d{1,3}(?:,\d{3})*)""), "","", ""."")
"),"55.650")</f>
        <v>55.650</v>
      </c>
      <c r="I244" s="19" t="str">
        <f ca="1">IFERROR(__xludf.DUMMYFUNCTION("SUBSTITUTE(REGEXEXTRACT(G244, ""-\s*\$(\d{1,3}(?:,\d{3})*)""), "","", ""."")
"),"538.850")</f>
        <v>538.850</v>
      </c>
      <c r="J244" s="19" t="str">
        <f ca="1">IFERROR(__xludf.DUMMYFUNCTION("IMPORTXML(AI244, ""//li[strong[text()='Initial Investment:']]"")"),"Loading...")</f>
        <v>Loading...</v>
      </c>
      <c r="K244" s="24"/>
      <c r="L244" s="20" t="str">
        <f ca="1">IFERROR(__xludf.DUMMYFUNCTION("IMPORTXML(AI244, ""//li[strong[text()='Category:']]"")"),"Loading...")</f>
        <v>Loading...</v>
      </c>
      <c r="M244" s="24"/>
      <c r="N244" s="19" t="str">
        <f ca="1">IFERROR(__xludf.DUMMYFUNCTION("IMPORTXML(AI244, ""//li[strong[text()='Global Sales:']]"")"),"Loading...")</f>
        <v>Loading...</v>
      </c>
      <c r="O244" s="24"/>
      <c r="P244" s="19" t="str">
        <f t="shared" si="0"/>
        <v/>
      </c>
      <c r="Q244" s="19" t="str">
        <f ca="1">IFERROR(__xludf.DUMMYFUNCTION("IMPORTXML(AI244, ""//li[strong[text()='US Units:']]"")"),"Loading...")</f>
        <v>Loading...</v>
      </c>
      <c r="R244" s="24"/>
      <c r="S244" s="19" t="str">
        <f ca="1">IFERROR(__xludf.DUMMYFUNCTION("IMPORTXML(AI244, ""//li[strong[text()='International Units:']]"")"),"Loading...")</f>
        <v>Loading...</v>
      </c>
      <c r="T244" s="44"/>
      <c r="U244" s="19" t="str">
        <f ca="1">IFERROR(__xludf.DUMMYFUNCTION("IMPORTXML(AI244, ""//li[strong[text()='Percent Franchised:']]"")"),"Loading...")</f>
        <v>Loading...</v>
      </c>
      <c r="V244" s="24"/>
      <c r="W244" s="19" t="str">
        <f ca="1">IFERROR(__xludf.DUMMYFUNCTION("IMPORTXML(AI244, ""//li[strong[text()='% International Units:']]"")"),"% International Units:")</f>
        <v>% International Units:</v>
      </c>
      <c r="X244" s="45">
        <f ca="1">IFERROR(__xludf.DUMMYFUNCTION("""COMPUTED_VALUE"""),0.14)</f>
        <v>0.14000000000000001</v>
      </c>
      <c r="Y244" s="19" t="str">
        <f ca="1">IFERROR(__xludf.DUMMYFUNCTION("IMPORTXML(AI244, ""//li[strong[text()='US Franchised Units:']]"")"),"Loading...")</f>
        <v>Loading...</v>
      </c>
      <c r="Z244" s="24"/>
      <c r="AA244" s="14" t="str">
        <f t="shared" si="1"/>
        <v/>
      </c>
      <c r="AB244" s="19" t="str">
        <f ca="1">IFERROR(__xludf.DUMMYFUNCTION("IMPORTXML(AI244, ""//li[strong[text()='International Franchised Units:']]"")"),"Loading...")</f>
        <v>Loading...</v>
      </c>
      <c r="AC244" s="24"/>
      <c r="AD244" s="14" t="str">
        <f t="shared" si="2"/>
        <v/>
      </c>
      <c r="AE244" s="25" t="str">
        <f ca="1">IFERROR(__xludf.DUMMYFUNCTION("IMPORTXML(AI244, ""//li[strong[text()='Sales Growth %:']]"")"),"Loading...")</f>
        <v>Loading...</v>
      </c>
      <c r="AF244" s="24"/>
      <c r="AG244" s="25" t="str">
        <f ca="1">IFERROR(__xludf.DUMMYFUNCTION("IMPORTXML(AI244, ""//li[strong[text()='Unit Growth %:']]"")"),"Loading...")</f>
        <v>Loading...</v>
      </c>
      <c r="AH244" s="25"/>
      <c r="AI244" s="48" t="s">
        <v>251</v>
      </c>
      <c r="AJ244" s="27"/>
      <c r="AK244" s="27"/>
      <c r="AL244" s="27"/>
      <c r="AM244" s="27"/>
      <c r="AN244" s="27"/>
      <c r="AO244" s="27"/>
      <c r="AP244" s="27"/>
      <c r="AQ244" s="27"/>
    </row>
    <row r="245" spans="1:43" ht="14.25" customHeight="1">
      <c r="A245" s="42">
        <v>24.244</v>
      </c>
      <c r="B245" s="14">
        <v>2024</v>
      </c>
      <c r="C245" s="15">
        <v>244</v>
      </c>
      <c r="D245" s="16" t="str">
        <f ca="1">IFERROR(__xludf.DUMMYFUNCTION("IMPORTXML(AI245, ""//h1[@itemprop='headline']/span"")"),"244. School Of Rock")</f>
        <v>244. School Of Rock</v>
      </c>
      <c r="E245" s="17" t="str">
        <f ca="1">IFERROR(__xludf.DUMMYFUNCTION("REGEXEXTRACT(D245, ""\.\s*(.+)"")"),"School Of Rock")</f>
        <v>School Of Rock</v>
      </c>
      <c r="F245" s="18" t="str">
        <f ca="1">IFERROR(__xludf.DUMMYFUNCTION("IMPORTXML(AI245, ""//li[strong[text()='Investment Range:']]"")"),"Investment Range:")</f>
        <v>Investment Range:</v>
      </c>
      <c r="G245" s="43" t="str">
        <f ca="1">IFERROR(__xludf.DUMMYFUNCTION("""COMPUTED_VALUE""")," $387,300 - $663,650")</f>
        <v xml:space="preserve"> $387,300 - $663,650</v>
      </c>
      <c r="H245" s="18" t="str">
        <f ca="1">IFERROR(__xludf.DUMMYFUNCTION("SUBSTITUTE(REGEXEXTRACT(G245, ""\$(\d{1,3}(?:,\d{3})*)""), "","", ""."")
"),"387.300")</f>
        <v>387.300</v>
      </c>
      <c r="I245" s="19" t="str">
        <f ca="1">IFERROR(__xludf.DUMMYFUNCTION("SUBSTITUTE(REGEXEXTRACT(G245, ""-\s*\$(\d{1,3}(?:,\d{3})*)""), "","", ""."")
"),"663.650")</f>
        <v>663.650</v>
      </c>
      <c r="J245" s="19" t="str">
        <f ca="1">IFERROR(__xludf.DUMMYFUNCTION("IMPORTXML(AI245, ""//li[strong[text()='Initial Investment:']]"")"),"Initial Investment:")</f>
        <v>Initial Investment:</v>
      </c>
      <c r="K245" s="24" t="str">
        <f ca="1">IFERROR(__xludf.DUMMYFUNCTION("""COMPUTED_VALUE""")," $49,900")</f>
        <v xml:space="preserve"> $49,900</v>
      </c>
      <c r="L245" s="20" t="str">
        <f ca="1">IFERROR(__xludf.DUMMYFUNCTION("IMPORTXML(AI245, ""//li[strong[text()='Category:']]"")"),"Loading...")</f>
        <v>Loading...</v>
      </c>
      <c r="M245" s="24"/>
      <c r="N245" s="19" t="str">
        <f ca="1">IFERROR(__xludf.DUMMYFUNCTION("IMPORTXML(AI245, ""//li[strong[text()='Global Sales:']]"")"),"Loading...")</f>
        <v>Loading...</v>
      </c>
      <c r="O245" s="24"/>
      <c r="P245" s="19" t="str">
        <f t="shared" si="0"/>
        <v/>
      </c>
      <c r="Q245" s="19" t="str">
        <f ca="1">IFERROR(__xludf.DUMMYFUNCTION("IMPORTXML(AI245, ""//li[strong[text()='US Units:']]"")"),"Loading...")</f>
        <v>Loading...</v>
      </c>
      <c r="R245" s="24"/>
      <c r="S245" s="19" t="str">
        <f ca="1">IFERROR(__xludf.DUMMYFUNCTION("IMPORTXML(AI245, ""//li[strong[text()='International Units:']]"")"),"Loading...")</f>
        <v>Loading...</v>
      </c>
      <c r="T245" s="44"/>
      <c r="U245" s="19" t="str">
        <f ca="1">IFERROR(__xludf.DUMMYFUNCTION("IMPORTXML(AI245, ""//li[strong[text()='Percent Franchised:']]"")"),"Loading...")</f>
        <v>Loading...</v>
      </c>
      <c r="V245" s="24"/>
      <c r="W245" s="19" t="str">
        <f ca="1">IFERROR(__xludf.DUMMYFUNCTION("IMPORTXML(AI245, ""//li[strong[text()='% International Units:']]"")"),"Loading...")</f>
        <v>Loading...</v>
      </c>
      <c r="X245" s="24"/>
      <c r="Y245" s="19" t="str">
        <f ca="1">IFERROR(__xludf.DUMMYFUNCTION("IMPORTXML(AI245, ""//li[strong[text()='US Franchised Units:']]"")"),"Loading...")</f>
        <v>Loading...</v>
      </c>
      <c r="Z245" s="24"/>
      <c r="AA245" s="14" t="str">
        <f t="shared" si="1"/>
        <v/>
      </c>
      <c r="AB245" s="19" t="str">
        <f ca="1">IFERROR(__xludf.DUMMYFUNCTION("IMPORTXML(AI245, ""//li[strong[text()='International Franchised Units:']]"")"),"Loading...")</f>
        <v>Loading...</v>
      </c>
      <c r="AC245" s="24"/>
      <c r="AD245" s="14" t="str">
        <f t="shared" si="2"/>
        <v/>
      </c>
      <c r="AE245" s="25" t="str">
        <f ca="1">IFERROR(__xludf.DUMMYFUNCTION("IMPORTXML(AI245, ""//li[strong[text()='Sales Growth %:']]"")"),"Loading...")</f>
        <v>Loading...</v>
      </c>
      <c r="AF245" s="24"/>
      <c r="AG245" s="25" t="str">
        <f ca="1">IFERROR(__xludf.DUMMYFUNCTION("IMPORTXML(AI245, ""//li[strong[text()='Unit Growth %:']]"")"),"Loading...")</f>
        <v>Loading...</v>
      </c>
      <c r="AH245" s="25"/>
      <c r="AI245" s="48" t="s">
        <v>252</v>
      </c>
      <c r="AJ245" s="27"/>
      <c r="AK245" s="27"/>
      <c r="AL245" s="27"/>
      <c r="AM245" s="27"/>
      <c r="AN245" s="27"/>
      <c r="AO245" s="27"/>
      <c r="AP245" s="27"/>
      <c r="AQ245" s="27"/>
    </row>
    <row r="246" spans="1:43" ht="14.25" customHeight="1">
      <c r="A246" s="42">
        <v>24.245000000000001</v>
      </c>
      <c r="B246" s="14">
        <v>2024</v>
      </c>
      <c r="C246" s="32">
        <v>245</v>
      </c>
      <c r="D246" s="16" t="str">
        <f ca="1">IFERROR(__xludf.DUMMYFUNCTION("IMPORTXML(AI246, ""//h1[@itemprop='headline']/span"")"),"245. Precision Tune Auto Care")</f>
        <v>245. Precision Tune Auto Care</v>
      </c>
      <c r="E246" s="17" t="str">
        <f ca="1">IFERROR(__xludf.DUMMYFUNCTION("REGEXEXTRACT(D246, ""\.\s*(.+)"")"),"Precision Tune Auto Care")</f>
        <v>Precision Tune Auto Care</v>
      </c>
      <c r="F246" s="18" t="str">
        <f ca="1">IFERROR(__xludf.DUMMYFUNCTION("IMPORTXML(AI246, ""//li[strong[text()='Investment Range:']]"")"),"#N/A")</f>
        <v>#N/A</v>
      </c>
      <c r="G246" s="43"/>
      <c r="H246" s="18" t="str">
        <f ca="1">IFERROR(__xludf.DUMMYFUNCTION("SUBSTITUTE(REGEXEXTRACT(G246, ""\$(\d{1,3}(?:,\d{3})*)""), "","", ""."")
"),"#N/A")</f>
        <v>#N/A</v>
      </c>
      <c r="I246" s="19" t="str">
        <f ca="1">IFERROR(__xludf.DUMMYFUNCTION("SUBSTITUTE(REGEXEXTRACT(G246, ""-\s*\$(\d{1,3}(?:,\d{3})*)""), "","", ""."")
"),"#N/A")</f>
        <v>#N/A</v>
      </c>
      <c r="J246" s="19" t="str">
        <f ca="1">IFERROR(__xludf.DUMMYFUNCTION("IMPORTXML(AI246, ""//li[strong[text()='Initial Investment:']]"")"),"Loading...")</f>
        <v>Loading...</v>
      </c>
      <c r="K246" s="24"/>
      <c r="L246" s="20" t="str">
        <f ca="1">IFERROR(__xludf.DUMMYFUNCTION("IMPORTXML(AI246, ""//li[strong[text()='Category:']]"")"),"Loading...")</f>
        <v>Loading...</v>
      </c>
      <c r="M246" s="24"/>
      <c r="N246" s="19" t="str">
        <f ca="1">IFERROR(__xludf.DUMMYFUNCTION("IMPORTXML(AI246, ""//li[strong[text()='Global Sales:']]"")"),"Loading...")</f>
        <v>Loading...</v>
      </c>
      <c r="O246" s="24"/>
      <c r="P246" s="19" t="str">
        <f t="shared" si="0"/>
        <v/>
      </c>
      <c r="Q246" s="19" t="str">
        <f ca="1">IFERROR(__xludf.DUMMYFUNCTION("IMPORTXML(AI246, ""//li[strong[text()='US Units:']]"")"),"Loading...")</f>
        <v>Loading...</v>
      </c>
      <c r="R246" s="24"/>
      <c r="S246" s="19" t="str">
        <f ca="1">IFERROR(__xludf.DUMMYFUNCTION("IMPORTXML(AI246, ""//li[strong[text()='International Units:']]"")"),"Loading...")</f>
        <v>Loading...</v>
      </c>
      <c r="T246" s="44"/>
      <c r="U246" s="19" t="str">
        <f ca="1">IFERROR(__xludf.DUMMYFUNCTION("IMPORTXML(AI246, ""//li[strong[text()='Percent Franchised:']]"")"),"Loading...")</f>
        <v>Loading...</v>
      </c>
      <c r="V246" s="24"/>
      <c r="W246" s="19" t="str">
        <f ca="1">IFERROR(__xludf.DUMMYFUNCTION("IMPORTXML(AI246, ""//li[strong[text()='% International Units:']]"")"),"Loading...")</f>
        <v>Loading...</v>
      </c>
      <c r="X246" s="24"/>
      <c r="Y246" s="19" t="str">
        <f ca="1">IFERROR(__xludf.DUMMYFUNCTION("IMPORTXML(AI246, ""//li[strong[text()='US Franchised Units:']]"")"),"Loading...")</f>
        <v>Loading...</v>
      </c>
      <c r="Z246" s="24"/>
      <c r="AA246" s="14" t="str">
        <f t="shared" si="1"/>
        <v/>
      </c>
      <c r="AB246" s="19" t="str">
        <f ca="1">IFERROR(__xludf.DUMMYFUNCTION("IMPORTXML(AI246, ""//li[strong[text()='International Franchised Units:']]"")"),"Loading...")</f>
        <v>Loading...</v>
      </c>
      <c r="AC246" s="24"/>
      <c r="AD246" s="14" t="str">
        <f t="shared" si="2"/>
        <v/>
      </c>
      <c r="AE246" s="25" t="str">
        <f ca="1">IFERROR(__xludf.DUMMYFUNCTION("IMPORTXML(AI246, ""//li[strong[text()='Sales Growth %:']]"")"),"Loading...")</f>
        <v>Loading...</v>
      </c>
      <c r="AF246" s="24"/>
      <c r="AG246" s="25" t="str">
        <f ca="1">IFERROR(__xludf.DUMMYFUNCTION("IMPORTXML(AI246, ""//li[strong[text()='Unit Growth %:']]"")"),"Loading...")</f>
        <v>Loading...</v>
      </c>
      <c r="AH246" s="25"/>
      <c r="AI246" s="48" t="s">
        <v>253</v>
      </c>
      <c r="AJ246" s="27"/>
      <c r="AK246" s="27"/>
      <c r="AL246" s="27"/>
      <c r="AM246" s="27"/>
      <c r="AN246" s="27"/>
      <c r="AO246" s="27"/>
      <c r="AP246" s="27"/>
      <c r="AQ246" s="27"/>
    </row>
    <row r="247" spans="1:43" ht="14.25" customHeight="1">
      <c r="A247" s="42">
        <v>24.245999999999999</v>
      </c>
      <c r="B247" s="14">
        <v>2024</v>
      </c>
      <c r="C247" s="36">
        <v>246</v>
      </c>
      <c r="D247" s="16" t="str">
        <f ca="1">IFERROR(__xludf.DUMMYFUNCTION("IMPORTXML(AI247, ""//h1[@itemprop='headline']/span"")"),"246. Mighty Auto Parts")</f>
        <v>246. Mighty Auto Parts</v>
      </c>
      <c r="E247" s="17" t="str">
        <f ca="1">IFERROR(__xludf.DUMMYFUNCTION("REGEXEXTRACT(D247, ""\.\s*(.+)"")"),"Mighty Auto Parts")</f>
        <v>Mighty Auto Parts</v>
      </c>
      <c r="F247" s="18" t="str">
        <f ca="1">IFERROR(__xludf.DUMMYFUNCTION("IMPORTXML(AI247, ""//li[strong[text()='Investment Range:']]"")"),"Investment Range:")</f>
        <v>Investment Range:</v>
      </c>
      <c r="G247" s="43" t="str">
        <f ca="1">IFERROR(__xludf.DUMMYFUNCTION("""COMPUTED_VALUE""")," $247,500 - $595,600")</f>
        <v xml:space="preserve"> $247,500 - $595,600</v>
      </c>
      <c r="H247" s="18" t="str">
        <f ca="1">IFERROR(__xludf.DUMMYFUNCTION("SUBSTITUTE(REGEXEXTRACT(G247, ""\$(\d{1,3}(?:,\d{3})*)""), "","", ""."")
"),"247.500")</f>
        <v>247.500</v>
      </c>
      <c r="I247" s="19" t="str">
        <f ca="1">IFERROR(__xludf.DUMMYFUNCTION("SUBSTITUTE(REGEXEXTRACT(G247, ""-\s*\$(\d{1,3}(?:,\d{3})*)""), "","", ""."")
"),"595.600")</f>
        <v>595.600</v>
      </c>
      <c r="J247" s="19" t="str">
        <f ca="1">IFERROR(__xludf.DUMMYFUNCTION("IMPORTXML(AI247, ""//li[strong[text()='Initial Investment:']]"")"),"Loading...")</f>
        <v>Loading...</v>
      </c>
      <c r="K247" s="24"/>
      <c r="L247" s="20" t="str">
        <f ca="1">IFERROR(__xludf.DUMMYFUNCTION("IMPORTXML(AI247, ""//li[strong[text()='Category:']]"")"),"Loading...")</f>
        <v>Loading...</v>
      </c>
      <c r="M247" s="24"/>
      <c r="N247" s="19" t="str">
        <f ca="1">IFERROR(__xludf.DUMMYFUNCTION("IMPORTXML(AI247, ""//li[strong[text()='Global Sales:']]"")"),"Loading...")</f>
        <v>Loading...</v>
      </c>
      <c r="O247" s="24"/>
      <c r="P247" s="19" t="str">
        <f t="shared" si="0"/>
        <v/>
      </c>
      <c r="Q247" s="19" t="str">
        <f ca="1">IFERROR(__xludf.DUMMYFUNCTION("IMPORTXML(AI247, ""//li[strong[text()='US Units:']]"")"),"Loading...")</f>
        <v>Loading...</v>
      </c>
      <c r="R247" s="24"/>
      <c r="S247" s="19" t="str">
        <f ca="1">IFERROR(__xludf.DUMMYFUNCTION("IMPORTXML(AI247, ""//li[strong[text()='International Units:']]"")"),"Loading...")</f>
        <v>Loading...</v>
      </c>
      <c r="T247" s="44"/>
      <c r="U247" s="19" t="str">
        <f ca="1">IFERROR(__xludf.DUMMYFUNCTION("IMPORTXML(AI247, ""//li[strong[text()='Percent Franchised:']]"")"),"Loading...")</f>
        <v>Loading...</v>
      </c>
      <c r="V247" s="24"/>
      <c r="W247" s="19" t="str">
        <f ca="1">IFERROR(__xludf.DUMMYFUNCTION("IMPORTXML(AI247, ""//li[strong[text()='% International Units:']]"")"),"Loading...")</f>
        <v>Loading...</v>
      </c>
      <c r="X247" s="24"/>
      <c r="Y247" s="19" t="str">
        <f ca="1">IFERROR(__xludf.DUMMYFUNCTION("IMPORTXML(AI247, ""//li[strong[text()='US Franchised Units:']]"")"),"Loading...")</f>
        <v>Loading...</v>
      </c>
      <c r="Z247" s="24"/>
      <c r="AA247" s="14" t="str">
        <f t="shared" si="1"/>
        <v/>
      </c>
      <c r="AB247" s="19" t="str">
        <f ca="1">IFERROR(__xludf.DUMMYFUNCTION("IMPORTXML(AI247, ""//li[strong[text()='International Franchised Units:']]"")"),"Loading...")</f>
        <v>Loading...</v>
      </c>
      <c r="AC247" s="24"/>
      <c r="AD247" s="14" t="str">
        <f t="shared" si="2"/>
        <v/>
      </c>
      <c r="AE247" s="25" t="str">
        <f ca="1">IFERROR(__xludf.DUMMYFUNCTION("IMPORTXML(AI247, ""//li[strong[text()='Sales Growth %:']]"")"),"Loading...")</f>
        <v>Loading...</v>
      </c>
      <c r="AF247" s="24"/>
      <c r="AG247" s="25" t="str">
        <f ca="1">IFERROR(__xludf.DUMMYFUNCTION("IMPORTXML(AI247, ""//li[strong[text()='Unit Growth %:']]"")"),"Loading...")</f>
        <v>Loading...</v>
      </c>
      <c r="AH247" s="25"/>
      <c r="AI247" s="48" t="s">
        <v>254</v>
      </c>
      <c r="AJ247" s="27"/>
      <c r="AK247" s="27"/>
      <c r="AL247" s="27"/>
      <c r="AM247" s="27"/>
      <c r="AN247" s="27"/>
      <c r="AO247" s="27"/>
      <c r="AP247" s="27"/>
      <c r="AQ247" s="27"/>
    </row>
    <row r="248" spans="1:43" ht="14.25" customHeight="1">
      <c r="A248" s="42">
        <v>24.247</v>
      </c>
      <c r="B248" s="14">
        <v>2024</v>
      </c>
      <c r="C248" s="36">
        <v>247</v>
      </c>
      <c r="D248" s="16" t="str">
        <f ca="1">IFERROR(__xludf.DUMMYFUNCTION("IMPORTXML(AI248, ""//h1[@itemprop='headline']/span"")"),"247. StretchLab")</f>
        <v>247. StretchLab</v>
      </c>
      <c r="E248" s="17" t="str">
        <f ca="1">IFERROR(__xludf.DUMMYFUNCTION("REGEXEXTRACT(D248, ""\.\s*(.+)"")"),"StretchLab")</f>
        <v>StretchLab</v>
      </c>
      <c r="F248" s="18" t="str">
        <f ca="1">IFERROR(__xludf.DUMMYFUNCTION("IMPORTXML(AI248, ""//li[strong[text()='Investment Range:']]"")"),"Investment Range:")</f>
        <v>Investment Range:</v>
      </c>
      <c r="G248" s="43" t="str">
        <f ca="1">IFERROR(__xludf.DUMMYFUNCTION("""COMPUTED_VALUE""")," $156,200 - $386,100")</f>
        <v xml:space="preserve"> $156,200 - $386,100</v>
      </c>
      <c r="H248" s="18" t="str">
        <f ca="1">IFERROR(__xludf.DUMMYFUNCTION("SUBSTITUTE(REGEXEXTRACT(G248, ""\$(\d{1,3}(?:,\d{3})*)""), "","", ""."")
"),"156.200")</f>
        <v>156.200</v>
      </c>
      <c r="I248" s="19" t="str">
        <f ca="1">IFERROR(__xludf.DUMMYFUNCTION("SUBSTITUTE(REGEXEXTRACT(G248, ""-\s*\$(\d{1,3}(?:,\d{3})*)""), "","", ""."")
"),"386.100")</f>
        <v>386.100</v>
      </c>
      <c r="J248" s="19" t="str">
        <f ca="1">IFERROR(__xludf.DUMMYFUNCTION("IMPORTXML(AI248, ""//li[strong[text()='Initial Investment:']]"")"),"Loading...")</f>
        <v>Loading...</v>
      </c>
      <c r="K248" s="24"/>
      <c r="L248" s="20" t="str">
        <f ca="1">IFERROR(__xludf.DUMMYFUNCTION("IMPORTXML(AI248, ""//li[strong[text()='Category:']]"")"),"Loading...")</f>
        <v>Loading...</v>
      </c>
      <c r="M248" s="24"/>
      <c r="N248" s="19" t="str">
        <f ca="1">IFERROR(__xludf.DUMMYFUNCTION("IMPORTXML(AI248, ""//li[strong[text()='Global Sales:']]"")"),"Loading...")</f>
        <v>Loading...</v>
      </c>
      <c r="O248" s="24"/>
      <c r="P248" s="19" t="str">
        <f t="shared" si="0"/>
        <v/>
      </c>
      <c r="Q248" s="19" t="str">
        <f ca="1">IFERROR(__xludf.DUMMYFUNCTION("IMPORTXML(AI248, ""//li[strong[text()='US Units:']]"")"),"Loading...")</f>
        <v>Loading...</v>
      </c>
      <c r="R248" s="24"/>
      <c r="S248" s="19" t="str">
        <f ca="1">IFERROR(__xludf.DUMMYFUNCTION("IMPORTXML(AI248, ""//li[strong[text()='International Units:']]"")"),"Loading...")</f>
        <v>Loading...</v>
      </c>
      <c r="T248" s="44"/>
      <c r="U248" s="19" t="str">
        <f ca="1">IFERROR(__xludf.DUMMYFUNCTION("IMPORTXML(AI248, ""//li[strong[text()='Percent Franchised:']]"")"),"Loading...")</f>
        <v>Loading...</v>
      </c>
      <c r="V248" s="24"/>
      <c r="W248" s="19" t="str">
        <f ca="1">IFERROR(__xludf.DUMMYFUNCTION("IMPORTXML(AI248, ""//li[strong[text()='% International Units:']]"")"),"Loading...")</f>
        <v>Loading...</v>
      </c>
      <c r="X248" s="24"/>
      <c r="Y248" s="19" t="str">
        <f ca="1">IFERROR(__xludf.DUMMYFUNCTION("IMPORTXML(AI248, ""//li[strong[text()='US Franchised Units:']]"")"),"Loading...")</f>
        <v>Loading...</v>
      </c>
      <c r="Z248" s="24"/>
      <c r="AA248" s="14" t="str">
        <f t="shared" si="1"/>
        <v/>
      </c>
      <c r="AB248" s="19" t="str">
        <f ca="1">IFERROR(__xludf.DUMMYFUNCTION("IMPORTXML(AI248, ""//li[strong[text()='International Franchised Units:']]"")"),"Loading...")</f>
        <v>Loading...</v>
      </c>
      <c r="AC248" s="24"/>
      <c r="AD248" s="14" t="str">
        <f t="shared" si="2"/>
        <v/>
      </c>
      <c r="AE248" s="25" t="str">
        <f ca="1">IFERROR(__xludf.DUMMYFUNCTION("IMPORTXML(AI248, ""//li[strong[text()='Sales Growth %:']]"")"),"Loading...")</f>
        <v>Loading...</v>
      </c>
      <c r="AF248" s="24"/>
      <c r="AG248" s="25" t="str">
        <f ca="1">IFERROR(__xludf.DUMMYFUNCTION("IMPORTXML(AI248, ""//li[strong[text()='Unit Growth %:']]"")"),"Loading...")</f>
        <v>Loading...</v>
      </c>
      <c r="AH248" s="25"/>
      <c r="AI248" s="48" t="s">
        <v>255</v>
      </c>
      <c r="AJ248" s="27"/>
      <c r="AK248" s="27"/>
      <c r="AL248" s="27"/>
      <c r="AM248" s="27"/>
      <c r="AN248" s="27"/>
      <c r="AO248" s="27"/>
      <c r="AP248" s="27"/>
      <c r="AQ248" s="27"/>
    </row>
    <row r="249" spans="1:43" ht="14.25" customHeight="1">
      <c r="A249" s="42">
        <v>24.248000000000001</v>
      </c>
      <c r="B249" s="14">
        <v>2024</v>
      </c>
      <c r="C249" s="15">
        <v>248</v>
      </c>
      <c r="D249" s="16" t="str">
        <f ca="1">IFERROR(__xludf.DUMMYFUNCTION("IMPORTXML(AI249, ""//h1[@itemprop='headline']/span"")"),"248. Burn Boot Camp")</f>
        <v>248. Burn Boot Camp</v>
      </c>
      <c r="E249" s="17" t="str">
        <f ca="1">IFERROR(__xludf.DUMMYFUNCTION("REGEXEXTRACT(D249, ""\.\s*(.+)"")"),"Burn Boot Camp")</f>
        <v>Burn Boot Camp</v>
      </c>
      <c r="F249" s="18" t="str">
        <f ca="1">IFERROR(__xludf.DUMMYFUNCTION("IMPORTXML(AI249, ""//li[strong[text()='Investment Range:']]"")"),"Investment Range:")</f>
        <v>Investment Range:</v>
      </c>
      <c r="G249" s="43" t="str">
        <f ca="1">IFERROR(__xludf.DUMMYFUNCTION("""COMPUTED_VALUE""")," $249,375 - $573,679")</f>
        <v xml:space="preserve"> $249,375 - $573,679</v>
      </c>
      <c r="H249" s="18" t="str">
        <f ca="1">IFERROR(__xludf.DUMMYFUNCTION("SUBSTITUTE(REGEXEXTRACT(G249, ""\$(\d{1,3}(?:,\d{3})*)""), "","", ""."")
"),"249.375")</f>
        <v>249.375</v>
      </c>
      <c r="I249" s="19" t="str">
        <f ca="1">IFERROR(__xludf.DUMMYFUNCTION("SUBSTITUTE(REGEXEXTRACT(G249, ""-\s*\$(\d{1,3}(?:,\d{3})*)""), "","", ""."")
"),"573.679")</f>
        <v>573.679</v>
      </c>
      <c r="J249" s="19" t="str">
        <f ca="1">IFERROR(__xludf.DUMMYFUNCTION("IMPORTXML(AI249, ""//li[strong[text()='Initial Investment:']]"")"),"Loading...")</f>
        <v>Loading...</v>
      </c>
      <c r="K249" s="24"/>
      <c r="L249" s="20" t="str">
        <f ca="1">IFERROR(__xludf.DUMMYFUNCTION("IMPORTXML(AI249, ""//li[strong[text()='Category:']]"")"),"Loading...")</f>
        <v>Loading...</v>
      </c>
      <c r="M249" s="24"/>
      <c r="N249" s="19" t="str">
        <f ca="1">IFERROR(__xludf.DUMMYFUNCTION("IMPORTXML(AI249, ""//li[strong[text()='Global Sales:']]"")"),"Loading...")</f>
        <v>Loading...</v>
      </c>
      <c r="O249" s="24"/>
      <c r="P249" s="19" t="str">
        <f t="shared" si="0"/>
        <v/>
      </c>
      <c r="Q249" s="19" t="str">
        <f ca="1">IFERROR(__xludf.DUMMYFUNCTION("IMPORTXML(AI249, ""//li[strong[text()='US Units:']]"")"),"US Units:")</f>
        <v>US Units:</v>
      </c>
      <c r="R249" s="24">
        <f ca="1">IFERROR(__xludf.DUMMYFUNCTION("""COMPUTED_VALUE"""),344)</f>
        <v>344</v>
      </c>
      <c r="S249" s="19" t="str">
        <f ca="1">IFERROR(__xludf.DUMMYFUNCTION("IMPORTXML(AI249, ""//li[strong[text()='International Units:']]"")"),"Loading...")</f>
        <v>Loading...</v>
      </c>
      <c r="T249" s="44"/>
      <c r="U249" s="19" t="str">
        <f ca="1">IFERROR(__xludf.DUMMYFUNCTION("IMPORTXML(AI249, ""//li[strong[text()='Percent Franchised:']]"")"),"Loading...")</f>
        <v>Loading...</v>
      </c>
      <c r="V249" s="24"/>
      <c r="W249" s="19" t="str">
        <f ca="1">IFERROR(__xludf.DUMMYFUNCTION("IMPORTXML(AI249, ""//li[strong[text()='% International Units:']]"")"),"Loading...")</f>
        <v>Loading...</v>
      </c>
      <c r="X249" s="24"/>
      <c r="Y249" s="19" t="str">
        <f ca="1">IFERROR(__xludf.DUMMYFUNCTION("IMPORTXML(AI249, ""//li[strong[text()='US Franchised Units:']]"")"),"Loading...")</f>
        <v>Loading...</v>
      </c>
      <c r="Z249" s="24"/>
      <c r="AA249" s="14" t="str">
        <f t="shared" si="1"/>
        <v/>
      </c>
      <c r="AB249" s="19" t="str">
        <f ca="1">IFERROR(__xludf.DUMMYFUNCTION("IMPORTXML(AI249, ""//li[strong[text()='International Franchised Units:']]"")"),"Loading...")</f>
        <v>Loading...</v>
      </c>
      <c r="AC249" s="24"/>
      <c r="AD249" s="14" t="str">
        <f t="shared" si="2"/>
        <v/>
      </c>
      <c r="AE249" s="25" t="str">
        <f ca="1">IFERROR(__xludf.DUMMYFUNCTION("IMPORTXML(AI249, ""//li[strong[text()='Sales Growth %:']]"")"),"Loading...")</f>
        <v>Loading...</v>
      </c>
      <c r="AF249" s="24"/>
      <c r="AG249" s="25" t="str">
        <f ca="1">IFERROR(__xludf.DUMMYFUNCTION("IMPORTXML(AI249, ""//li[strong[text()='Unit Growth %:']]"")"),"Loading...")</f>
        <v>Loading...</v>
      </c>
      <c r="AH249" s="25"/>
      <c r="AI249" s="48" t="s">
        <v>256</v>
      </c>
      <c r="AJ249" s="27"/>
      <c r="AK249" s="27"/>
      <c r="AL249" s="27"/>
      <c r="AM249" s="27"/>
      <c r="AN249" s="27"/>
      <c r="AO249" s="27"/>
      <c r="AP249" s="27"/>
      <c r="AQ249" s="27"/>
    </row>
    <row r="250" spans="1:43" ht="14.25" customHeight="1">
      <c r="A250" s="42">
        <v>24.248999999999999</v>
      </c>
      <c r="B250" s="14">
        <v>2024</v>
      </c>
      <c r="C250" s="32">
        <v>249</v>
      </c>
      <c r="D250" s="16" t="str">
        <f ca="1">IFERROR(__xludf.DUMMYFUNCTION("IMPORTXML(AI250, ""//h1[@itemprop='headline']/span"")"),"249. Yogen Fruz")</f>
        <v>249. Yogen Fruz</v>
      </c>
      <c r="E250" s="17" t="str">
        <f ca="1">IFERROR(__xludf.DUMMYFUNCTION("REGEXEXTRACT(D250, ""\.\s*(.+)"")"),"Yogen Fruz")</f>
        <v>Yogen Fruz</v>
      </c>
      <c r="F250" s="18" t="str">
        <f ca="1">IFERROR(__xludf.DUMMYFUNCTION("IMPORTXML(AI250, ""//li[strong[text()='Investment Range:']]"")"),"Investment Range:")</f>
        <v>Investment Range:</v>
      </c>
      <c r="G250" s="43" t="str">
        <f ca="1">IFERROR(__xludf.DUMMYFUNCTION("""COMPUTED_VALUE""")," $251,950 - $1,170,950")</f>
        <v xml:space="preserve"> $251,950 - $1,170,950</v>
      </c>
      <c r="H250" s="18" t="str">
        <f ca="1">IFERROR(__xludf.DUMMYFUNCTION("SUBSTITUTE(REGEXEXTRACT(G250, ""\$(\d{1,3}(?:,\d{3})*)""), "","", ""."")
"),"251.950")</f>
        <v>251.950</v>
      </c>
      <c r="I250" s="19" t="str">
        <f ca="1">IFERROR(__xludf.DUMMYFUNCTION("SUBSTITUTE(REGEXEXTRACT(G250, ""-\s*\$(\d{1,3}(?:,\d{3})*)""), "","", ""."")
"),"1.170.950")</f>
        <v>1.170.950</v>
      </c>
      <c r="J250" s="19" t="str">
        <f ca="1">IFERROR(__xludf.DUMMYFUNCTION("IMPORTXML(AI250, ""//li[strong[text()='Initial Investment:']]"")"),"Loading...")</f>
        <v>Loading...</v>
      </c>
      <c r="K250" s="24"/>
      <c r="L250" s="20" t="str">
        <f ca="1">IFERROR(__xludf.DUMMYFUNCTION("IMPORTXML(AI250, ""//li[strong[text()='Category:']]"")"),"Loading...")</f>
        <v>Loading...</v>
      </c>
      <c r="M250" s="24"/>
      <c r="N250" s="19" t="str">
        <f ca="1">IFERROR(__xludf.DUMMYFUNCTION("IMPORTXML(AI250, ""//li[strong[text()='Global Sales:']]"")"),"Loading...")</f>
        <v>Loading...</v>
      </c>
      <c r="O250" s="24"/>
      <c r="P250" s="19" t="str">
        <f t="shared" si="0"/>
        <v/>
      </c>
      <c r="Q250" s="19" t="str">
        <f ca="1">IFERROR(__xludf.DUMMYFUNCTION("IMPORTXML(AI250, ""//li[strong[text()='US Units:']]"")"),"US Units:")</f>
        <v>US Units:</v>
      </c>
      <c r="R250" s="24">
        <f ca="1">IFERROR(__xludf.DUMMYFUNCTION("""COMPUTED_VALUE"""),32)</f>
        <v>32</v>
      </c>
      <c r="S250" s="19" t="str">
        <f ca="1">IFERROR(__xludf.DUMMYFUNCTION("IMPORTXML(AI250, ""//li[strong[text()='International Units:']]"")"),"Loading...")</f>
        <v>Loading...</v>
      </c>
      <c r="T250" s="44"/>
      <c r="U250" s="19" t="str">
        <f ca="1">IFERROR(__xludf.DUMMYFUNCTION("IMPORTXML(AI250, ""//li[strong[text()='Percent Franchised:']]"")"),"Loading...")</f>
        <v>Loading...</v>
      </c>
      <c r="V250" s="24"/>
      <c r="W250" s="19" t="str">
        <f ca="1">IFERROR(__xludf.DUMMYFUNCTION("IMPORTXML(AI250, ""//li[strong[text()='% International Units:']]"")"),"Loading...")</f>
        <v>Loading...</v>
      </c>
      <c r="X250" s="24"/>
      <c r="Y250" s="19" t="str">
        <f ca="1">IFERROR(__xludf.DUMMYFUNCTION("IMPORTXML(AI250, ""//li[strong[text()='US Franchised Units:']]"")"),"Loading...")</f>
        <v>Loading...</v>
      </c>
      <c r="Z250" s="24"/>
      <c r="AA250" s="14" t="str">
        <f t="shared" si="1"/>
        <v/>
      </c>
      <c r="AB250" s="19" t="str">
        <f ca="1">IFERROR(__xludf.DUMMYFUNCTION("IMPORTXML(AI250, ""//li[strong[text()='International Franchised Units:']]"")"),"Loading...")</f>
        <v>Loading...</v>
      </c>
      <c r="AC250" s="24"/>
      <c r="AD250" s="14" t="str">
        <f t="shared" si="2"/>
        <v/>
      </c>
      <c r="AE250" s="25" t="str">
        <f ca="1">IFERROR(__xludf.DUMMYFUNCTION("IMPORTXML(AI250, ""//li[strong[text()='Sales Growth %:']]"")"),"Loading...")</f>
        <v>Loading...</v>
      </c>
      <c r="AF250" s="24"/>
      <c r="AG250" s="25" t="str">
        <f ca="1">IFERROR(__xludf.DUMMYFUNCTION("IMPORTXML(AI250, ""//li[strong[text()='Unit Growth %:']]"")"),"Loading...")</f>
        <v>Loading...</v>
      </c>
      <c r="AH250" s="25"/>
      <c r="AI250" s="48" t="s">
        <v>257</v>
      </c>
      <c r="AJ250" s="27"/>
      <c r="AK250" s="27"/>
      <c r="AL250" s="27"/>
      <c r="AM250" s="27"/>
      <c r="AN250" s="27"/>
      <c r="AO250" s="27"/>
      <c r="AP250" s="27"/>
      <c r="AQ250" s="27"/>
    </row>
    <row r="251" spans="1:43" ht="14.25" customHeight="1">
      <c r="A251" s="42">
        <v>24.25</v>
      </c>
      <c r="B251" s="14">
        <v>2024</v>
      </c>
      <c r="C251" s="36">
        <v>250</v>
      </c>
      <c r="D251" s="16" t="str">
        <f ca="1">IFERROR(__xludf.DUMMYFUNCTION("IMPORTXML(AI251, ""//h1[@itemprop='headline']/span"")"),"250. La Madeleine")</f>
        <v>250. La Madeleine</v>
      </c>
      <c r="E251" s="17" t="str">
        <f ca="1">IFERROR(__xludf.DUMMYFUNCTION("REGEXEXTRACT(D251, ""\.\s*(.+)"")"),"La Madeleine")</f>
        <v>La Madeleine</v>
      </c>
      <c r="F251" s="18" t="str">
        <f ca="1">IFERROR(__xludf.DUMMYFUNCTION("IMPORTXML(AI251, ""//li[strong[text()='Investment Range:']]"")"),"Investment Range:")</f>
        <v>Investment Range:</v>
      </c>
      <c r="G251" s="43" t="str">
        <f ca="1">IFERROR(__xludf.DUMMYFUNCTION("""COMPUTED_VALUE""")," $430,077 - $2,204,095")</f>
        <v xml:space="preserve"> $430,077 - $2,204,095</v>
      </c>
      <c r="H251" s="18" t="str">
        <f ca="1">IFERROR(__xludf.DUMMYFUNCTION("SUBSTITUTE(REGEXEXTRACT(G251, ""\$(\d{1,3}(?:,\d{3})*)""), "","", ""."")
"),"430.077")</f>
        <v>430.077</v>
      </c>
      <c r="I251" s="19" t="str">
        <f ca="1">IFERROR(__xludf.DUMMYFUNCTION("SUBSTITUTE(REGEXEXTRACT(G251, ""-\s*\$(\d{1,3}(?:,\d{3})*)""), "","", ""."")
"),"2.204.095")</f>
        <v>2.204.095</v>
      </c>
      <c r="J251" s="19" t="str">
        <f ca="1">IFERROR(__xludf.DUMMYFUNCTION("IMPORTXML(AI251, ""//li[strong[text()='Initial Investment:']]"")"),"Loading...")</f>
        <v>Loading...</v>
      </c>
      <c r="K251" s="24"/>
      <c r="L251" s="20" t="str">
        <f ca="1">IFERROR(__xludf.DUMMYFUNCTION("IMPORTXML(AI251, ""//li[strong[text()='Category:']]"")"),"Loading...")</f>
        <v>Loading...</v>
      </c>
      <c r="M251" s="24"/>
      <c r="N251" s="19" t="str">
        <f ca="1">IFERROR(__xludf.DUMMYFUNCTION("IMPORTXML(AI251, ""//li[strong[text()='Global Sales:']]"")"),"Loading...")</f>
        <v>Loading...</v>
      </c>
      <c r="O251" s="24"/>
      <c r="P251" s="19" t="str">
        <f t="shared" si="0"/>
        <v/>
      </c>
      <c r="Q251" s="19" t="str">
        <f ca="1">IFERROR(__xludf.DUMMYFUNCTION("IMPORTXML(AI251, ""//li[strong[text()='US Units:']]"")"),"Loading...")</f>
        <v>Loading...</v>
      </c>
      <c r="R251" s="24"/>
      <c r="S251" s="19" t="str">
        <f ca="1">IFERROR(__xludf.DUMMYFUNCTION("IMPORTXML(AI251, ""//li[strong[text()='International Units:']]"")"),"Loading...")</f>
        <v>Loading...</v>
      </c>
      <c r="T251" s="44"/>
      <c r="U251" s="19" t="str">
        <f ca="1">IFERROR(__xludf.DUMMYFUNCTION("IMPORTXML(AI251, ""//li[strong[text()='Percent Franchised:']]"")"),"Loading...")</f>
        <v>Loading...</v>
      </c>
      <c r="V251" s="24"/>
      <c r="W251" s="19" t="str">
        <f ca="1">IFERROR(__xludf.DUMMYFUNCTION("IMPORTXML(AI251, ""//li[strong[text()='% International Units:']]"")"),"Loading...")</f>
        <v>Loading...</v>
      </c>
      <c r="X251" s="24"/>
      <c r="Y251" s="19" t="str">
        <f ca="1">IFERROR(__xludf.DUMMYFUNCTION("IMPORTXML(AI251, ""//li[strong[text()='US Franchised Units:']]"")"),"Loading...")</f>
        <v>Loading...</v>
      </c>
      <c r="Z251" s="24"/>
      <c r="AA251" s="14" t="str">
        <f t="shared" si="1"/>
        <v/>
      </c>
      <c r="AB251" s="19" t="str">
        <f ca="1">IFERROR(__xludf.DUMMYFUNCTION("IMPORTXML(AI251, ""//li[strong[text()='International Franchised Units:']]"")"),"Loading...")</f>
        <v>Loading...</v>
      </c>
      <c r="AC251" s="24"/>
      <c r="AD251" s="14" t="str">
        <f t="shared" si="2"/>
        <v/>
      </c>
      <c r="AE251" s="25" t="str">
        <f ca="1">IFERROR(__xludf.DUMMYFUNCTION("IMPORTXML(AI251, ""//li[strong[text()='Sales Growth %:']]"")"),"Sales Growth %:")</f>
        <v>Sales Growth %:</v>
      </c>
      <c r="AF251" s="24" t="str">
        <f ca="1">IFERROR(__xludf.DUMMYFUNCTION("""COMPUTED_VALUE""")," 1.3%")</f>
        <v xml:space="preserve"> 1.3%</v>
      </c>
      <c r="AG251" s="25" t="str">
        <f ca="1">IFERROR(__xludf.DUMMYFUNCTION("IMPORTXML(AI251, ""//li[strong[text()='Unit Growth %:']]"")"),"Loading...")</f>
        <v>Loading...</v>
      </c>
      <c r="AH251" s="25"/>
      <c r="AI251" s="48" t="s">
        <v>258</v>
      </c>
      <c r="AJ251" s="27"/>
      <c r="AK251" s="27"/>
      <c r="AL251" s="27"/>
      <c r="AM251" s="27"/>
      <c r="AN251" s="27"/>
      <c r="AO251" s="27"/>
      <c r="AP251" s="27"/>
      <c r="AQ251" s="27"/>
    </row>
    <row r="252" spans="1:43" ht="14.25" customHeight="1">
      <c r="A252" s="42">
        <v>24.251000000000001</v>
      </c>
      <c r="B252" s="14">
        <v>2024</v>
      </c>
      <c r="C252" s="36">
        <v>251</v>
      </c>
      <c r="D252" s="16" t="str">
        <f ca="1">IFERROR(__xludf.DUMMYFUNCTION("IMPORTXML(AI252, ""//h1[@itemprop='headline']/span"")"),"251. 7 Brew")</f>
        <v>251. 7 Brew</v>
      </c>
      <c r="E252" s="17" t="str">
        <f ca="1">IFERROR(__xludf.DUMMYFUNCTION("REGEXEXTRACT(D252, ""\.\s*(.+)"")"),"7 Brew")</f>
        <v>7 Brew</v>
      </c>
      <c r="F252" s="18" t="str">
        <f ca="1">IFERROR(__xludf.DUMMYFUNCTION("IMPORTXML(AI252, ""//li[strong[text()='Investment Range:']]"")"),"#N/A")</f>
        <v>#N/A</v>
      </c>
      <c r="G252" s="43"/>
      <c r="H252" s="18" t="str">
        <f ca="1">IFERROR(__xludf.DUMMYFUNCTION("SUBSTITUTE(REGEXEXTRACT(G252, ""\$(\d{1,3}(?:,\d{3})*)""), "","", ""."")
"),"#N/A")</f>
        <v>#N/A</v>
      </c>
      <c r="I252" s="19" t="str">
        <f ca="1">IFERROR(__xludf.DUMMYFUNCTION("SUBSTITUTE(REGEXEXTRACT(G252, ""-\s*\$(\d{1,3}(?:,\d{3})*)""), "","", ""."")
"),"#N/A")</f>
        <v>#N/A</v>
      </c>
      <c r="J252" s="19" t="str">
        <f ca="1">IFERROR(__xludf.DUMMYFUNCTION("IMPORTXML(AI252, ""//li[strong[text()='Initial Investment:']]"")"),"Loading...")</f>
        <v>Loading...</v>
      </c>
      <c r="K252" s="24"/>
      <c r="L252" s="20" t="str">
        <f ca="1">IFERROR(__xludf.DUMMYFUNCTION("IMPORTXML(AI252, ""//li[strong[text()='Category:']]"")"),"Loading...")</f>
        <v>Loading...</v>
      </c>
      <c r="M252" s="24"/>
      <c r="N252" s="19" t="str">
        <f ca="1">IFERROR(__xludf.DUMMYFUNCTION("IMPORTXML(AI252, ""//li[strong[text()='Global Sales:']]"")"),"Loading...")</f>
        <v>Loading...</v>
      </c>
      <c r="O252" s="24"/>
      <c r="P252" s="19" t="str">
        <f t="shared" si="0"/>
        <v/>
      </c>
      <c r="Q252" s="19" t="str">
        <f ca="1">IFERROR(__xludf.DUMMYFUNCTION("IMPORTXML(AI252, ""//li[strong[text()='US Units:']]"")"),"Loading...")</f>
        <v>Loading...</v>
      </c>
      <c r="R252" s="24"/>
      <c r="S252" s="19" t="str">
        <f ca="1">IFERROR(__xludf.DUMMYFUNCTION("IMPORTXML(AI252, ""//li[strong[text()='International Units:']]"")"),"Loading...")</f>
        <v>Loading...</v>
      </c>
      <c r="T252" s="44"/>
      <c r="U252" s="19" t="str">
        <f ca="1">IFERROR(__xludf.DUMMYFUNCTION("IMPORTXML(AI252, ""//li[strong[text()='Percent Franchised:']]"")"),"Loading...")</f>
        <v>Loading...</v>
      </c>
      <c r="V252" s="24"/>
      <c r="W252" s="19" t="str">
        <f ca="1">IFERROR(__xludf.DUMMYFUNCTION("IMPORTXML(AI252, ""//li[strong[text()='% International Units:']]"")"),"Loading...")</f>
        <v>Loading...</v>
      </c>
      <c r="X252" s="24"/>
      <c r="Y252" s="19" t="str">
        <f ca="1">IFERROR(__xludf.DUMMYFUNCTION("IMPORTXML(AI252, ""//li[strong[text()='US Franchised Units:']]"")"),"Loading...")</f>
        <v>Loading...</v>
      </c>
      <c r="Z252" s="24"/>
      <c r="AA252" s="14" t="str">
        <f t="shared" si="1"/>
        <v/>
      </c>
      <c r="AB252" s="19" t="str">
        <f ca="1">IFERROR(__xludf.DUMMYFUNCTION("IMPORTXML(AI252, ""//li[strong[text()='International Franchised Units:']]"")"),"Loading...")</f>
        <v>Loading...</v>
      </c>
      <c r="AC252" s="24"/>
      <c r="AD252" s="14" t="str">
        <f t="shared" si="2"/>
        <v/>
      </c>
      <c r="AE252" s="25" t="str">
        <f ca="1">IFERROR(__xludf.DUMMYFUNCTION("IMPORTXML(AI252, ""//li[strong[text()='Sales Growth %:']]"")"),"Loading...")</f>
        <v>Loading...</v>
      </c>
      <c r="AF252" s="24"/>
      <c r="AG252" s="25" t="str">
        <f ca="1">IFERROR(__xludf.DUMMYFUNCTION("IMPORTXML(AI252, ""//li[strong[text()='Unit Growth %:']]"")"),"Loading...")</f>
        <v>Loading...</v>
      </c>
      <c r="AH252" s="25"/>
      <c r="AI252" s="48" t="s">
        <v>259</v>
      </c>
      <c r="AJ252" s="27"/>
      <c r="AK252" s="27"/>
      <c r="AL252" s="27"/>
      <c r="AM252" s="27"/>
      <c r="AN252" s="27"/>
      <c r="AO252" s="27"/>
      <c r="AP252" s="27"/>
      <c r="AQ252" s="27"/>
    </row>
    <row r="253" spans="1:43" ht="14.25" customHeight="1">
      <c r="A253" s="42">
        <v>24.251999999999999</v>
      </c>
      <c r="B253" s="14">
        <v>2024</v>
      </c>
      <c r="C253" s="15">
        <v>252</v>
      </c>
      <c r="D253" s="16" t="str">
        <f ca="1">IFERROR(__xludf.DUMMYFUNCTION("IMPORTXML(AI253, ""//h1[@itemprop='headline']/span"")"),"252. Dogtopia")</f>
        <v>252. Dogtopia</v>
      </c>
      <c r="E253" s="17" t="str">
        <f ca="1">IFERROR(__xludf.DUMMYFUNCTION("REGEXEXTRACT(D253, ""\.\s*(.+)"")"),"Dogtopia")</f>
        <v>Dogtopia</v>
      </c>
      <c r="F253" s="18" t="str">
        <f ca="1">IFERROR(__xludf.DUMMYFUNCTION("IMPORTXML(AI253, ""//li[strong[text()='Investment Range:']]"")"),"#REF!")</f>
        <v>#REF!</v>
      </c>
      <c r="G253" s="43"/>
      <c r="H253" s="18" t="str">
        <f ca="1">IFERROR(__xludf.DUMMYFUNCTION("SUBSTITUTE(REGEXEXTRACT(G253, ""\$(\d{1,3}(?:,\d{3})*)""), "","", ""."")
"),"#N/A")</f>
        <v>#N/A</v>
      </c>
      <c r="I253" s="19" t="str">
        <f ca="1">IFERROR(__xludf.DUMMYFUNCTION("SUBSTITUTE(REGEXEXTRACT(G253, ""-\s*\$(\d{1,3}(?:,\d{3})*)""), "","", ""."")
"),"#N/A")</f>
        <v>#N/A</v>
      </c>
      <c r="J253" s="19" t="str">
        <f ca="1">IFERROR(__xludf.DUMMYFUNCTION("IMPORTXML(AI253, ""//li[strong[text()='Initial Investment:']]"")"),"Loading...")</f>
        <v>Loading...</v>
      </c>
      <c r="K253" s="24"/>
      <c r="L253" s="20" t="str">
        <f ca="1">IFERROR(__xludf.DUMMYFUNCTION("IMPORTXML(AI253, ""//li[strong[text()='Category:']]"")"),"Loading...")</f>
        <v>Loading...</v>
      </c>
      <c r="M253" s="24"/>
      <c r="N253" s="19" t="str">
        <f ca="1">IFERROR(__xludf.DUMMYFUNCTION("IMPORTXML(AI253, ""//li[strong[text()='Global Sales:']]"")"),"Loading...")</f>
        <v>Loading...</v>
      </c>
      <c r="O253" s="24"/>
      <c r="P253" s="19" t="str">
        <f t="shared" si="0"/>
        <v/>
      </c>
      <c r="Q253" s="19" t="str">
        <f ca="1">IFERROR(__xludf.DUMMYFUNCTION("IMPORTXML(AI253, ""//li[strong[text()='US Units:']]"")"),"Loading...")</f>
        <v>Loading...</v>
      </c>
      <c r="R253" s="24"/>
      <c r="S253" s="19" t="str">
        <f ca="1">IFERROR(__xludf.DUMMYFUNCTION("IMPORTXML(AI253, ""//li[strong[text()='International Units:']]"")"),"Loading...")</f>
        <v>Loading...</v>
      </c>
      <c r="T253" s="44"/>
      <c r="U253" s="19" t="str">
        <f ca="1">IFERROR(__xludf.DUMMYFUNCTION("IMPORTXML(AI253, ""//li[strong[text()='Percent Franchised:']]"")"),"Loading...")</f>
        <v>Loading...</v>
      </c>
      <c r="V253" s="24"/>
      <c r="W253" s="19" t="str">
        <f ca="1">IFERROR(__xludf.DUMMYFUNCTION("IMPORTXML(AI253, ""//li[strong[text()='% International Units:']]"")"),"Loading...")</f>
        <v>Loading...</v>
      </c>
      <c r="X253" s="24"/>
      <c r="Y253" s="19" t="str">
        <f ca="1">IFERROR(__xludf.DUMMYFUNCTION("IMPORTXML(AI253, ""//li[strong[text()='US Franchised Units:']]"")"),"Loading...")</f>
        <v>Loading...</v>
      </c>
      <c r="Z253" s="24"/>
      <c r="AA253" s="14" t="str">
        <f t="shared" si="1"/>
        <v/>
      </c>
      <c r="AB253" s="19" t="str">
        <f ca="1">IFERROR(__xludf.DUMMYFUNCTION("IMPORTXML(AI253, ""//li[strong[text()='International Franchised Units:']]"")"),"International Franchised Units:")</f>
        <v>International Franchised Units:</v>
      </c>
      <c r="AC253" s="24">
        <f ca="1">IFERROR(__xludf.DUMMYFUNCTION("""COMPUTED_VALUE"""),18)</f>
        <v>18</v>
      </c>
      <c r="AD253" s="14" t="str">
        <f t="shared" ca="1" si="2"/>
        <v>18</v>
      </c>
      <c r="AE253" s="25" t="str">
        <f ca="1">IFERROR(__xludf.DUMMYFUNCTION("IMPORTXML(AI253, ""//li[strong[text()='Sales Growth %:']]"")"),"Loading...")</f>
        <v>Loading...</v>
      </c>
      <c r="AF253" s="24"/>
      <c r="AG253" s="25" t="str">
        <f ca="1">IFERROR(__xludf.DUMMYFUNCTION("IMPORTXML(AI253, ""//li[strong[text()='Unit Growth %:']]"")"),"Loading...")</f>
        <v>Loading...</v>
      </c>
      <c r="AH253" s="25"/>
      <c r="AI253" s="48" t="s">
        <v>260</v>
      </c>
      <c r="AJ253" s="27"/>
      <c r="AK253" s="27"/>
      <c r="AL253" s="27"/>
      <c r="AM253" s="27"/>
      <c r="AN253" s="27"/>
      <c r="AO253" s="27"/>
      <c r="AP253" s="27"/>
      <c r="AQ253" s="27"/>
    </row>
    <row r="254" spans="1:43" ht="14.25" customHeight="1">
      <c r="A254" s="42">
        <v>24.253</v>
      </c>
      <c r="B254" s="14">
        <v>2024</v>
      </c>
      <c r="C254" s="32">
        <v>253</v>
      </c>
      <c r="D254" s="16" t="str">
        <f ca="1">IFERROR(__xludf.DUMMYFUNCTION("IMPORTXML(AI254, ""//h1[@itemprop='headline']/span"")"),"253. Bar Louie")</f>
        <v>253. Bar Louie</v>
      </c>
      <c r="E254" s="17" t="str">
        <f ca="1">IFERROR(__xludf.DUMMYFUNCTION("REGEXEXTRACT(D254, ""\.\s*(.+)"")"),"Bar Louie")</f>
        <v>Bar Louie</v>
      </c>
      <c r="F254" s="18" t="str">
        <f ca="1">IFERROR(__xludf.DUMMYFUNCTION("IMPORTXML(AI254, ""//li[strong[text()='Investment Range:']]"")"),"Investment Range:")</f>
        <v>Investment Range:</v>
      </c>
      <c r="G254" s="43" t="str">
        <f ca="1">IFERROR(__xludf.DUMMYFUNCTION("""COMPUTED_VALUE""")," $1,079,500 - $3,974,000")</f>
        <v xml:space="preserve"> $1,079,500 - $3,974,000</v>
      </c>
      <c r="H254" s="18" t="str">
        <f ca="1">IFERROR(__xludf.DUMMYFUNCTION("SUBSTITUTE(REGEXEXTRACT(G254, ""\$(\d{1,3}(?:,\d{3})*)""), "","", ""."")
"),"1.079.500")</f>
        <v>1.079.500</v>
      </c>
      <c r="I254" s="19" t="str">
        <f ca="1">IFERROR(__xludf.DUMMYFUNCTION("SUBSTITUTE(REGEXEXTRACT(G254, ""-\s*\$(\d{1,3}(?:,\d{3})*)""), "","", ""."")
"),"3.974.000")</f>
        <v>3.974.000</v>
      </c>
      <c r="J254" s="19" t="str">
        <f ca="1">IFERROR(__xludf.DUMMYFUNCTION("IMPORTXML(AI254, ""//li[strong[text()='Initial Investment:']]"")"),"Loading...")</f>
        <v>Loading...</v>
      </c>
      <c r="K254" s="24"/>
      <c r="L254" s="20" t="str">
        <f ca="1">IFERROR(__xludf.DUMMYFUNCTION("IMPORTXML(AI254, ""//li[strong[text()='Category:']]"")"),"Loading...")</f>
        <v>Loading...</v>
      </c>
      <c r="M254" s="24"/>
      <c r="N254" s="19" t="str">
        <f ca="1">IFERROR(__xludf.DUMMYFUNCTION("IMPORTXML(AI254, ""//li[strong[text()='Global Sales:']]"")"),"Global Sales:")</f>
        <v>Global Sales:</v>
      </c>
      <c r="O254" s="24" t="str">
        <f ca="1">IFERROR(__xludf.DUMMYFUNCTION("""COMPUTED_VALUE""")," $190,000,000")</f>
        <v xml:space="preserve"> $190,000,000</v>
      </c>
      <c r="P254" s="19" t="str">
        <f t="shared" ca="1" si="0"/>
        <v xml:space="preserve"> 190.000.000</v>
      </c>
      <c r="Q254" s="19" t="str">
        <f ca="1">IFERROR(__xludf.DUMMYFUNCTION("IMPORTXML(AI254, ""//li[strong[text()='US Units:']]"")"),"Loading...")</f>
        <v>Loading...</v>
      </c>
      <c r="R254" s="24"/>
      <c r="S254" s="19" t="str">
        <f ca="1">IFERROR(__xludf.DUMMYFUNCTION("IMPORTXML(AI254, ""//li[strong[text()='International Units:']]"")"),"Loading...")</f>
        <v>Loading...</v>
      </c>
      <c r="T254" s="44"/>
      <c r="U254" s="19" t="str">
        <f ca="1">IFERROR(__xludf.DUMMYFUNCTION("IMPORTXML(AI254, ""//li[strong[text()='Percent Franchised:']]"")"),"Loading...")</f>
        <v>Loading...</v>
      </c>
      <c r="V254" s="24"/>
      <c r="W254" s="19" t="str">
        <f ca="1">IFERROR(__xludf.DUMMYFUNCTION("IMPORTXML(AI254, ""//li[strong[text()='% International Units:']]"")"),"Loading...")</f>
        <v>Loading...</v>
      </c>
      <c r="X254" s="24"/>
      <c r="Y254" s="19" t="str">
        <f ca="1">IFERROR(__xludf.DUMMYFUNCTION("IMPORTXML(AI254, ""//li[strong[text()='US Franchised Units:']]"")"),"Loading...")</f>
        <v>Loading...</v>
      </c>
      <c r="Z254" s="24"/>
      <c r="AA254" s="14" t="str">
        <f t="shared" si="1"/>
        <v/>
      </c>
      <c r="AB254" s="19" t="str">
        <f ca="1">IFERROR(__xludf.DUMMYFUNCTION("IMPORTXML(AI254, ""//li[strong[text()='International Franchised Units:']]"")"),"Loading...")</f>
        <v>Loading...</v>
      </c>
      <c r="AC254" s="24"/>
      <c r="AD254" s="14" t="str">
        <f t="shared" si="2"/>
        <v/>
      </c>
      <c r="AE254" s="25" t="str">
        <f ca="1">IFERROR(__xludf.DUMMYFUNCTION("IMPORTXML(AI254, ""//li[strong[text()='Sales Growth %:']]"")"),"Loading...")</f>
        <v>Loading...</v>
      </c>
      <c r="AF254" s="24"/>
      <c r="AG254" s="25" t="str">
        <f ca="1">IFERROR(__xludf.DUMMYFUNCTION("IMPORTXML(AI254, ""//li[strong[text()='Unit Growth %:']]"")"),"Loading...")</f>
        <v>Loading...</v>
      </c>
      <c r="AH254" s="25"/>
      <c r="AI254" s="48" t="s">
        <v>261</v>
      </c>
      <c r="AJ254" s="27"/>
      <c r="AK254" s="27"/>
      <c r="AL254" s="27"/>
      <c r="AM254" s="27"/>
      <c r="AN254" s="27"/>
      <c r="AO254" s="27"/>
      <c r="AP254" s="27"/>
      <c r="AQ254" s="27"/>
    </row>
    <row r="255" spans="1:43" ht="14.25" customHeight="1">
      <c r="A255" s="42">
        <v>24.254000000000001</v>
      </c>
      <c r="B255" s="14">
        <v>2024</v>
      </c>
      <c r="C255" s="36">
        <v>254</v>
      </c>
      <c r="D255" s="16" t="str">
        <f ca="1">IFERROR(__xludf.DUMMYFUNCTION("IMPORTXML(AI255, ""//h1[@itemprop='headline']/span"")"),"254. Andy's Frozen Custard")</f>
        <v>254. Andy's Frozen Custard</v>
      </c>
      <c r="E255" s="17" t="str">
        <f ca="1">IFERROR(__xludf.DUMMYFUNCTION("REGEXEXTRACT(D255, ""\.\s*(.+)"")"),"Andy's Frozen Custard")</f>
        <v>Andy's Frozen Custard</v>
      </c>
      <c r="F255" s="18" t="str">
        <f ca="1">IFERROR(__xludf.DUMMYFUNCTION("IMPORTXML(AI255, ""//li[strong[text()='Investment Range:']]"")"),"Investment Range:")</f>
        <v>Investment Range:</v>
      </c>
      <c r="G255" s="43" t="str">
        <f ca="1">IFERROR(__xludf.DUMMYFUNCTION("""COMPUTED_VALUE""")," $1,119,500 - $2,916,000")</f>
        <v xml:space="preserve"> $1,119,500 - $2,916,000</v>
      </c>
      <c r="H255" s="18" t="str">
        <f ca="1">IFERROR(__xludf.DUMMYFUNCTION("SUBSTITUTE(REGEXEXTRACT(G255, ""\$(\d{1,3}(?:,\d{3})*)""), "","", ""."")
"),"1.119.500")</f>
        <v>1.119.500</v>
      </c>
      <c r="I255" s="19" t="str">
        <f ca="1">IFERROR(__xludf.DUMMYFUNCTION("SUBSTITUTE(REGEXEXTRACT(G255, ""-\s*\$(\d{1,3}(?:,\d{3})*)""), "","", ""."")
"),"2.916.000")</f>
        <v>2.916.000</v>
      </c>
      <c r="J255" s="19" t="str">
        <f ca="1">IFERROR(__xludf.DUMMYFUNCTION("IMPORTXML(AI255, ""//li[strong[text()='Initial Investment:']]"")"),"Loading...")</f>
        <v>Loading...</v>
      </c>
      <c r="K255" s="24"/>
      <c r="L255" s="20" t="str">
        <f ca="1">IFERROR(__xludf.DUMMYFUNCTION("IMPORTXML(AI255, ""//li[strong[text()='Category:']]"")"),"Loading...")</f>
        <v>Loading...</v>
      </c>
      <c r="M255" s="24"/>
      <c r="N255" s="19" t="str">
        <f ca="1">IFERROR(__xludf.DUMMYFUNCTION("IMPORTXML(AI255, ""//li[strong[text()='Global Sales:']]"")"),"Loading...")</f>
        <v>Loading...</v>
      </c>
      <c r="O255" s="24"/>
      <c r="P255" s="19" t="str">
        <f t="shared" si="0"/>
        <v/>
      </c>
      <c r="Q255" s="19" t="str">
        <f ca="1">IFERROR(__xludf.DUMMYFUNCTION("IMPORTXML(AI255, ""//li[strong[text()='US Units:']]"")"),"Loading...")</f>
        <v>Loading...</v>
      </c>
      <c r="R255" s="24"/>
      <c r="S255" s="19" t="str">
        <f ca="1">IFERROR(__xludf.DUMMYFUNCTION("IMPORTXML(AI255, ""//li[strong[text()='International Units:']]"")"),"Loading...")</f>
        <v>Loading...</v>
      </c>
      <c r="T255" s="44"/>
      <c r="U255" s="19" t="str">
        <f ca="1">IFERROR(__xludf.DUMMYFUNCTION("IMPORTXML(AI255, ""//li[strong[text()='Percent Franchised:']]"")"),"Loading...")</f>
        <v>Loading...</v>
      </c>
      <c r="V255" s="24"/>
      <c r="W255" s="19" t="str">
        <f ca="1">IFERROR(__xludf.DUMMYFUNCTION("IMPORTXML(AI255, ""//li[strong[text()='% International Units:']]"")"),"Loading...")</f>
        <v>Loading...</v>
      </c>
      <c r="X255" s="24"/>
      <c r="Y255" s="19" t="str">
        <f ca="1">IFERROR(__xludf.DUMMYFUNCTION("IMPORTXML(AI255, ""//li[strong[text()='US Franchised Units:']]"")"),"Loading...")</f>
        <v>Loading...</v>
      </c>
      <c r="Z255" s="24"/>
      <c r="AA255" s="14" t="str">
        <f t="shared" si="1"/>
        <v/>
      </c>
      <c r="AB255" s="19" t="str">
        <f ca="1">IFERROR(__xludf.DUMMYFUNCTION("IMPORTXML(AI255, ""//li[strong[text()='International Franchised Units:']]"")"),"Loading...")</f>
        <v>Loading...</v>
      </c>
      <c r="AC255" s="24"/>
      <c r="AD255" s="14" t="str">
        <f t="shared" si="2"/>
        <v/>
      </c>
      <c r="AE255" s="25" t="str">
        <f ca="1">IFERROR(__xludf.DUMMYFUNCTION("IMPORTXML(AI255, ""//li[strong[text()='Sales Growth %:']]"")"),"Loading...")</f>
        <v>Loading...</v>
      </c>
      <c r="AF255" s="24"/>
      <c r="AG255" s="25" t="str">
        <f ca="1">IFERROR(__xludf.DUMMYFUNCTION("IMPORTXML(AI255, ""//li[strong[text()='Unit Growth %:']]"")"),"Loading...")</f>
        <v>Loading...</v>
      </c>
      <c r="AH255" s="25"/>
      <c r="AI255" s="48" t="s">
        <v>262</v>
      </c>
      <c r="AJ255" s="27"/>
      <c r="AK255" s="27"/>
      <c r="AL255" s="27"/>
      <c r="AM255" s="27"/>
      <c r="AN255" s="27"/>
      <c r="AO255" s="27"/>
      <c r="AP255" s="27"/>
      <c r="AQ255" s="27"/>
    </row>
    <row r="256" spans="1:43" ht="14.25" customHeight="1">
      <c r="A256" s="42">
        <v>24.254999999999999</v>
      </c>
      <c r="B256" s="14">
        <v>2024</v>
      </c>
      <c r="C256" s="36">
        <v>255</v>
      </c>
      <c r="D256" s="16" t="str">
        <f ca="1">IFERROR(__xludf.DUMMYFUNCTION("IMPORTXML(AI256, ""//h1[@itemprop='headline']/span"")"),"255. Stratus Building Solutions")</f>
        <v>255. Stratus Building Solutions</v>
      </c>
      <c r="E256" s="17" t="str">
        <f ca="1">IFERROR(__xludf.DUMMYFUNCTION("REGEXEXTRACT(D256, ""\.\s*(.+)"")"),"Stratus Building Solutions")</f>
        <v>Stratus Building Solutions</v>
      </c>
      <c r="F256" s="18" t="str">
        <f ca="1">IFERROR(__xludf.DUMMYFUNCTION("IMPORTXML(AI256, ""//li[strong[text()='Investment Range:']]"")"),"Investment Range:")</f>
        <v>Investment Range:</v>
      </c>
      <c r="G256" s="43" t="str">
        <f ca="1">IFERROR(__xludf.DUMMYFUNCTION("""COMPUTED_VALUE""")," $109,550 - $354,950")</f>
        <v xml:space="preserve"> $109,550 - $354,950</v>
      </c>
      <c r="H256" s="18" t="str">
        <f ca="1">IFERROR(__xludf.DUMMYFUNCTION("SUBSTITUTE(REGEXEXTRACT(G256, ""\$(\d{1,3}(?:,\d{3})*)""), "","", ""."")
"),"109.550")</f>
        <v>109.550</v>
      </c>
      <c r="I256" s="19" t="str">
        <f ca="1">IFERROR(__xludf.DUMMYFUNCTION("SUBSTITUTE(REGEXEXTRACT(G256, ""-\s*\$(\d{1,3}(?:,\d{3})*)""), "","", ""."")
"),"354.950")</f>
        <v>354.950</v>
      </c>
      <c r="J256" s="19" t="str">
        <f ca="1">IFERROR(__xludf.DUMMYFUNCTION("IMPORTXML(AI256, ""//li[strong[text()='Initial Investment:']]"")"),"Loading...")</f>
        <v>Loading...</v>
      </c>
      <c r="K256" s="24"/>
      <c r="L256" s="20" t="str">
        <f ca="1">IFERROR(__xludf.DUMMYFUNCTION("IMPORTXML(AI256, ""//li[strong[text()='Category:']]"")"),"Loading...")</f>
        <v>Loading...</v>
      </c>
      <c r="M256" s="24"/>
      <c r="N256" s="19" t="str">
        <f ca="1">IFERROR(__xludf.DUMMYFUNCTION("IMPORTXML(AI256, ""//li[strong[text()='Global Sales:']]"")"),"Loading...")</f>
        <v>Loading...</v>
      </c>
      <c r="O256" s="24"/>
      <c r="P256" s="19" t="str">
        <f t="shared" si="0"/>
        <v/>
      </c>
      <c r="Q256" s="19" t="str">
        <f ca="1">IFERROR(__xludf.DUMMYFUNCTION("IMPORTXML(AI256, ""//li[strong[text()='US Units:']]"")"),"Loading...")</f>
        <v>Loading...</v>
      </c>
      <c r="R256" s="24"/>
      <c r="S256" s="19" t="str">
        <f ca="1">IFERROR(__xludf.DUMMYFUNCTION("IMPORTXML(AI256, ""//li[strong[text()='International Units:']]"")"),"Loading...")</f>
        <v>Loading...</v>
      </c>
      <c r="T256" s="44"/>
      <c r="U256" s="19" t="str">
        <f ca="1">IFERROR(__xludf.DUMMYFUNCTION("IMPORTXML(AI256, ""//li[strong[text()='Percent Franchised:']]"")"),"Loading...")</f>
        <v>Loading...</v>
      </c>
      <c r="V256" s="24"/>
      <c r="W256" s="19" t="str">
        <f ca="1">IFERROR(__xludf.DUMMYFUNCTION("IMPORTXML(AI256, ""//li[strong[text()='% International Units:']]"")"),"Loading...")</f>
        <v>Loading...</v>
      </c>
      <c r="X256" s="24"/>
      <c r="Y256" s="19" t="str">
        <f ca="1">IFERROR(__xludf.DUMMYFUNCTION("IMPORTXML(AI256, ""//li[strong[text()='US Franchised Units:']]"")"),"Loading...")</f>
        <v>Loading...</v>
      </c>
      <c r="Z256" s="24"/>
      <c r="AA256" s="14" t="str">
        <f t="shared" si="1"/>
        <v/>
      </c>
      <c r="AB256" s="19" t="str">
        <f ca="1">IFERROR(__xludf.DUMMYFUNCTION("IMPORTXML(AI256, ""//li[strong[text()='International Franchised Units:']]"")"),"Loading...")</f>
        <v>Loading...</v>
      </c>
      <c r="AC256" s="24"/>
      <c r="AD256" s="14" t="str">
        <f t="shared" si="2"/>
        <v/>
      </c>
      <c r="AE256" s="25" t="str">
        <f ca="1">IFERROR(__xludf.DUMMYFUNCTION("IMPORTXML(AI256, ""//li[strong[text()='Sales Growth %:']]"")"),"Loading...")</f>
        <v>Loading...</v>
      </c>
      <c r="AF256" s="24"/>
      <c r="AG256" s="25" t="str">
        <f ca="1">IFERROR(__xludf.DUMMYFUNCTION("IMPORTXML(AI256, ""//li[strong[text()='Unit Growth %:']]"")"),"Unit Growth %:")</f>
        <v>Unit Growth %:</v>
      </c>
      <c r="AH256" s="25" t="str">
        <f ca="1">IFERROR(__xludf.DUMMYFUNCTION("""COMPUTED_VALUE""")," 25.3%")</f>
        <v xml:space="preserve"> 25.3%</v>
      </c>
      <c r="AI256" s="48" t="s">
        <v>263</v>
      </c>
      <c r="AJ256" s="27"/>
      <c r="AK256" s="27"/>
      <c r="AL256" s="27"/>
      <c r="AM256" s="27"/>
      <c r="AN256" s="27"/>
      <c r="AO256" s="27"/>
      <c r="AP256" s="27"/>
      <c r="AQ256" s="27"/>
    </row>
    <row r="257" spans="1:43" ht="14.25" customHeight="1">
      <c r="A257" s="42">
        <v>24.256</v>
      </c>
      <c r="B257" s="14">
        <v>2024</v>
      </c>
      <c r="C257" s="15">
        <v>256</v>
      </c>
      <c r="D257" s="16" t="str">
        <f ca="1">IFERROR(__xludf.DUMMYFUNCTION("IMPORTXML(AI257, ""//h1[@itemprop='headline']/span"")"),"256. Old Chicago Pizza &amp; Taproom")</f>
        <v>256. Old Chicago Pizza &amp; Taproom</v>
      </c>
      <c r="E257" s="17" t="str">
        <f ca="1">IFERROR(__xludf.DUMMYFUNCTION("REGEXEXTRACT(D257, ""\.\s*(.+)"")"),"Old Chicago Pizza &amp; Taproom")</f>
        <v>Old Chicago Pizza &amp; Taproom</v>
      </c>
      <c r="F257" s="18" t="str">
        <f ca="1">IFERROR(__xludf.DUMMYFUNCTION("IMPORTXML(AI257, ""//li[strong[text()='Investment Range:']]"")"),"Investment Range:")</f>
        <v>Investment Range:</v>
      </c>
      <c r="G257" s="43" t="str">
        <f ca="1">IFERROR(__xludf.DUMMYFUNCTION("""COMPUTED_VALUE""")," $1,329,000 - $1,947,000")</f>
        <v xml:space="preserve"> $1,329,000 - $1,947,000</v>
      </c>
      <c r="H257" s="18" t="str">
        <f ca="1">IFERROR(__xludf.DUMMYFUNCTION("SUBSTITUTE(REGEXEXTRACT(G257, ""\$(\d{1,3}(?:,\d{3})*)""), "","", ""."")
"),"1.329.000")</f>
        <v>1.329.000</v>
      </c>
      <c r="I257" s="19" t="str">
        <f ca="1">IFERROR(__xludf.DUMMYFUNCTION("SUBSTITUTE(REGEXEXTRACT(G257, ""-\s*\$(\d{1,3}(?:,\d{3})*)""), "","", ""."")
"),"1.947.000")</f>
        <v>1.947.000</v>
      </c>
      <c r="J257" s="19" t="str">
        <f ca="1">IFERROR(__xludf.DUMMYFUNCTION("IMPORTXML(AI257, ""//li[strong[text()='Initial Investment:']]"")"),"Loading...")</f>
        <v>Loading...</v>
      </c>
      <c r="K257" s="24"/>
      <c r="L257" s="20" t="str">
        <f ca="1">IFERROR(__xludf.DUMMYFUNCTION("IMPORTXML(AI257, ""//li[strong[text()='Category:']]"")"),"Loading...")</f>
        <v>Loading...</v>
      </c>
      <c r="M257" s="24"/>
      <c r="N257" s="19" t="str">
        <f ca="1">IFERROR(__xludf.DUMMYFUNCTION("IMPORTXML(AI257, ""//li[strong[text()='Global Sales:']]"")"),"Loading...")</f>
        <v>Loading...</v>
      </c>
      <c r="O257" s="24"/>
      <c r="P257" s="19" t="str">
        <f t="shared" ref="P257:P401" si="3">SUBSTITUTE(SUBSTITUTE(O257, "$", ""), ",", ".")</f>
        <v/>
      </c>
      <c r="Q257" s="19" t="str">
        <f ca="1">IFERROR(__xludf.DUMMYFUNCTION("IMPORTXML(AI257, ""//li[strong[text()='US Units:']]"")"),"Loading...")</f>
        <v>Loading...</v>
      </c>
      <c r="R257" s="24"/>
      <c r="S257" s="19" t="str">
        <f ca="1">IFERROR(__xludf.DUMMYFUNCTION("IMPORTXML(AI257, ""//li[strong[text()='International Units:']]"")"),"Loading...")</f>
        <v>Loading...</v>
      </c>
      <c r="T257" s="44"/>
      <c r="U257" s="19" t="str">
        <f ca="1">IFERROR(__xludf.DUMMYFUNCTION("IMPORTXML(AI257, ""//li[strong[text()='Percent Franchised:']]"")"),"Loading...")</f>
        <v>Loading...</v>
      </c>
      <c r="V257" s="24"/>
      <c r="W257" s="19" t="str">
        <f ca="1">IFERROR(__xludf.DUMMYFUNCTION("IMPORTXML(AI257, ""//li[strong[text()='% International Units:']]"")"),"Loading...")</f>
        <v>Loading...</v>
      </c>
      <c r="X257" s="24"/>
      <c r="Y257" s="19" t="str">
        <f ca="1">IFERROR(__xludf.DUMMYFUNCTION("IMPORTXML(AI257, ""//li[strong[text()='US Franchised Units:']]"")"),"Loading...")</f>
        <v>Loading...</v>
      </c>
      <c r="Z257" s="24"/>
      <c r="AA257" s="14" t="str">
        <f t="shared" ref="AA257:AA401" si="4">SUBSTITUTE(SUBSTITUTE(Z257, "$", ""), ",", ".")</f>
        <v/>
      </c>
      <c r="AB257" s="19" t="str">
        <f ca="1">IFERROR(__xludf.DUMMYFUNCTION("IMPORTXML(AI257, ""//li[strong[text()='International Franchised Units:']]"")"),"Loading...")</f>
        <v>Loading...</v>
      </c>
      <c r="AC257" s="24"/>
      <c r="AD257" s="14" t="str">
        <f t="shared" ref="AD257:AD401" si="5">SUBSTITUTE(SUBSTITUTE(AC257, "$", ""), ",", ".")</f>
        <v/>
      </c>
      <c r="AE257" s="25" t="str">
        <f ca="1">IFERROR(__xludf.DUMMYFUNCTION("IMPORTXML(AI257, ""//li[strong[text()='Sales Growth %:']]"")"),"Loading...")</f>
        <v>Loading...</v>
      </c>
      <c r="AF257" s="24"/>
      <c r="AG257" s="25" t="str">
        <f ca="1">IFERROR(__xludf.DUMMYFUNCTION("IMPORTXML(AI257, ""//li[strong[text()='Unit Growth %:']]"")"),"Loading...")</f>
        <v>Loading...</v>
      </c>
      <c r="AH257" s="25"/>
      <c r="AI257" s="48" t="s">
        <v>264</v>
      </c>
      <c r="AJ257" s="27"/>
      <c r="AK257" s="27"/>
      <c r="AL257" s="27"/>
      <c r="AM257" s="27"/>
      <c r="AN257" s="27"/>
      <c r="AO257" s="27"/>
      <c r="AP257" s="27"/>
      <c r="AQ257" s="27"/>
    </row>
    <row r="258" spans="1:43" ht="14.25" customHeight="1">
      <c r="A258" s="42">
        <v>24.257000000000001</v>
      </c>
      <c r="B258" s="14">
        <v>2024</v>
      </c>
      <c r="C258" s="32">
        <v>257</v>
      </c>
      <c r="D258" s="16" t="str">
        <f ca="1">IFERROR(__xludf.DUMMYFUNCTION("IMPORTXML(AI258, ""//h1[@itemprop='headline']/span"")"),"257. Floor Coverings International")</f>
        <v>257. Floor Coverings International</v>
      </c>
      <c r="E258" s="17" t="str">
        <f ca="1">IFERROR(__xludf.DUMMYFUNCTION("REGEXEXTRACT(D258, ""\.\s*(.+)"")"),"Floor Coverings International")</f>
        <v>Floor Coverings International</v>
      </c>
      <c r="F258" s="18" t="str">
        <f ca="1">IFERROR(__xludf.DUMMYFUNCTION("IMPORTXML(AI258, ""//li[strong[text()='Investment Range:']]"")"),"Investment Range:")</f>
        <v>Investment Range:</v>
      </c>
      <c r="G258" s="43" t="str">
        <f ca="1">IFERROR(__xludf.DUMMYFUNCTION("""COMPUTED_VALUE""")," $180,350 - $243,500")</f>
        <v xml:space="preserve"> $180,350 - $243,500</v>
      </c>
      <c r="H258" s="18" t="str">
        <f ca="1">IFERROR(__xludf.DUMMYFUNCTION("SUBSTITUTE(REGEXEXTRACT(G258, ""\$(\d{1,3}(?:,\d{3})*)""), "","", ""."")
"),"180.350")</f>
        <v>180.350</v>
      </c>
      <c r="I258" s="19" t="str">
        <f ca="1">IFERROR(__xludf.DUMMYFUNCTION("SUBSTITUTE(REGEXEXTRACT(G258, ""-\s*\$(\d{1,3}(?:,\d{3})*)""), "","", ""."")
"),"243.500")</f>
        <v>243.500</v>
      </c>
      <c r="J258" s="19" t="str">
        <f ca="1">IFERROR(__xludf.DUMMYFUNCTION("IMPORTXML(AI258, ""//li[strong[text()='Initial Investment:']]"")"),"Loading...")</f>
        <v>Loading...</v>
      </c>
      <c r="K258" s="24"/>
      <c r="L258" s="20" t="str">
        <f ca="1">IFERROR(__xludf.DUMMYFUNCTION("IMPORTXML(AI258, ""//li[strong[text()='Category:']]"")"),"Loading...")</f>
        <v>Loading...</v>
      </c>
      <c r="M258" s="24"/>
      <c r="N258" s="19" t="str">
        <f ca="1">IFERROR(__xludf.DUMMYFUNCTION("IMPORTXML(AI258, ""//li[strong[text()='Global Sales:']]"")"),"Loading...")</f>
        <v>Loading...</v>
      </c>
      <c r="O258" s="24"/>
      <c r="P258" s="19" t="str">
        <f t="shared" si="3"/>
        <v/>
      </c>
      <c r="Q258" s="19" t="str">
        <f ca="1">IFERROR(__xludf.DUMMYFUNCTION("IMPORTXML(AI258, ""//li[strong[text()='US Units:']]"")"),"Loading...")</f>
        <v>Loading...</v>
      </c>
      <c r="R258" s="24"/>
      <c r="S258" s="19" t="str">
        <f ca="1">IFERROR(__xludf.DUMMYFUNCTION("IMPORTXML(AI258, ""//li[strong[text()='International Units:']]"")"),"Loading...")</f>
        <v>Loading...</v>
      </c>
      <c r="T258" s="44"/>
      <c r="U258" s="19" t="str">
        <f ca="1">IFERROR(__xludf.DUMMYFUNCTION("IMPORTXML(AI258, ""//li[strong[text()='Percent Franchised:']]"")"),"Loading...")</f>
        <v>Loading...</v>
      </c>
      <c r="V258" s="24"/>
      <c r="W258" s="19" t="str">
        <f ca="1">IFERROR(__xludf.DUMMYFUNCTION("IMPORTXML(AI258, ""//li[strong[text()='% International Units:']]"")"),"Loading...")</f>
        <v>Loading...</v>
      </c>
      <c r="X258" s="24"/>
      <c r="Y258" s="19" t="str">
        <f ca="1">IFERROR(__xludf.DUMMYFUNCTION("IMPORTXML(AI258, ""//li[strong[text()='US Franchised Units:']]"")"),"Loading...")</f>
        <v>Loading...</v>
      </c>
      <c r="Z258" s="24"/>
      <c r="AA258" s="14" t="str">
        <f t="shared" si="4"/>
        <v/>
      </c>
      <c r="AB258" s="19" t="str">
        <f ca="1">IFERROR(__xludf.DUMMYFUNCTION("IMPORTXML(AI258, ""//li[strong[text()='International Franchised Units:']]"")"),"Loading...")</f>
        <v>Loading...</v>
      </c>
      <c r="AC258" s="24"/>
      <c r="AD258" s="14" t="str">
        <f t="shared" si="5"/>
        <v/>
      </c>
      <c r="AE258" s="25" t="str">
        <f ca="1">IFERROR(__xludf.DUMMYFUNCTION("IMPORTXML(AI258, ""//li[strong[text()='Sales Growth %:']]"")"),"Loading...")</f>
        <v>Loading...</v>
      </c>
      <c r="AF258" s="24"/>
      <c r="AG258" s="25" t="str">
        <f ca="1">IFERROR(__xludf.DUMMYFUNCTION("IMPORTXML(AI258, ""//li[strong[text()='Unit Growth %:']]"")"),"Loading...")</f>
        <v>Loading...</v>
      </c>
      <c r="AH258" s="25"/>
      <c r="AI258" s="48" t="s">
        <v>265</v>
      </c>
      <c r="AJ258" s="27"/>
      <c r="AK258" s="27"/>
      <c r="AL258" s="27"/>
      <c r="AM258" s="27"/>
      <c r="AN258" s="27"/>
      <c r="AO258" s="27"/>
      <c r="AP258" s="27"/>
      <c r="AQ258" s="27"/>
    </row>
    <row r="259" spans="1:43" ht="14.25" customHeight="1">
      <c r="A259" s="42">
        <v>24.257999999999999</v>
      </c>
      <c r="B259" s="14">
        <v>2024</v>
      </c>
      <c r="C259" s="36">
        <v>258</v>
      </c>
      <c r="D259" s="16" t="str">
        <f ca="1">IFERROR(__xludf.DUMMYFUNCTION("IMPORTXML(AI259, ""//h1[@itemprop='headline']/span"")"),"258. TeamLogic IT")</f>
        <v>258. TeamLogic IT</v>
      </c>
      <c r="E259" s="17" t="str">
        <f ca="1">IFERROR(__xludf.DUMMYFUNCTION("REGEXEXTRACT(D259, ""\.\s*(.+)"")"),"TeamLogic IT")</f>
        <v>TeamLogic IT</v>
      </c>
      <c r="F259" s="18" t="str">
        <f ca="1">IFERROR(__xludf.DUMMYFUNCTION("IMPORTXML(AI259, ""//li[strong[text()='Investment Range:']]"")"),"Investment Range:")</f>
        <v>Investment Range:</v>
      </c>
      <c r="G259" s="43" t="str">
        <f ca="1">IFERROR(__xludf.DUMMYFUNCTION("""COMPUTED_VALUE""")," $106,865 - $141,342")</f>
        <v xml:space="preserve"> $106,865 - $141,342</v>
      </c>
      <c r="H259" s="18" t="str">
        <f ca="1">IFERROR(__xludf.DUMMYFUNCTION("SUBSTITUTE(REGEXEXTRACT(G259, ""\$(\d{1,3}(?:,\d{3})*)""), "","", ""."")
"),"106.865")</f>
        <v>106.865</v>
      </c>
      <c r="I259" s="19" t="str">
        <f ca="1">IFERROR(__xludf.DUMMYFUNCTION("SUBSTITUTE(REGEXEXTRACT(G259, ""-\s*\$(\d{1,3}(?:,\d{3})*)""), "","", ""."")
"),"141.342")</f>
        <v>141.342</v>
      </c>
      <c r="J259" s="19" t="str">
        <f ca="1">IFERROR(__xludf.DUMMYFUNCTION("IMPORTXML(AI259, ""//li[strong[text()='Initial Investment:']]"")"),"Loading...")</f>
        <v>Loading...</v>
      </c>
      <c r="K259" s="24"/>
      <c r="L259" s="20" t="str">
        <f ca="1">IFERROR(__xludf.DUMMYFUNCTION("IMPORTXML(AI259, ""//li[strong[text()='Category:']]"")"),"Loading...")</f>
        <v>Loading...</v>
      </c>
      <c r="M259" s="24"/>
      <c r="N259" s="19" t="str">
        <f ca="1">IFERROR(__xludf.DUMMYFUNCTION("IMPORTXML(AI259, ""//li[strong[text()='Global Sales:']]"")"),"Loading...")</f>
        <v>Loading...</v>
      </c>
      <c r="O259" s="24"/>
      <c r="P259" s="19" t="str">
        <f t="shared" si="3"/>
        <v/>
      </c>
      <c r="Q259" s="19" t="str">
        <f ca="1">IFERROR(__xludf.DUMMYFUNCTION("IMPORTXML(AI259, ""//li[strong[text()='US Units:']]"")"),"Loading...")</f>
        <v>Loading...</v>
      </c>
      <c r="R259" s="24"/>
      <c r="S259" s="19" t="str">
        <f ca="1">IFERROR(__xludf.DUMMYFUNCTION("IMPORTXML(AI259, ""//li[strong[text()='International Units:']]"")"),"Loading...")</f>
        <v>Loading...</v>
      </c>
      <c r="T259" s="44"/>
      <c r="U259" s="19" t="str">
        <f ca="1">IFERROR(__xludf.DUMMYFUNCTION("IMPORTXML(AI259, ""//li[strong[text()='Percent Franchised:']]"")"),"Loading...")</f>
        <v>Loading...</v>
      </c>
      <c r="V259" s="24"/>
      <c r="W259" s="19" t="str">
        <f ca="1">IFERROR(__xludf.DUMMYFUNCTION("IMPORTXML(AI259, ""//li[strong[text()='% International Units:']]"")"),"Loading...")</f>
        <v>Loading...</v>
      </c>
      <c r="X259" s="24"/>
      <c r="Y259" s="19" t="str">
        <f ca="1">IFERROR(__xludf.DUMMYFUNCTION("IMPORTXML(AI259, ""//li[strong[text()='US Franchised Units:']]"")"),"Loading...")</f>
        <v>Loading...</v>
      </c>
      <c r="Z259" s="24"/>
      <c r="AA259" s="14" t="str">
        <f t="shared" si="4"/>
        <v/>
      </c>
      <c r="AB259" s="19" t="str">
        <f ca="1">IFERROR(__xludf.DUMMYFUNCTION("IMPORTXML(AI259, ""//li[strong[text()='International Franchised Units:']]"")"),"Loading...")</f>
        <v>Loading...</v>
      </c>
      <c r="AC259" s="24"/>
      <c r="AD259" s="14" t="str">
        <f t="shared" si="5"/>
        <v/>
      </c>
      <c r="AE259" s="25" t="str">
        <f ca="1">IFERROR(__xludf.DUMMYFUNCTION("IMPORTXML(AI259, ""//li[strong[text()='Sales Growth %:']]"")"),"Loading...")</f>
        <v>Loading...</v>
      </c>
      <c r="AF259" s="24"/>
      <c r="AG259" s="25" t="str">
        <f ca="1">IFERROR(__xludf.DUMMYFUNCTION("IMPORTXML(AI259, ""//li[strong[text()='Unit Growth %:']]"")"),"Loading...")</f>
        <v>Loading...</v>
      </c>
      <c r="AH259" s="25"/>
      <c r="AI259" s="48" t="s">
        <v>266</v>
      </c>
      <c r="AJ259" s="27"/>
      <c r="AK259" s="27"/>
      <c r="AL259" s="27"/>
      <c r="AM259" s="27"/>
      <c r="AN259" s="27"/>
      <c r="AO259" s="27"/>
      <c r="AP259" s="27"/>
      <c r="AQ259" s="27"/>
    </row>
    <row r="260" spans="1:43" ht="14.25" customHeight="1">
      <c r="A260" s="42">
        <v>24.259</v>
      </c>
      <c r="B260" s="14">
        <v>2024</v>
      </c>
      <c r="C260" s="36">
        <v>259</v>
      </c>
      <c r="D260" s="16" t="str">
        <f ca="1">IFERROR(__xludf.DUMMYFUNCTION("IMPORTXML(AI260, ""//h1[@itemprop='headline']/span"")"),"259. Woodhouse Spa")</f>
        <v>259. Woodhouse Spa</v>
      </c>
      <c r="E260" s="17" t="str">
        <f ca="1">IFERROR(__xludf.DUMMYFUNCTION("REGEXEXTRACT(D260, ""\.\s*(.+)"")"),"Woodhouse Spa")</f>
        <v>Woodhouse Spa</v>
      </c>
      <c r="F260" s="18" t="str">
        <f ca="1">IFERROR(__xludf.DUMMYFUNCTION("IMPORTXML(AI260, ""//li[strong[text()='Investment Range:']]"")"),"#N/A")</f>
        <v>#N/A</v>
      </c>
      <c r="G260" s="43"/>
      <c r="H260" s="18" t="str">
        <f ca="1">IFERROR(__xludf.DUMMYFUNCTION("SUBSTITUTE(REGEXEXTRACT(G260, ""\$(\d{1,3}(?:,\d{3})*)""), "","", ""."")
"),"#N/A")</f>
        <v>#N/A</v>
      </c>
      <c r="I260" s="19" t="str">
        <f ca="1">IFERROR(__xludf.DUMMYFUNCTION("SUBSTITUTE(REGEXEXTRACT(G260, ""-\s*\$(\d{1,3}(?:,\d{3})*)""), "","", ""."")
"),"#N/A")</f>
        <v>#N/A</v>
      </c>
      <c r="J260" s="19" t="str">
        <f ca="1">IFERROR(__xludf.DUMMYFUNCTION("IMPORTXML(AI260, ""//li[strong[text()='Initial Investment:']]"")"),"Loading...")</f>
        <v>Loading...</v>
      </c>
      <c r="K260" s="24"/>
      <c r="L260" s="20" t="str">
        <f ca="1">IFERROR(__xludf.DUMMYFUNCTION("IMPORTXML(AI260, ""//li[strong[text()='Category:']]"")"),"Loading...")</f>
        <v>Loading...</v>
      </c>
      <c r="M260" s="24"/>
      <c r="N260" s="19" t="str">
        <f ca="1">IFERROR(__xludf.DUMMYFUNCTION("IMPORTXML(AI260, ""//li[strong[text()='Global Sales:']]"")"),"Loading...")</f>
        <v>Loading...</v>
      </c>
      <c r="O260" s="24"/>
      <c r="P260" s="19" t="str">
        <f t="shared" si="3"/>
        <v/>
      </c>
      <c r="Q260" s="19" t="str">
        <f ca="1">IFERROR(__xludf.DUMMYFUNCTION("IMPORTXML(AI260, ""//li[strong[text()='US Units:']]"")"),"Loading...")</f>
        <v>Loading...</v>
      </c>
      <c r="R260" s="24"/>
      <c r="S260" s="19" t="str">
        <f ca="1">IFERROR(__xludf.DUMMYFUNCTION("IMPORTXML(AI260, ""//li[strong[text()='International Units:']]"")"),"Loading...")</f>
        <v>Loading...</v>
      </c>
      <c r="T260" s="44"/>
      <c r="U260" s="19" t="str">
        <f ca="1">IFERROR(__xludf.DUMMYFUNCTION("IMPORTXML(AI260, ""//li[strong[text()='Percent Franchised:']]"")"),"Loading...")</f>
        <v>Loading...</v>
      </c>
      <c r="V260" s="24"/>
      <c r="W260" s="19" t="str">
        <f ca="1">IFERROR(__xludf.DUMMYFUNCTION("IMPORTXML(AI260, ""//li[strong[text()='% International Units:']]"")"),"#N/A")</f>
        <v>#N/A</v>
      </c>
      <c r="X260" s="24"/>
      <c r="Y260" s="19" t="str">
        <f ca="1">IFERROR(__xludf.DUMMYFUNCTION("IMPORTXML(AI260, ""//li[strong[text()='US Franchised Units:']]"")"),"Loading...")</f>
        <v>Loading...</v>
      </c>
      <c r="Z260" s="24"/>
      <c r="AA260" s="14" t="str">
        <f t="shared" si="4"/>
        <v/>
      </c>
      <c r="AB260" s="19" t="str">
        <f ca="1">IFERROR(__xludf.DUMMYFUNCTION("IMPORTXML(AI260, ""//li[strong[text()='International Franchised Units:']]"")"),"Loading...")</f>
        <v>Loading...</v>
      </c>
      <c r="AC260" s="24"/>
      <c r="AD260" s="14" t="str">
        <f t="shared" si="5"/>
        <v/>
      </c>
      <c r="AE260" s="25" t="str">
        <f ca="1">IFERROR(__xludf.DUMMYFUNCTION("IMPORTXML(AI260, ""//li[strong[text()='Sales Growth %:']]"")"),"Loading...")</f>
        <v>Loading...</v>
      </c>
      <c r="AF260" s="24"/>
      <c r="AG260" s="25" t="str">
        <f ca="1">IFERROR(__xludf.DUMMYFUNCTION("IMPORTXML(AI260, ""//li[strong[text()='Unit Growth %:']]"")"),"Loading...")</f>
        <v>Loading...</v>
      </c>
      <c r="AH260" s="25"/>
      <c r="AI260" s="48" t="s">
        <v>267</v>
      </c>
      <c r="AJ260" s="27"/>
      <c r="AK260" s="27"/>
      <c r="AL260" s="27"/>
      <c r="AM260" s="27"/>
      <c r="AN260" s="27"/>
      <c r="AO260" s="27"/>
      <c r="AP260" s="27"/>
      <c r="AQ260" s="27"/>
    </row>
    <row r="261" spans="1:43" ht="14.25" customHeight="1">
      <c r="A261" s="42">
        <v>24.26</v>
      </c>
      <c r="B261" s="14">
        <v>2024</v>
      </c>
      <c r="C261" s="15">
        <v>260</v>
      </c>
      <c r="D261" s="16" t="str">
        <f ca="1">IFERROR(__xludf.DUMMYFUNCTION("IMPORTXML(AI261, ""//h1[@itemprop='headline']/span"")"),"260. Rita's Italian Ice")</f>
        <v>260. Rita's Italian Ice</v>
      </c>
      <c r="E261" s="17" t="str">
        <f ca="1">IFERROR(__xludf.DUMMYFUNCTION("REGEXEXTRACT(D261, ""\.\s*(.+)"")"),"Rita's Italian Ice")</f>
        <v>Rita's Italian Ice</v>
      </c>
      <c r="F261" s="18" t="str">
        <f ca="1">IFERROR(__xludf.DUMMYFUNCTION("IMPORTXML(AI261, ""//li[strong[text()='Investment Range:']]"")"),"Investment Range:")</f>
        <v>Investment Range:</v>
      </c>
      <c r="G261" s="43" t="str">
        <f ca="1">IFERROR(__xludf.DUMMYFUNCTION("""COMPUTED_VALUE""")," $293,233 - $768,992")</f>
        <v xml:space="preserve"> $293,233 - $768,992</v>
      </c>
      <c r="H261" s="18" t="str">
        <f ca="1">IFERROR(__xludf.DUMMYFUNCTION("SUBSTITUTE(REGEXEXTRACT(G261, ""\$(\d{1,3}(?:,\d{3})*)""), "","", ""."")
"),"293.233")</f>
        <v>293.233</v>
      </c>
      <c r="I261" s="19" t="str">
        <f ca="1">IFERROR(__xludf.DUMMYFUNCTION("SUBSTITUTE(REGEXEXTRACT(G261, ""-\s*\$(\d{1,3}(?:,\d{3})*)""), "","", ""."")
"),"768.992")</f>
        <v>768.992</v>
      </c>
      <c r="J261" s="19" t="str">
        <f ca="1">IFERROR(__xludf.DUMMYFUNCTION("IMPORTXML(AI261, ""//li[strong[text()='Initial Investment:']]"")"),"Loading...")</f>
        <v>Loading...</v>
      </c>
      <c r="K261" s="24"/>
      <c r="L261" s="20" t="str">
        <f ca="1">IFERROR(__xludf.DUMMYFUNCTION("IMPORTXML(AI261, ""//li[strong[text()='Category:']]"")"),"Loading...")</f>
        <v>Loading...</v>
      </c>
      <c r="M261" s="24"/>
      <c r="N261" s="19" t="str">
        <f ca="1">IFERROR(__xludf.DUMMYFUNCTION("IMPORTXML(AI261, ""//li[strong[text()='Global Sales:']]"")"),"Loading...")</f>
        <v>Loading...</v>
      </c>
      <c r="O261" s="24"/>
      <c r="P261" s="19" t="str">
        <f t="shared" si="3"/>
        <v/>
      </c>
      <c r="Q261" s="19" t="str">
        <f ca="1">IFERROR(__xludf.DUMMYFUNCTION("IMPORTXML(AI261, ""//li[strong[text()='US Units:']]"")"),"Loading...")</f>
        <v>Loading...</v>
      </c>
      <c r="R261" s="24"/>
      <c r="S261" s="19" t="str">
        <f ca="1">IFERROR(__xludf.DUMMYFUNCTION("IMPORTXML(AI261, ""//li[strong[text()='International Units:']]"")"),"Loading...")</f>
        <v>Loading...</v>
      </c>
      <c r="T261" s="44"/>
      <c r="U261" s="19" t="str">
        <f ca="1">IFERROR(__xludf.DUMMYFUNCTION("IMPORTXML(AI261, ""//li[strong[text()='Percent Franchised:']]"")"),"Loading...")</f>
        <v>Loading...</v>
      </c>
      <c r="V261" s="24"/>
      <c r="W261" s="19" t="str">
        <f ca="1">IFERROR(__xludf.DUMMYFUNCTION("IMPORTXML(AI261, ""//li[strong[text()='% International Units:']]"")"),"Loading...")</f>
        <v>Loading...</v>
      </c>
      <c r="X261" s="24"/>
      <c r="Y261" s="19" t="str">
        <f ca="1">IFERROR(__xludf.DUMMYFUNCTION("IMPORTXML(AI261, ""//li[strong[text()='US Franchised Units:']]"")"),"Loading...")</f>
        <v>Loading...</v>
      </c>
      <c r="Z261" s="24"/>
      <c r="AA261" s="14" t="str">
        <f t="shared" si="4"/>
        <v/>
      </c>
      <c r="AB261" s="19" t="str">
        <f ca="1">IFERROR(__xludf.DUMMYFUNCTION("IMPORTXML(AI261, ""//li[strong[text()='International Franchised Units:']]"")"),"Loading...")</f>
        <v>Loading...</v>
      </c>
      <c r="AC261" s="24"/>
      <c r="AD261" s="14" t="str">
        <f t="shared" si="5"/>
        <v/>
      </c>
      <c r="AE261" s="25" t="str">
        <f ca="1">IFERROR(__xludf.DUMMYFUNCTION("IMPORTXML(AI261, ""//li[strong[text()='Sales Growth %:']]"")"),"Loading...")</f>
        <v>Loading...</v>
      </c>
      <c r="AF261" s="24"/>
      <c r="AG261" s="25" t="str">
        <f ca="1">IFERROR(__xludf.DUMMYFUNCTION("IMPORTXML(AI261, ""//li[strong[text()='Unit Growth %:']]"")"),"Loading...")</f>
        <v>Loading...</v>
      </c>
      <c r="AH261" s="25"/>
      <c r="AI261" s="48" t="s">
        <v>268</v>
      </c>
      <c r="AJ261" s="27"/>
      <c r="AK261" s="27"/>
      <c r="AL261" s="27"/>
      <c r="AM261" s="27"/>
      <c r="AN261" s="27"/>
      <c r="AO261" s="27"/>
      <c r="AP261" s="27"/>
      <c r="AQ261" s="27"/>
    </row>
    <row r="262" spans="1:43" ht="14.25" customHeight="1">
      <c r="A262" s="42">
        <v>24.260999999999999</v>
      </c>
      <c r="B262" s="14">
        <v>2024</v>
      </c>
      <c r="C262" s="32">
        <v>261</v>
      </c>
      <c r="D262" s="16" t="str">
        <f ca="1">IFERROR(__xludf.DUMMYFUNCTION("IMPORTXML(AI262, ""//h1[@itemprop='headline']/span"")"),"261. LaRosa's Pizzeria")</f>
        <v>261. LaRosa's Pizzeria</v>
      </c>
      <c r="E262" s="17" t="str">
        <f ca="1">IFERROR(__xludf.DUMMYFUNCTION("REGEXEXTRACT(D262, ""\.\s*(.+)"")"),"LaRosa's Pizzeria")</f>
        <v>LaRosa's Pizzeria</v>
      </c>
      <c r="F262" s="18" t="str">
        <f ca="1">IFERROR(__xludf.DUMMYFUNCTION("IMPORTXML(AI262, ""//li[strong[text()='Investment Range:']]"")"),"Investment Range:")</f>
        <v>Investment Range:</v>
      </c>
      <c r="G262" s="43" t="str">
        <f ca="1">IFERROR(__xludf.DUMMYFUNCTION("""COMPUTED_VALUE""")," $1,431,000 - $2,595,000")</f>
        <v xml:space="preserve"> $1,431,000 - $2,595,000</v>
      </c>
      <c r="H262" s="18" t="str">
        <f ca="1">IFERROR(__xludf.DUMMYFUNCTION("SUBSTITUTE(REGEXEXTRACT(G262, ""\$(\d{1,3}(?:,\d{3})*)""), "","", ""."")
"),"1.431.000")</f>
        <v>1.431.000</v>
      </c>
      <c r="I262" s="19" t="str">
        <f ca="1">IFERROR(__xludf.DUMMYFUNCTION("SUBSTITUTE(REGEXEXTRACT(G262, ""-\s*\$(\d{1,3}(?:,\d{3})*)""), "","", ""."")
"),"2.595.000")</f>
        <v>2.595.000</v>
      </c>
      <c r="J262" s="19" t="str">
        <f ca="1">IFERROR(__xludf.DUMMYFUNCTION("IMPORTXML(AI262, ""//li[strong[text()='Initial Investment:']]"")"),"Loading...")</f>
        <v>Loading...</v>
      </c>
      <c r="K262" s="24"/>
      <c r="L262" s="20" t="str">
        <f ca="1">IFERROR(__xludf.DUMMYFUNCTION("IMPORTXML(AI262, ""//li[strong[text()='Category:']]"")"),"Loading...")</f>
        <v>Loading...</v>
      </c>
      <c r="M262" s="24"/>
      <c r="N262" s="19" t="str">
        <f ca="1">IFERROR(__xludf.DUMMYFUNCTION("IMPORTXML(AI262, ""//li[strong[text()='Global Sales:']]"")"),"Loading...")</f>
        <v>Loading...</v>
      </c>
      <c r="O262" s="24"/>
      <c r="P262" s="19" t="str">
        <f t="shared" si="3"/>
        <v/>
      </c>
      <c r="Q262" s="19" t="str">
        <f ca="1">IFERROR(__xludf.DUMMYFUNCTION("IMPORTXML(AI262, ""//li[strong[text()='US Units:']]"")"),"Loading...")</f>
        <v>Loading...</v>
      </c>
      <c r="R262" s="24"/>
      <c r="S262" s="19" t="str">
        <f ca="1">IFERROR(__xludf.DUMMYFUNCTION("IMPORTXML(AI262, ""//li[strong[text()='International Units:']]"")"),"Loading...")</f>
        <v>Loading...</v>
      </c>
      <c r="T262" s="44"/>
      <c r="U262" s="19" t="str">
        <f ca="1">IFERROR(__xludf.DUMMYFUNCTION("IMPORTXML(AI262, ""//li[strong[text()='Percent Franchised:']]"")"),"Loading...")</f>
        <v>Loading...</v>
      </c>
      <c r="V262" s="24"/>
      <c r="W262" s="19" t="str">
        <f ca="1">IFERROR(__xludf.DUMMYFUNCTION("IMPORTXML(AI262, ""//li[strong[text()='% International Units:']]"")"),"% International Units:")</f>
        <v>% International Units:</v>
      </c>
      <c r="X262" s="45">
        <f ca="1">IFERROR(__xludf.DUMMYFUNCTION("""COMPUTED_VALUE"""),0)</f>
        <v>0</v>
      </c>
      <c r="Y262" s="19" t="str">
        <f ca="1">IFERROR(__xludf.DUMMYFUNCTION("IMPORTXML(AI262, ""//li[strong[text()='US Franchised Units:']]"")"),"Loading...")</f>
        <v>Loading...</v>
      </c>
      <c r="Z262" s="24"/>
      <c r="AA262" s="14" t="str">
        <f t="shared" si="4"/>
        <v/>
      </c>
      <c r="AB262" s="19" t="str">
        <f ca="1">IFERROR(__xludf.DUMMYFUNCTION("IMPORTXML(AI262, ""//li[strong[text()='International Franchised Units:']]"")"),"Loading...")</f>
        <v>Loading...</v>
      </c>
      <c r="AC262" s="24"/>
      <c r="AD262" s="14" t="str">
        <f t="shared" si="5"/>
        <v/>
      </c>
      <c r="AE262" s="25" t="str">
        <f ca="1">IFERROR(__xludf.DUMMYFUNCTION("IMPORTXML(AI262, ""//li[strong[text()='Sales Growth %:']]"")"),"Loading...")</f>
        <v>Loading...</v>
      </c>
      <c r="AF262" s="24"/>
      <c r="AG262" s="25" t="str">
        <f ca="1">IFERROR(__xludf.DUMMYFUNCTION("IMPORTXML(AI262, ""//li[strong[text()='Unit Growth %:']]"")"),"Loading...")</f>
        <v>Loading...</v>
      </c>
      <c r="AH262" s="25"/>
      <c r="AI262" s="48" t="s">
        <v>269</v>
      </c>
      <c r="AJ262" s="27"/>
      <c r="AK262" s="27"/>
      <c r="AL262" s="27"/>
      <c r="AM262" s="27"/>
      <c r="AN262" s="27"/>
      <c r="AO262" s="27"/>
      <c r="AP262" s="27"/>
      <c r="AQ262" s="27"/>
    </row>
    <row r="263" spans="1:43" ht="14.25" customHeight="1">
      <c r="A263" s="42">
        <v>24.262</v>
      </c>
      <c r="B263" s="14">
        <v>2024</v>
      </c>
      <c r="C263" s="36">
        <v>262</v>
      </c>
      <c r="D263" s="16" t="str">
        <f ca="1">IFERROR(__xludf.DUMMYFUNCTION("IMPORTXML(AI263, ""//h1[@itemprop='headline']/span"")"),"262. Ziebart")</f>
        <v>262. Ziebart</v>
      </c>
      <c r="E263" s="17" t="str">
        <f ca="1">IFERROR(__xludf.DUMMYFUNCTION("REGEXEXTRACT(D263, ""\.\s*(.+)"")"),"Ziebart")</f>
        <v>Ziebart</v>
      </c>
      <c r="F263" s="18" t="str">
        <f ca="1">IFERROR(__xludf.DUMMYFUNCTION("IMPORTXML(AI263, ""//li[strong[text()='Investment Range:']]"")"),"Investment Range:")</f>
        <v>Investment Range:</v>
      </c>
      <c r="G263" s="43" t="str">
        <f ca="1">IFERROR(__xludf.DUMMYFUNCTION("""COMPUTED_VALUE""")," $370,820 - $566,100")</f>
        <v xml:space="preserve"> $370,820 - $566,100</v>
      </c>
      <c r="H263" s="18" t="str">
        <f ca="1">IFERROR(__xludf.DUMMYFUNCTION("SUBSTITUTE(REGEXEXTRACT(G263, ""\$(\d{1,3}(?:,\d{3})*)""), "","", ""."")
"),"370.820")</f>
        <v>370.820</v>
      </c>
      <c r="I263" s="19" t="str">
        <f ca="1">IFERROR(__xludf.DUMMYFUNCTION("SUBSTITUTE(REGEXEXTRACT(G263, ""-\s*\$(\d{1,3}(?:,\d{3})*)""), "","", ""."")
"),"566.100")</f>
        <v>566.100</v>
      </c>
      <c r="J263" s="19" t="str">
        <f ca="1">IFERROR(__xludf.DUMMYFUNCTION("IMPORTXML(AI263, ""//li[strong[text()='Initial Investment:']]"")"),"Loading...")</f>
        <v>Loading...</v>
      </c>
      <c r="K263" s="24"/>
      <c r="L263" s="20" t="str">
        <f ca="1">IFERROR(__xludf.DUMMYFUNCTION("IMPORTXML(AI263, ""//li[strong[text()='Category:']]"")"),"Loading...")</f>
        <v>Loading...</v>
      </c>
      <c r="M263" s="24"/>
      <c r="N263" s="19" t="str">
        <f ca="1">IFERROR(__xludf.DUMMYFUNCTION("IMPORTXML(AI263, ""//li[strong[text()='Global Sales:']]"")"),"Loading...")</f>
        <v>Loading...</v>
      </c>
      <c r="O263" s="24"/>
      <c r="P263" s="19" t="str">
        <f t="shared" si="3"/>
        <v/>
      </c>
      <c r="Q263" s="19" t="str">
        <f ca="1">IFERROR(__xludf.DUMMYFUNCTION("IMPORTXML(AI263, ""//li[strong[text()='US Units:']]"")"),"Loading...")</f>
        <v>Loading...</v>
      </c>
      <c r="R263" s="24"/>
      <c r="S263" s="19" t="str">
        <f ca="1">IFERROR(__xludf.DUMMYFUNCTION("IMPORTXML(AI263, ""//li[strong[text()='International Units:']]"")"),"Loading...")</f>
        <v>Loading...</v>
      </c>
      <c r="T263" s="44"/>
      <c r="U263" s="19" t="str">
        <f ca="1">IFERROR(__xludf.DUMMYFUNCTION("IMPORTXML(AI263, ""//li[strong[text()='Percent Franchised:']]"")"),"Loading...")</f>
        <v>Loading...</v>
      </c>
      <c r="V263" s="24"/>
      <c r="W263" s="19" t="str">
        <f ca="1">IFERROR(__xludf.DUMMYFUNCTION("IMPORTXML(AI263, ""//li[strong[text()='% International Units:']]"")"),"Loading...")</f>
        <v>Loading...</v>
      </c>
      <c r="X263" s="24"/>
      <c r="Y263" s="19" t="str">
        <f ca="1">IFERROR(__xludf.DUMMYFUNCTION("IMPORTXML(AI263, ""//li[strong[text()='US Franchised Units:']]"")"),"Loading...")</f>
        <v>Loading...</v>
      </c>
      <c r="Z263" s="24"/>
      <c r="AA263" s="14" t="str">
        <f t="shared" si="4"/>
        <v/>
      </c>
      <c r="AB263" s="19" t="str">
        <f ca="1">IFERROR(__xludf.DUMMYFUNCTION("IMPORTXML(AI263, ""//li[strong[text()='International Franchised Units:']]"")"),"Loading...")</f>
        <v>Loading...</v>
      </c>
      <c r="AC263" s="24"/>
      <c r="AD263" s="14" t="str">
        <f t="shared" si="5"/>
        <v/>
      </c>
      <c r="AE263" s="25" t="str">
        <f ca="1">IFERROR(__xludf.DUMMYFUNCTION("IMPORTXML(AI263, ""//li[strong[text()='Sales Growth %:']]"")"),"Loading...")</f>
        <v>Loading...</v>
      </c>
      <c r="AF263" s="24"/>
      <c r="AG263" s="25" t="str">
        <f ca="1">IFERROR(__xludf.DUMMYFUNCTION("IMPORTXML(AI263, ""//li[strong[text()='Unit Growth %:']]"")"),"Loading...")</f>
        <v>Loading...</v>
      </c>
      <c r="AH263" s="25"/>
      <c r="AI263" s="48" t="s">
        <v>270</v>
      </c>
      <c r="AJ263" s="27"/>
      <c r="AK263" s="27"/>
      <c r="AL263" s="27"/>
      <c r="AM263" s="27"/>
      <c r="AN263" s="27"/>
      <c r="AO263" s="27"/>
      <c r="AP263" s="27"/>
      <c r="AQ263" s="27"/>
    </row>
    <row r="264" spans="1:43" ht="14.25" customHeight="1">
      <c r="A264" s="42">
        <v>24.263000000000002</v>
      </c>
      <c r="B264" s="14">
        <v>2024</v>
      </c>
      <c r="C264" s="36">
        <v>263</v>
      </c>
      <c r="D264" s="16" t="str">
        <f ca="1">IFERROR(__xludf.DUMMYFUNCTION("IMPORTXML(AI264, ""//h1[@itemprop='headline']/span"")"),"263. Mr. Electric")</f>
        <v>263. Mr. Electric</v>
      </c>
      <c r="E264" s="17" t="str">
        <f ca="1">IFERROR(__xludf.DUMMYFUNCTION("REGEXEXTRACT(D264, ""\.\s*(.+)"")"),"Mr. Electric")</f>
        <v>Mr. Electric</v>
      </c>
      <c r="F264" s="18" t="str">
        <f ca="1">IFERROR(__xludf.DUMMYFUNCTION("IMPORTXML(AI264, ""//li[strong[text()='Investment Range:']]"")"),"Investment Range:")</f>
        <v>Investment Range:</v>
      </c>
      <c r="G264" s="43" t="str">
        <f ca="1">IFERROR(__xludf.DUMMYFUNCTION("""COMPUTED_VALUE""")," $152,000 - $314,500")</f>
        <v xml:space="preserve"> $152,000 - $314,500</v>
      </c>
      <c r="H264" s="18" t="str">
        <f ca="1">IFERROR(__xludf.DUMMYFUNCTION("SUBSTITUTE(REGEXEXTRACT(G264, ""\$(\d{1,3}(?:,\d{3})*)""), "","", ""."")
"),"152.000")</f>
        <v>152.000</v>
      </c>
      <c r="I264" s="19" t="str">
        <f ca="1">IFERROR(__xludf.DUMMYFUNCTION("SUBSTITUTE(REGEXEXTRACT(G264, ""-\s*\$(\d{1,3}(?:,\d{3})*)""), "","", ""."")
"),"314.500")</f>
        <v>314.500</v>
      </c>
      <c r="J264" s="19" t="str">
        <f ca="1">IFERROR(__xludf.DUMMYFUNCTION("IMPORTXML(AI264, ""//li[strong[text()='Initial Investment:']]"")"),"Loading...")</f>
        <v>Loading...</v>
      </c>
      <c r="K264" s="24"/>
      <c r="L264" s="20" t="str">
        <f ca="1">IFERROR(__xludf.DUMMYFUNCTION("IMPORTXML(AI264, ""//li[strong[text()='Category:']]"")"),"Loading...")</f>
        <v>Loading...</v>
      </c>
      <c r="M264" s="24"/>
      <c r="N264" s="19" t="str">
        <f ca="1">IFERROR(__xludf.DUMMYFUNCTION("IMPORTXML(AI264, ""//li[strong[text()='Global Sales:']]"")"),"Loading...")</f>
        <v>Loading...</v>
      </c>
      <c r="O264" s="24"/>
      <c r="P264" s="19" t="str">
        <f t="shared" si="3"/>
        <v/>
      </c>
      <c r="Q264" s="19" t="str">
        <f ca="1">IFERROR(__xludf.DUMMYFUNCTION("IMPORTXML(AI264, ""//li[strong[text()='US Units:']]"")"),"US Units:")</f>
        <v>US Units:</v>
      </c>
      <c r="R264" s="24">
        <f ca="1">IFERROR(__xludf.DUMMYFUNCTION("""COMPUTED_VALUE"""),189)</f>
        <v>189</v>
      </c>
      <c r="S264" s="19" t="str">
        <f ca="1">IFERROR(__xludf.DUMMYFUNCTION("IMPORTXML(AI264, ""//li[strong[text()='International Units:']]"")"),"Loading...")</f>
        <v>Loading...</v>
      </c>
      <c r="T264" s="44"/>
      <c r="U264" s="19" t="str">
        <f ca="1">IFERROR(__xludf.DUMMYFUNCTION("IMPORTXML(AI264, ""//li[strong[text()='Percent Franchised:']]"")"),"Loading...")</f>
        <v>Loading...</v>
      </c>
      <c r="V264" s="24"/>
      <c r="W264" s="19" t="str">
        <f ca="1">IFERROR(__xludf.DUMMYFUNCTION("IMPORTXML(AI264, ""//li[strong[text()='% International Units:']]"")"),"Loading...")</f>
        <v>Loading...</v>
      </c>
      <c r="X264" s="24"/>
      <c r="Y264" s="19" t="str">
        <f ca="1">IFERROR(__xludf.DUMMYFUNCTION("IMPORTXML(AI264, ""//li[strong[text()='US Franchised Units:']]"")"),"Loading...")</f>
        <v>Loading...</v>
      </c>
      <c r="Z264" s="24"/>
      <c r="AA264" s="14" t="str">
        <f t="shared" si="4"/>
        <v/>
      </c>
      <c r="AB264" s="19" t="str">
        <f ca="1">IFERROR(__xludf.DUMMYFUNCTION("IMPORTXML(AI264, ""//li[strong[text()='International Franchised Units:']]"")"),"Loading...")</f>
        <v>Loading...</v>
      </c>
      <c r="AC264" s="24"/>
      <c r="AD264" s="14" t="str">
        <f t="shared" si="5"/>
        <v/>
      </c>
      <c r="AE264" s="25" t="str">
        <f ca="1">IFERROR(__xludf.DUMMYFUNCTION("IMPORTXML(AI264, ""//li[strong[text()='Sales Growth %:']]"")"),"Loading...")</f>
        <v>Loading...</v>
      </c>
      <c r="AF264" s="24"/>
      <c r="AG264" s="25" t="str">
        <f ca="1">IFERROR(__xludf.DUMMYFUNCTION("IMPORTXML(AI264, ""//li[strong[text()='Unit Growth %:']]"")"),"Loading...")</f>
        <v>Loading...</v>
      </c>
      <c r="AH264" s="25"/>
      <c r="AI264" s="48" t="s">
        <v>271</v>
      </c>
      <c r="AJ264" s="27"/>
      <c r="AK264" s="27"/>
      <c r="AL264" s="27"/>
      <c r="AM264" s="27"/>
      <c r="AN264" s="27"/>
      <c r="AO264" s="27"/>
      <c r="AP264" s="27"/>
      <c r="AQ264" s="27"/>
    </row>
    <row r="265" spans="1:43" ht="14.25" customHeight="1">
      <c r="A265" s="42">
        <v>24.263999999999999</v>
      </c>
      <c r="B265" s="14">
        <v>2024</v>
      </c>
      <c r="C265" s="15">
        <v>264</v>
      </c>
      <c r="D265" s="16" t="str">
        <f ca="1">IFERROR(__xludf.DUMMYFUNCTION("IMPORTXML(AI265, ""//h1[@itemprop='headline']/span"")"),"264. Mr. Appliance")</f>
        <v>264. Mr. Appliance</v>
      </c>
      <c r="E265" s="17" t="str">
        <f ca="1">IFERROR(__xludf.DUMMYFUNCTION("REGEXEXTRACT(D265, ""\.\s*(.+)"")"),"Mr. Appliance")</f>
        <v>Mr. Appliance</v>
      </c>
      <c r="F265" s="18" t="str">
        <f ca="1">IFERROR(__xludf.DUMMYFUNCTION("IMPORTXML(AI265, ""//li[strong[text()='Investment Range:']]"")"),"Investment Range:")</f>
        <v>Investment Range:</v>
      </c>
      <c r="G265" s="43" t="str">
        <f ca="1">IFERROR(__xludf.DUMMYFUNCTION("""COMPUTED_VALUE""")," $113,750 - $204,350")</f>
        <v xml:space="preserve"> $113,750 - $204,350</v>
      </c>
      <c r="H265" s="18" t="str">
        <f ca="1">IFERROR(__xludf.DUMMYFUNCTION("SUBSTITUTE(REGEXEXTRACT(G265, ""\$(\d{1,3}(?:,\d{3})*)""), "","", ""."")
"),"113.750")</f>
        <v>113.750</v>
      </c>
      <c r="I265" s="19" t="str">
        <f ca="1">IFERROR(__xludf.DUMMYFUNCTION("SUBSTITUTE(REGEXEXTRACT(G265, ""-\s*\$(\d{1,3}(?:,\d{3})*)""), "","", ""."")
"),"204.350")</f>
        <v>204.350</v>
      </c>
      <c r="J265" s="19" t="str">
        <f ca="1">IFERROR(__xludf.DUMMYFUNCTION("IMPORTXML(AI265, ""//li[strong[text()='Initial Investment:']]"")"),"Loading...")</f>
        <v>Loading...</v>
      </c>
      <c r="K265" s="24"/>
      <c r="L265" s="20" t="str">
        <f ca="1">IFERROR(__xludf.DUMMYFUNCTION("IMPORTXML(AI265, ""//li[strong[text()='Category:']]"")"),"Loading...")</f>
        <v>Loading...</v>
      </c>
      <c r="M265" s="24"/>
      <c r="N265" s="19" t="str">
        <f ca="1">IFERROR(__xludf.DUMMYFUNCTION("IMPORTXML(AI265, ""//li[strong[text()='Global Sales:']]"")"),"Loading...")</f>
        <v>Loading...</v>
      </c>
      <c r="O265" s="24"/>
      <c r="P265" s="19" t="str">
        <f t="shared" si="3"/>
        <v/>
      </c>
      <c r="Q265" s="19" t="str">
        <f ca="1">IFERROR(__xludf.DUMMYFUNCTION("IMPORTXML(AI265, ""//li[strong[text()='US Units:']]"")"),"Loading...")</f>
        <v>Loading...</v>
      </c>
      <c r="R265" s="24"/>
      <c r="S265" s="19" t="str">
        <f ca="1">IFERROR(__xludf.DUMMYFUNCTION("IMPORTXML(AI265, ""//li[strong[text()='International Units:']]"")"),"Loading...")</f>
        <v>Loading...</v>
      </c>
      <c r="T265" s="44"/>
      <c r="U265" s="19" t="str">
        <f ca="1">IFERROR(__xludf.DUMMYFUNCTION("IMPORTXML(AI265, ""//li[strong[text()='Percent Franchised:']]"")"),"Loading...")</f>
        <v>Loading...</v>
      </c>
      <c r="V265" s="24"/>
      <c r="W265" s="19" t="str">
        <f ca="1">IFERROR(__xludf.DUMMYFUNCTION("IMPORTXML(AI265, ""//li[strong[text()='% International Units:']]"")"),"Loading...")</f>
        <v>Loading...</v>
      </c>
      <c r="X265" s="24"/>
      <c r="Y265" s="19" t="str">
        <f ca="1">IFERROR(__xludf.DUMMYFUNCTION("IMPORTXML(AI265, ""//li[strong[text()='US Franchised Units:']]"")"),"Loading...")</f>
        <v>Loading...</v>
      </c>
      <c r="Z265" s="24"/>
      <c r="AA265" s="14" t="str">
        <f t="shared" si="4"/>
        <v/>
      </c>
      <c r="AB265" s="19" t="str">
        <f ca="1">IFERROR(__xludf.DUMMYFUNCTION("IMPORTXML(AI265, ""//li[strong[text()='International Franchised Units:']]"")"),"Loading...")</f>
        <v>Loading...</v>
      </c>
      <c r="AC265" s="24"/>
      <c r="AD265" s="14" t="str">
        <f t="shared" si="5"/>
        <v/>
      </c>
      <c r="AE265" s="25" t="str">
        <f ca="1">IFERROR(__xludf.DUMMYFUNCTION("IMPORTXML(AI265, ""//li[strong[text()='Sales Growth %:']]"")"),"Loading...")</f>
        <v>Loading...</v>
      </c>
      <c r="AF265" s="24"/>
      <c r="AG265" s="25" t="str">
        <f ca="1">IFERROR(__xludf.DUMMYFUNCTION("IMPORTXML(AI265, ""//li[strong[text()='Unit Growth %:']]"")"),"Loading...")</f>
        <v>Loading...</v>
      </c>
      <c r="AH265" s="25"/>
      <c r="AI265" s="48" t="s">
        <v>272</v>
      </c>
      <c r="AJ265" s="27"/>
      <c r="AK265" s="27"/>
      <c r="AL265" s="27"/>
      <c r="AM265" s="27"/>
      <c r="AN265" s="27"/>
      <c r="AO265" s="27"/>
      <c r="AP265" s="27"/>
      <c r="AQ265" s="27"/>
    </row>
    <row r="266" spans="1:43" ht="14.25" customHeight="1">
      <c r="A266" s="42">
        <v>24.265000000000001</v>
      </c>
      <c r="B266" s="14">
        <v>2024</v>
      </c>
      <c r="C266" s="32">
        <v>265</v>
      </c>
      <c r="D266" s="16" t="str">
        <f ca="1">IFERROR(__xludf.DUMMYFUNCTION("IMPORTXML(AI266, ""//h1[@itemprop='headline']/span"")"),"265. Wings &amp; Rings")</f>
        <v>265. Wings &amp; Rings</v>
      </c>
      <c r="E266" s="17" t="str">
        <f ca="1">IFERROR(__xludf.DUMMYFUNCTION("REGEXEXTRACT(D266, ""\.\s*(.+)"")"),"Wings &amp; Rings")</f>
        <v>Wings &amp; Rings</v>
      </c>
      <c r="F266" s="18" t="str">
        <f ca="1">IFERROR(__xludf.DUMMYFUNCTION("IMPORTXML(AI266, ""//li[strong[text()='Investment Range:']]"")"),"Investment Range:")</f>
        <v>Investment Range:</v>
      </c>
      <c r="G266" s="43" t="str">
        <f ca="1">IFERROR(__xludf.DUMMYFUNCTION("""COMPUTED_VALUE""")," $1,449,700 - $1,948,700")</f>
        <v xml:space="preserve"> $1,449,700 - $1,948,700</v>
      </c>
      <c r="H266" s="18" t="str">
        <f ca="1">IFERROR(__xludf.DUMMYFUNCTION("SUBSTITUTE(REGEXEXTRACT(G266, ""\$(\d{1,3}(?:,\d{3})*)""), "","", ""."")
"),"1.449.700")</f>
        <v>1.449.700</v>
      </c>
      <c r="I266" s="19" t="str">
        <f ca="1">IFERROR(__xludf.DUMMYFUNCTION("SUBSTITUTE(REGEXEXTRACT(G266, ""-\s*\$(\d{1,3}(?:,\d{3})*)""), "","", ""."")
"),"1.948.700")</f>
        <v>1.948.700</v>
      </c>
      <c r="J266" s="19" t="str">
        <f ca="1">IFERROR(__xludf.DUMMYFUNCTION("IMPORTXML(AI266, ""//li[strong[text()='Initial Investment:']]"")"),"Loading...")</f>
        <v>Loading...</v>
      </c>
      <c r="K266" s="24"/>
      <c r="L266" s="20" t="str">
        <f ca="1">IFERROR(__xludf.DUMMYFUNCTION("IMPORTXML(AI266, ""//li[strong[text()='Category:']]"")"),"Loading...")</f>
        <v>Loading...</v>
      </c>
      <c r="M266" s="24"/>
      <c r="N266" s="19" t="str">
        <f ca="1">IFERROR(__xludf.DUMMYFUNCTION("IMPORTXML(AI266, ""//li[strong[text()='Global Sales:']]"")"),"Loading...")</f>
        <v>Loading...</v>
      </c>
      <c r="O266" s="24"/>
      <c r="P266" s="19" t="str">
        <f t="shared" si="3"/>
        <v/>
      </c>
      <c r="Q266" s="19" t="str">
        <f ca="1">IFERROR(__xludf.DUMMYFUNCTION("IMPORTXML(AI266, ""//li[strong[text()='US Units:']]"")"),"Loading...")</f>
        <v>Loading...</v>
      </c>
      <c r="R266" s="24"/>
      <c r="S266" s="19" t="str">
        <f ca="1">IFERROR(__xludf.DUMMYFUNCTION("IMPORTXML(AI266, ""//li[strong[text()='International Units:']]"")"),"Loading...")</f>
        <v>Loading...</v>
      </c>
      <c r="T266" s="44"/>
      <c r="U266" s="19" t="str">
        <f ca="1">IFERROR(__xludf.DUMMYFUNCTION("IMPORTXML(AI266, ""//li[strong[text()='Percent Franchised:']]"")"),"Loading...")</f>
        <v>Loading...</v>
      </c>
      <c r="V266" s="24"/>
      <c r="W266" s="19" t="str">
        <f ca="1">IFERROR(__xludf.DUMMYFUNCTION("IMPORTXML(AI266, ""//li[strong[text()='% International Units:']]"")"),"Loading...")</f>
        <v>Loading...</v>
      </c>
      <c r="X266" s="24"/>
      <c r="Y266" s="19" t="str">
        <f ca="1">IFERROR(__xludf.DUMMYFUNCTION("IMPORTXML(AI266, ""//li[strong[text()='US Franchised Units:']]"")"),"Loading...")</f>
        <v>Loading...</v>
      </c>
      <c r="Z266" s="24"/>
      <c r="AA266" s="14" t="str">
        <f t="shared" si="4"/>
        <v/>
      </c>
      <c r="AB266" s="19" t="str">
        <f ca="1">IFERROR(__xludf.DUMMYFUNCTION("IMPORTXML(AI266, ""//li[strong[text()='International Franchised Units:']]"")"),"Loading...")</f>
        <v>Loading...</v>
      </c>
      <c r="AC266" s="24"/>
      <c r="AD266" s="14" t="str">
        <f t="shared" si="5"/>
        <v/>
      </c>
      <c r="AE266" s="25" t="str">
        <f ca="1">IFERROR(__xludf.DUMMYFUNCTION("IMPORTXML(AI266, ""//li[strong[text()='Sales Growth %:']]"")"),"Loading...")</f>
        <v>Loading...</v>
      </c>
      <c r="AF266" s="24"/>
      <c r="AG266" s="25" t="str">
        <f ca="1">IFERROR(__xludf.DUMMYFUNCTION("IMPORTXML(AI266, ""//li[strong[text()='Unit Growth %:']]"")"),"Loading...")</f>
        <v>Loading...</v>
      </c>
      <c r="AH266" s="25"/>
      <c r="AI266" s="48" t="s">
        <v>273</v>
      </c>
      <c r="AJ266" s="27"/>
      <c r="AK266" s="27"/>
      <c r="AL266" s="27"/>
      <c r="AM266" s="27"/>
      <c r="AN266" s="27"/>
      <c r="AO266" s="27"/>
      <c r="AP266" s="27"/>
      <c r="AQ266" s="27"/>
    </row>
    <row r="267" spans="1:43" ht="14.25" customHeight="1">
      <c r="A267" s="42">
        <v>24.265999999999998</v>
      </c>
      <c r="B267" s="14">
        <v>2024</v>
      </c>
      <c r="C267" s="36">
        <v>266</v>
      </c>
      <c r="D267" s="16" t="str">
        <f ca="1">IFERROR(__xludf.DUMMYFUNCTION("IMPORTXML(AI267, ""//h1[@itemprop='headline']/span"")"),"266. Waba Grill")</f>
        <v>266. Waba Grill</v>
      </c>
      <c r="E267" s="17" t="str">
        <f ca="1">IFERROR(__xludf.DUMMYFUNCTION("REGEXEXTRACT(D267, ""\.\s*(.+)"")"),"Waba Grill")</f>
        <v>Waba Grill</v>
      </c>
      <c r="F267" s="18" t="str">
        <f ca="1">IFERROR(__xludf.DUMMYFUNCTION("IMPORTXML(AI267, ""//li[strong[text()='Investment Range:']]"")"),"#N/A")</f>
        <v>#N/A</v>
      </c>
      <c r="G267" s="43"/>
      <c r="H267" s="18" t="str">
        <f ca="1">IFERROR(__xludf.DUMMYFUNCTION("SUBSTITUTE(REGEXEXTRACT(G267, ""\$(\d{1,3}(?:,\d{3})*)""), "","", ""."")
"),"#N/A")</f>
        <v>#N/A</v>
      </c>
      <c r="I267" s="19" t="str">
        <f ca="1">IFERROR(__xludf.DUMMYFUNCTION("SUBSTITUTE(REGEXEXTRACT(G267, ""-\s*\$(\d{1,3}(?:,\d{3})*)""), "","", ""."")
"),"#N/A")</f>
        <v>#N/A</v>
      </c>
      <c r="J267" s="19" t="str">
        <f ca="1">IFERROR(__xludf.DUMMYFUNCTION("IMPORTXML(AI267, ""//li[strong[text()='Initial Investment:']]"")"),"#N/A")</f>
        <v>#N/A</v>
      </c>
      <c r="K267" s="24"/>
      <c r="L267" s="20" t="str">
        <f ca="1">IFERROR(__xludf.DUMMYFUNCTION("IMPORTXML(AI267, ""//li[strong[text()='Category:']]"")"),"Loading...")</f>
        <v>Loading...</v>
      </c>
      <c r="M267" s="24"/>
      <c r="N267" s="19" t="str">
        <f ca="1">IFERROR(__xludf.DUMMYFUNCTION("IMPORTXML(AI267, ""//li[strong[text()='Global Sales:']]"")"),"Loading...")</f>
        <v>Loading...</v>
      </c>
      <c r="O267" s="24"/>
      <c r="P267" s="19" t="str">
        <f t="shared" si="3"/>
        <v/>
      </c>
      <c r="Q267" s="19" t="str">
        <f ca="1">IFERROR(__xludf.DUMMYFUNCTION("IMPORTXML(AI267, ""//li[strong[text()='US Units:']]"")"),"Loading...")</f>
        <v>Loading...</v>
      </c>
      <c r="R267" s="24"/>
      <c r="S267" s="19" t="str">
        <f ca="1">IFERROR(__xludf.DUMMYFUNCTION("IMPORTXML(AI267, ""//li[strong[text()='International Units:']]"")"),"Loading...")</f>
        <v>Loading...</v>
      </c>
      <c r="T267" s="44"/>
      <c r="U267" s="19" t="str">
        <f ca="1">IFERROR(__xludf.DUMMYFUNCTION("IMPORTXML(AI267, ""//li[strong[text()='Percent Franchised:']]"")"),"#N/A")</f>
        <v>#N/A</v>
      </c>
      <c r="V267" s="24"/>
      <c r="W267" s="19" t="str">
        <f ca="1">IFERROR(__xludf.DUMMYFUNCTION("IMPORTXML(AI267, ""//li[strong[text()='% International Units:']]"")"),"Loading...")</f>
        <v>Loading...</v>
      </c>
      <c r="X267" s="24"/>
      <c r="Y267" s="19" t="str">
        <f ca="1">IFERROR(__xludf.DUMMYFUNCTION("IMPORTXML(AI267, ""//li[strong[text()='US Franchised Units:']]"")"),"Loading...")</f>
        <v>Loading...</v>
      </c>
      <c r="Z267" s="24"/>
      <c r="AA267" s="14" t="str">
        <f t="shared" si="4"/>
        <v/>
      </c>
      <c r="AB267" s="19" t="str">
        <f ca="1">IFERROR(__xludf.DUMMYFUNCTION("IMPORTXML(AI267, ""//li[strong[text()='International Franchised Units:']]"")"),"Loading...")</f>
        <v>Loading...</v>
      </c>
      <c r="AC267" s="24"/>
      <c r="AD267" s="14" t="str">
        <f t="shared" si="5"/>
        <v/>
      </c>
      <c r="AE267" s="25" t="str">
        <f ca="1">IFERROR(__xludf.DUMMYFUNCTION("IMPORTXML(AI267, ""//li[strong[text()='Sales Growth %:']]"")"),"Sales Growth %:")</f>
        <v>Sales Growth %:</v>
      </c>
      <c r="AF267" s="24" t="str">
        <f ca="1">IFERROR(__xludf.DUMMYFUNCTION("""COMPUTED_VALUE""")," -3.3%")</f>
        <v xml:space="preserve"> -3.3%</v>
      </c>
      <c r="AG267" s="25" t="str">
        <f ca="1">IFERROR(__xludf.DUMMYFUNCTION("IMPORTXML(AI267, ""//li[strong[text()='Unit Growth %:']]"")"),"Loading...")</f>
        <v>Loading...</v>
      </c>
      <c r="AH267" s="25"/>
      <c r="AI267" s="48" t="s">
        <v>274</v>
      </c>
      <c r="AJ267" s="27"/>
      <c r="AK267" s="27"/>
      <c r="AL267" s="27"/>
      <c r="AM267" s="27"/>
      <c r="AN267" s="27"/>
      <c r="AO267" s="27"/>
      <c r="AP267" s="27"/>
      <c r="AQ267" s="27"/>
    </row>
    <row r="268" spans="1:43" ht="14.25" customHeight="1">
      <c r="A268" s="42">
        <v>24.266999999999999</v>
      </c>
      <c r="B268" s="14">
        <v>2024</v>
      </c>
      <c r="C268" s="36">
        <v>267</v>
      </c>
      <c r="D268" s="16" t="str">
        <f ca="1">IFERROR(__xludf.DUMMYFUNCTION("IMPORTXML(AI268, ""//h1[@itemprop='headline']/span"")"),"267. Mister Sparky")</f>
        <v>267. Mister Sparky</v>
      </c>
      <c r="E268" s="17" t="str">
        <f ca="1">IFERROR(__xludf.DUMMYFUNCTION("REGEXEXTRACT(D268, ""\.\s*(.+)"")"),"Mister Sparky")</f>
        <v>Mister Sparky</v>
      </c>
      <c r="F268" s="18" t="str">
        <f ca="1">IFERROR(__xludf.DUMMYFUNCTION("IMPORTXML(AI268, ""//li[strong[text()='Investment Range:']]"")"),"Investment Range:")</f>
        <v>Investment Range:</v>
      </c>
      <c r="G268" s="43" t="str">
        <f ca="1">IFERROR(__xludf.DUMMYFUNCTION("""COMPUTED_VALUE""")," $73,992 - $188,476")</f>
        <v xml:space="preserve"> $73,992 - $188,476</v>
      </c>
      <c r="H268" s="18" t="str">
        <f ca="1">IFERROR(__xludf.DUMMYFUNCTION("SUBSTITUTE(REGEXEXTRACT(G268, ""\$(\d{1,3}(?:,\d{3})*)""), "","", ""."")
"),"73.992")</f>
        <v>73.992</v>
      </c>
      <c r="I268" s="19" t="str">
        <f ca="1">IFERROR(__xludf.DUMMYFUNCTION("SUBSTITUTE(REGEXEXTRACT(G268, ""-\s*\$(\d{1,3}(?:,\d{3})*)""), "","", ""."")
"),"188.476")</f>
        <v>188.476</v>
      </c>
      <c r="J268" s="19" t="str">
        <f ca="1">IFERROR(__xludf.DUMMYFUNCTION("IMPORTXML(AI268, ""//li[strong[text()='Initial Investment:']]"")"),"Loading...")</f>
        <v>Loading...</v>
      </c>
      <c r="K268" s="24"/>
      <c r="L268" s="20" t="str">
        <f ca="1">IFERROR(__xludf.DUMMYFUNCTION("IMPORTXML(AI268, ""//li[strong[text()='Category:']]"")"),"Loading...")</f>
        <v>Loading...</v>
      </c>
      <c r="M268" s="24"/>
      <c r="N268" s="19" t="str">
        <f ca="1">IFERROR(__xludf.DUMMYFUNCTION("IMPORTXML(AI268, ""//li[strong[text()='Global Sales:']]"")"),"Loading...")</f>
        <v>Loading...</v>
      </c>
      <c r="O268" s="24"/>
      <c r="P268" s="19" t="str">
        <f t="shared" si="3"/>
        <v/>
      </c>
      <c r="Q268" s="19" t="str">
        <f ca="1">IFERROR(__xludf.DUMMYFUNCTION("IMPORTXML(AI268, ""//li[strong[text()='US Units:']]"")"),"Loading...")</f>
        <v>Loading...</v>
      </c>
      <c r="R268" s="24"/>
      <c r="S268" s="19" t="str">
        <f ca="1">IFERROR(__xludf.DUMMYFUNCTION("IMPORTXML(AI268, ""//li[strong[text()='International Units:']]"")"),"Loading...")</f>
        <v>Loading...</v>
      </c>
      <c r="T268" s="44"/>
      <c r="U268" s="19" t="str">
        <f ca="1">IFERROR(__xludf.DUMMYFUNCTION("IMPORTXML(AI268, ""//li[strong[text()='Percent Franchised:']]"")"),"Loading...")</f>
        <v>Loading...</v>
      </c>
      <c r="V268" s="24"/>
      <c r="W268" s="19" t="str">
        <f ca="1">IFERROR(__xludf.DUMMYFUNCTION("IMPORTXML(AI268, ""//li[strong[text()='% International Units:']]"")"),"Loading...")</f>
        <v>Loading...</v>
      </c>
      <c r="X268" s="24"/>
      <c r="Y268" s="19" t="str">
        <f ca="1">IFERROR(__xludf.DUMMYFUNCTION("IMPORTXML(AI268, ""//li[strong[text()='US Franchised Units:']]"")"),"Loading...")</f>
        <v>Loading...</v>
      </c>
      <c r="Z268" s="24"/>
      <c r="AA268" s="14" t="str">
        <f t="shared" si="4"/>
        <v/>
      </c>
      <c r="AB268" s="19" t="str">
        <f ca="1">IFERROR(__xludf.DUMMYFUNCTION("IMPORTXML(AI268, ""//li[strong[text()='International Franchised Units:']]"")"),"Loading...")</f>
        <v>Loading...</v>
      </c>
      <c r="AC268" s="24"/>
      <c r="AD268" s="14" t="str">
        <f t="shared" si="5"/>
        <v/>
      </c>
      <c r="AE268" s="25" t="str">
        <f ca="1">IFERROR(__xludf.DUMMYFUNCTION("IMPORTXML(AI268, ""//li[strong[text()='Sales Growth %:']]"")"),"Loading...")</f>
        <v>Loading...</v>
      </c>
      <c r="AF268" s="24"/>
      <c r="AG268" s="25" t="str">
        <f ca="1">IFERROR(__xludf.DUMMYFUNCTION("IMPORTXML(AI268, ""//li[strong[text()='Unit Growth %:']]"")"),"Loading...")</f>
        <v>Loading...</v>
      </c>
      <c r="AH268" s="25"/>
      <c r="AI268" s="48" t="s">
        <v>275</v>
      </c>
      <c r="AJ268" s="27"/>
      <c r="AK268" s="27"/>
      <c r="AL268" s="27"/>
      <c r="AM268" s="27"/>
      <c r="AN268" s="27"/>
      <c r="AO268" s="27"/>
      <c r="AP268" s="27"/>
      <c r="AQ268" s="27"/>
    </row>
    <row r="269" spans="1:43" ht="14.25" customHeight="1">
      <c r="A269" s="42">
        <v>24.268000000000001</v>
      </c>
      <c r="B269" s="14">
        <v>2024</v>
      </c>
      <c r="C269" s="15">
        <v>268</v>
      </c>
      <c r="D269" s="16" t="str">
        <f ca="1">IFERROR(__xludf.DUMMYFUNCTION("IMPORTXML(AI269, ""//h1[@itemprop='headline']/span"")"),"268. Mr. Handyman")</f>
        <v>268. Mr. Handyman</v>
      </c>
      <c r="E269" s="17" t="str">
        <f ca="1">IFERROR(__xludf.DUMMYFUNCTION("REGEXEXTRACT(D269, ""\.\s*(.+)"")"),"Mr. Handyman")</f>
        <v>Mr. Handyman</v>
      </c>
      <c r="F269" s="18" t="str">
        <f ca="1">IFERROR(__xludf.DUMMYFUNCTION("IMPORTXML(AI269, ""//li[strong[text()='Investment Range:']]"")"),"Investment Range:")</f>
        <v>Investment Range:</v>
      </c>
      <c r="G269" s="43" t="str">
        <f ca="1">IFERROR(__xludf.DUMMYFUNCTION("""COMPUTED_VALUE""")," $123,000 - $159,600")</f>
        <v xml:space="preserve"> $123,000 - $159,600</v>
      </c>
      <c r="H269" s="18" t="str">
        <f ca="1">IFERROR(__xludf.DUMMYFUNCTION("SUBSTITUTE(REGEXEXTRACT(G269, ""\$(\d{1,3}(?:,\d{3})*)""), "","", ""."")
"),"123.000")</f>
        <v>123.000</v>
      </c>
      <c r="I269" s="19" t="str">
        <f ca="1">IFERROR(__xludf.DUMMYFUNCTION("SUBSTITUTE(REGEXEXTRACT(G269, ""-\s*\$(\d{1,3}(?:,\d{3})*)""), "","", ""."")
"),"159.600")</f>
        <v>159.600</v>
      </c>
      <c r="J269" s="19" t="str">
        <f ca="1">IFERROR(__xludf.DUMMYFUNCTION("IMPORTXML(AI269, ""//li[strong[text()='Initial Investment:']]"")"),"Loading...")</f>
        <v>Loading...</v>
      </c>
      <c r="K269" s="24"/>
      <c r="L269" s="20" t="str">
        <f ca="1">IFERROR(__xludf.DUMMYFUNCTION("IMPORTXML(AI269, ""//li[strong[text()='Category:']]"")"),"Loading...")</f>
        <v>Loading...</v>
      </c>
      <c r="M269" s="24"/>
      <c r="N269" s="19" t="str">
        <f ca="1">IFERROR(__xludf.DUMMYFUNCTION("IMPORTXML(AI269, ""//li[strong[text()='Global Sales:']]"")"),"Loading...")</f>
        <v>Loading...</v>
      </c>
      <c r="O269" s="24"/>
      <c r="P269" s="19" t="str">
        <f t="shared" si="3"/>
        <v/>
      </c>
      <c r="Q269" s="19" t="str">
        <f ca="1">IFERROR(__xludf.DUMMYFUNCTION("IMPORTXML(AI269, ""//li[strong[text()='US Units:']]"")"),"Loading...")</f>
        <v>Loading...</v>
      </c>
      <c r="R269" s="24"/>
      <c r="S269" s="19" t="str">
        <f ca="1">IFERROR(__xludf.DUMMYFUNCTION("IMPORTXML(AI269, ""//li[strong[text()='International Units:']]"")"),"Loading...")</f>
        <v>Loading...</v>
      </c>
      <c r="T269" s="44"/>
      <c r="U269" s="19" t="str">
        <f ca="1">IFERROR(__xludf.DUMMYFUNCTION("IMPORTXML(AI269, ""//li[strong[text()='Percent Franchised:']]"")"),"Loading...")</f>
        <v>Loading...</v>
      </c>
      <c r="V269" s="24"/>
      <c r="W269" s="19" t="str">
        <f ca="1">IFERROR(__xludf.DUMMYFUNCTION("IMPORTXML(AI269, ""//li[strong[text()='% International Units:']]"")"),"Loading...")</f>
        <v>Loading...</v>
      </c>
      <c r="X269" s="24"/>
      <c r="Y269" s="19" t="str">
        <f ca="1">IFERROR(__xludf.DUMMYFUNCTION("IMPORTXML(AI269, ""//li[strong[text()='US Franchised Units:']]"")"),"Loading...")</f>
        <v>Loading...</v>
      </c>
      <c r="Z269" s="24"/>
      <c r="AA269" s="14" t="str">
        <f t="shared" si="4"/>
        <v/>
      </c>
      <c r="AB269" s="19" t="str">
        <f ca="1">IFERROR(__xludf.DUMMYFUNCTION("IMPORTXML(AI269, ""//li[strong[text()='International Franchised Units:']]"")"),"Loading...")</f>
        <v>Loading...</v>
      </c>
      <c r="AC269" s="24"/>
      <c r="AD269" s="14" t="str">
        <f t="shared" si="5"/>
        <v/>
      </c>
      <c r="AE269" s="25" t="str">
        <f ca="1">IFERROR(__xludf.DUMMYFUNCTION("IMPORTXML(AI269, ""//li[strong[text()='Sales Growth %:']]"")"),"Loading...")</f>
        <v>Loading...</v>
      </c>
      <c r="AF269" s="24"/>
      <c r="AG269" s="25" t="str">
        <f ca="1">IFERROR(__xludf.DUMMYFUNCTION("IMPORTXML(AI269, ""//li[strong[text()='Unit Growth %:']]"")"),"Loading...")</f>
        <v>Loading...</v>
      </c>
      <c r="AH269" s="25"/>
      <c r="AI269" s="48" t="s">
        <v>276</v>
      </c>
      <c r="AJ269" s="27"/>
      <c r="AK269" s="27"/>
      <c r="AL269" s="27"/>
      <c r="AM269" s="27"/>
      <c r="AN269" s="27"/>
      <c r="AO269" s="27"/>
      <c r="AP269" s="27"/>
      <c r="AQ269" s="27"/>
    </row>
    <row r="270" spans="1:43" ht="14.25" customHeight="1">
      <c r="A270" s="42">
        <v>24.268999999999998</v>
      </c>
      <c r="B270" s="14">
        <v>2024</v>
      </c>
      <c r="C270" s="32">
        <v>269</v>
      </c>
      <c r="D270" s="16" t="str">
        <f ca="1">IFERROR(__xludf.DUMMYFUNCTION("IMPORTXML(AI270, ""//h1[@itemprop='headline']/span"")"),"269. Taziki's Mediterranean Cafe")</f>
        <v>269. Taziki's Mediterranean Cafe</v>
      </c>
      <c r="E270" s="17" t="str">
        <f ca="1">IFERROR(__xludf.DUMMYFUNCTION("REGEXEXTRACT(D270, ""\.\s*(.+)"")"),"Taziki's Mediterranean Cafe")</f>
        <v>Taziki's Mediterranean Cafe</v>
      </c>
      <c r="F270" s="18" t="str">
        <f ca="1">IFERROR(__xludf.DUMMYFUNCTION("IMPORTXML(AI270, ""//li[strong[text()='Investment Range:']]"")"),"Investment Range:")</f>
        <v>Investment Range:</v>
      </c>
      <c r="G270" s="43" t="str">
        <f ca="1">IFERROR(__xludf.DUMMYFUNCTION("""COMPUTED_VALUE""")," $555,000 - $1,008,000")</f>
        <v xml:space="preserve"> $555,000 - $1,008,000</v>
      </c>
      <c r="H270" s="18" t="str">
        <f ca="1">IFERROR(__xludf.DUMMYFUNCTION("SUBSTITUTE(REGEXEXTRACT(G270, ""\$(\d{1,3}(?:,\d{3})*)""), "","", ""."")
"),"555.000")</f>
        <v>555.000</v>
      </c>
      <c r="I270" s="19" t="str">
        <f ca="1">IFERROR(__xludf.DUMMYFUNCTION("SUBSTITUTE(REGEXEXTRACT(G270, ""-\s*\$(\d{1,3}(?:,\d{3})*)""), "","", ""."")
"),"1.008.000")</f>
        <v>1.008.000</v>
      </c>
      <c r="J270" s="19" t="str">
        <f ca="1">IFERROR(__xludf.DUMMYFUNCTION("IMPORTXML(AI270, ""//li[strong[text()='Initial Investment:']]"")"),"Loading...")</f>
        <v>Loading...</v>
      </c>
      <c r="K270" s="24"/>
      <c r="L270" s="20" t="str">
        <f ca="1">IFERROR(__xludf.DUMMYFUNCTION("IMPORTXML(AI270, ""//li[strong[text()='Category:']]"")"),"Loading...")</f>
        <v>Loading...</v>
      </c>
      <c r="M270" s="24"/>
      <c r="N270" s="19" t="str">
        <f ca="1">IFERROR(__xludf.DUMMYFUNCTION("IMPORTXML(AI270, ""//li[strong[text()='Global Sales:']]"")"),"Loading...")</f>
        <v>Loading...</v>
      </c>
      <c r="O270" s="24"/>
      <c r="P270" s="19" t="str">
        <f t="shared" si="3"/>
        <v/>
      </c>
      <c r="Q270" s="19" t="str">
        <f ca="1">IFERROR(__xludf.DUMMYFUNCTION("IMPORTXML(AI270, ""//li[strong[text()='US Units:']]"")"),"Loading...")</f>
        <v>Loading...</v>
      </c>
      <c r="R270" s="24"/>
      <c r="S270" s="19" t="str">
        <f ca="1">IFERROR(__xludf.DUMMYFUNCTION("IMPORTXML(AI270, ""//li[strong[text()='International Units:']]"")"),"Loading...")</f>
        <v>Loading...</v>
      </c>
      <c r="T270" s="44"/>
      <c r="U270" s="19" t="str">
        <f ca="1">IFERROR(__xludf.DUMMYFUNCTION("IMPORTXML(AI270, ""//li[strong[text()='Percent Franchised:']]"")"),"Loading...")</f>
        <v>Loading...</v>
      </c>
      <c r="V270" s="24"/>
      <c r="W270" s="19" t="str">
        <f ca="1">IFERROR(__xludf.DUMMYFUNCTION("IMPORTXML(AI270, ""//li[strong[text()='% International Units:']]"")"),"Loading...")</f>
        <v>Loading...</v>
      </c>
      <c r="X270" s="24"/>
      <c r="Y270" s="19" t="str">
        <f ca="1">IFERROR(__xludf.DUMMYFUNCTION("IMPORTXML(AI270, ""//li[strong[text()='US Franchised Units:']]"")"),"Loading...")</f>
        <v>Loading...</v>
      </c>
      <c r="Z270" s="24"/>
      <c r="AA270" s="14" t="str">
        <f t="shared" si="4"/>
        <v/>
      </c>
      <c r="AB270" s="19" t="str">
        <f ca="1">IFERROR(__xludf.DUMMYFUNCTION("IMPORTXML(AI270, ""//li[strong[text()='International Franchised Units:']]"")"),"Loading...")</f>
        <v>Loading...</v>
      </c>
      <c r="AC270" s="24"/>
      <c r="AD270" s="14" t="str">
        <f t="shared" si="5"/>
        <v/>
      </c>
      <c r="AE270" s="25" t="str">
        <f ca="1">IFERROR(__xludf.DUMMYFUNCTION("IMPORTXML(AI270, ""//li[strong[text()='Sales Growth %:']]"")"),"Loading...")</f>
        <v>Loading...</v>
      </c>
      <c r="AF270" s="24"/>
      <c r="AG270" s="25" t="str">
        <f ca="1">IFERROR(__xludf.DUMMYFUNCTION("IMPORTXML(AI270, ""//li[strong[text()='Unit Growth %:']]"")"),"Loading...")</f>
        <v>Loading...</v>
      </c>
      <c r="AH270" s="25"/>
      <c r="AI270" s="48" t="s">
        <v>277</v>
      </c>
      <c r="AJ270" s="27"/>
      <c r="AK270" s="27"/>
      <c r="AL270" s="27"/>
      <c r="AM270" s="27"/>
      <c r="AN270" s="27"/>
      <c r="AO270" s="27"/>
      <c r="AP270" s="27"/>
      <c r="AQ270" s="27"/>
    </row>
    <row r="271" spans="1:43" ht="14.25" customHeight="1">
      <c r="A271" s="42">
        <v>24.27</v>
      </c>
      <c r="B271" s="14">
        <v>2024</v>
      </c>
      <c r="C271" s="36">
        <v>270</v>
      </c>
      <c r="D271" s="16" t="str">
        <f ca="1">IFERROR(__xludf.DUMMYFUNCTION("IMPORTXML(AI271, ""//h1[@itemprop='headline']/span"")"),"270. Phenix Salon Suites")</f>
        <v>270. Phenix Salon Suites</v>
      </c>
      <c r="E271" s="17" t="str">
        <f ca="1">IFERROR(__xludf.DUMMYFUNCTION("REGEXEXTRACT(D271, ""\.\s*(.+)"")"),"Phenix Salon Suites")</f>
        <v>Phenix Salon Suites</v>
      </c>
      <c r="F271" s="18" t="str">
        <f ca="1">IFERROR(__xludf.DUMMYFUNCTION("IMPORTXML(AI271, ""//li[strong[text()='Investment Range:']]"")"),"Investment Range:")</f>
        <v>Investment Range:</v>
      </c>
      <c r="G271" s="43" t="str">
        <f ca="1">IFERROR(__xludf.DUMMYFUNCTION("""COMPUTED_VALUE""")," $740,977 - $1,960,384")</f>
        <v xml:space="preserve"> $740,977 - $1,960,384</v>
      </c>
      <c r="H271" s="18" t="str">
        <f ca="1">IFERROR(__xludf.DUMMYFUNCTION("SUBSTITUTE(REGEXEXTRACT(G271, ""\$(\d{1,3}(?:,\d{3})*)""), "","", ""."")
"),"740.977")</f>
        <v>740.977</v>
      </c>
      <c r="I271" s="19" t="str">
        <f ca="1">IFERROR(__xludf.DUMMYFUNCTION("SUBSTITUTE(REGEXEXTRACT(G271, ""-\s*\$(\d{1,3}(?:,\d{3})*)""), "","", ""."")
"),"1.960.384")</f>
        <v>1.960.384</v>
      </c>
      <c r="J271" s="19" t="str">
        <f ca="1">IFERROR(__xludf.DUMMYFUNCTION("IMPORTXML(AI271, ""//li[strong[text()='Initial Investment:']]"")"),"Loading...")</f>
        <v>Loading...</v>
      </c>
      <c r="K271" s="24"/>
      <c r="L271" s="20" t="str">
        <f ca="1">IFERROR(__xludf.DUMMYFUNCTION("IMPORTXML(AI271, ""//li[strong[text()='Category:']]"")"),"Loading...")</f>
        <v>Loading...</v>
      </c>
      <c r="M271" s="24"/>
      <c r="N271" s="19" t="str">
        <f ca="1">IFERROR(__xludf.DUMMYFUNCTION("IMPORTXML(AI271, ""//li[strong[text()='Global Sales:']]"")"),"Loading...")</f>
        <v>Loading...</v>
      </c>
      <c r="O271" s="24"/>
      <c r="P271" s="19" t="str">
        <f t="shared" si="3"/>
        <v/>
      </c>
      <c r="Q271" s="19" t="str">
        <f ca="1">IFERROR(__xludf.DUMMYFUNCTION("IMPORTXML(AI271, ""//li[strong[text()='US Units:']]"")"),"Loading...")</f>
        <v>Loading...</v>
      </c>
      <c r="R271" s="24"/>
      <c r="S271" s="19" t="str">
        <f ca="1">IFERROR(__xludf.DUMMYFUNCTION("IMPORTXML(AI271, ""//li[strong[text()='International Units:']]"")"),"Loading...")</f>
        <v>Loading...</v>
      </c>
      <c r="T271" s="44"/>
      <c r="U271" s="19" t="str">
        <f ca="1">IFERROR(__xludf.DUMMYFUNCTION("IMPORTXML(AI271, ""//li[strong[text()='Percent Franchised:']]"")"),"Loading...")</f>
        <v>Loading...</v>
      </c>
      <c r="V271" s="24"/>
      <c r="W271" s="19" t="str">
        <f ca="1">IFERROR(__xludf.DUMMYFUNCTION("IMPORTXML(AI271, ""//li[strong[text()='% International Units:']]"")"),"Loading...")</f>
        <v>Loading...</v>
      </c>
      <c r="X271" s="24"/>
      <c r="Y271" s="19" t="str">
        <f ca="1">IFERROR(__xludf.DUMMYFUNCTION("IMPORTXML(AI271, ""//li[strong[text()='US Franchised Units:']]"")"),"Loading...")</f>
        <v>Loading...</v>
      </c>
      <c r="Z271" s="24"/>
      <c r="AA271" s="14" t="str">
        <f t="shared" si="4"/>
        <v/>
      </c>
      <c r="AB271" s="19" t="str">
        <f ca="1">IFERROR(__xludf.DUMMYFUNCTION("IMPORTXML(AI271, ""//li[strong[text()='International Franchised Units:']]"")"),"Loading...")</f>
        <v>Loading...</v>
      </c>
      <c r="AC271" s="24"/>
      <c r="AD271" s="14" t="str">
        <f t="shared" si="5"/>
        <v/>
      </c>
      <c r="AE271" s="25" t="str">
        <f ca="1">IFERROR(__xludf.DUMMYFUNCTION("IMPORTXML(AI271, ""//li[strong[text()='Sales Growth %:']]"")"),"Loading...")</f>
        <v>Loading...</v>
      </c>
      <c r="AF271" s="24"/>
      <c r="AG271" s="25" t="str">
        <f ca="1">IFERROR(__xludf.DUMMYFUNCTION("IMPORTXML(AI271, ""//li[strong[text()='Unit Growth %:']]"")"),"Loading...")</f>
        <v>Loading...</v>
      </c>
      <c r="AH271" s="25"/>
      <c r="AI271" s="48" t="s">
        <v>278</v>
      </c>
      <c r="AJ271" s="27"/>
      <c r="AK271" s="27"/>
      <c r="AL271" s="27"/>
      <c r="AM271" s="27"/>
      <c r="AN271" s="27"/>
      <c r="AO271" s="27"/>
      <c r="AP271" s="27"/>
      <c r="AQ271" s="27"/>
    </row>
    <row r="272" spans="1:43" ht="14.25" customHeight="1">
      <c r="A272" s="42">
        <v>24.271000000000001</v>
      </c>
      <c r="B272" s="14">
        <v>2024</v>
      </c>
      <c r="C272" s="36">
        <v>271</v>
      </c>
      <c r="D272" s="16" t="str">
        <f ca="1">IFERROR(__xludf.DUMMYFUNCTION("IMPORTXML(AI272, ""//h1[@itemprop='headline']/span"")"),"271. Another Broken Egg Cafe")</f>
        <v>271. Another Broken Egg Cafe</v>
      </c>
      <c r="E272" s="17" t="str">
        <f ca="1">IFERROR(__xludf.DUMMYFUNCTION("REGEXEXTRACT(D272, ""\.\s*(.+)"")"),"Another Broken Egg Cafe")</f>
        <v>Another Broken Egg Cafe</v>
      </c>
      <c r="F272" s="18" t="str">
        <f ca="1">IFERROR(__xludf.DUMMYFUNCTION("IMPORTXML(AI272, ""//li[strong[text()='Investment Range:']]"")"),"Investment Range:")</f>
        <v>Investment Range:</v>
      </c>
      <c r="G272" s="43" t="str">
        <f ca="1">IFERROR(__xludf.DUMMYFUNCTION("""COMPUTED_VALUE""")," $897,400 - $1,569,000")</f>
        <v xml:space="preserve"> $897,400 - $1,569,000</v>
      </c>
      <c r="H272" s="18" t="str">
        <f ca="1">IFERROR(__xludf.DUMMYFUNCTION("SUBSTITUTE(REGEXEXTRACT(G272, ""\$(\d{1,3}(?:,\d{3})*)""), "","", ""."")
"),"897.400")</f>
        <v>897.400</v>
      </c>
      <c r="I272" s="19" t="str">
        <f ca="1">IFERROR(__xludf.DUMMYFUNCTION("SUBSTITUTE(REGEXEXTRACT(G272, ""-\s*\$(\d{1,3}(?:,\d{3})*)""), "","", ""."")
"),"1.569.000")</f>
        <v>1.569.000</v>
      </c>
      <c r="J272" s="19" t="str">
        <f ca="1">IFERROR(__xludf.DUMMYFUNCTION("IMPORTXML(AI272, ""//li[strong[text()='Initial Investment:']]"")"),"Initial Investment:")</f>
        <v>Initial Investment:</v>
      </c>
      <c r="K272" s="24" t="str">
        <f ca="1">IFERROR(__xludf.DUMMYFUNCTION("""COMPUTED_VALUE""")," $40,000")</f>
        <v xml:space="preserve"> $40,000</v>
      </c>
      <c r="L272" s="20" t="str">
        <f ca="1">IFERROR(__xludf.DUMMYFUNCTION("IMPORTXML(AI272, ""//li[strong[text()='Category:']]"")"),"Loading...")</f>
        <v>Loading...</v>
      </c>
      <c r="M272" s="24"/>
      <c r="N272" s="19" t="str">
        <f ca="1">IFERROR(__xludf.DUMMYFUNCTION("IMPORTXML(AI272, ""//li[strong[text()='Global Sales:']]"")"),"Loading...")</f>
        <v>Loading...</v>
      </c>
      <c r="O272" s="24"/>
      <c r="P272" s="19" t="str">
        <f t="shared" si="3"/>
        <v/>
      </c>
      <c r="Q272" s="19" t="str">
        <f ca="1">IFERROR(__xludf.DUMMYFUNCTION("IMPORTXML(AI272, ""//li[strong[text()='US Units:']]"")"),"Loading...")</f>
        <v>Loading...</v>
      </c>
      <c r="R272" s="24"/>
      <c r="S272" s="19" t="str">
        <f ca="1">IFERROR(__xludf.DUMMYFUNCTION("IMPORTXML(AI272, ""//li[strong[text()='International Units:']]"")"),"Loading...")</f>
        <v>Loading...</v>
      </c>
      <c r="T272" s="44"/>
      <c r="U272" s="19" t="str">
        <f ca="1">IFERROR(__xludf.DUMMYFUNCTION("IMPORTXML(AI272, ""//li[strong[text()='Percent Franchised:']]"")"),"Percent Franchised:")</f>
        <v>Percent Franchised:</v>
      </c>
      <c r="V272" s="45">
        <f ca="1">IFERROR(__xludf.DUMMYFUNCTION("""COMPUTED_VALUE"""),0.58)</f>
        <v>0.57999999999999996</v>
      </c>
      <c r="W272" s="19" t="str">
        <f ca="1">IFERROR(__xludf.DUMMYFUNCTION("IMPORTXML(AI272, ""//li[strong[text()='% International Units:']]"")"),"Loading...")</f>
        <v>Loading...</v>
      </c>
      <c r="X272" s="24"/>
      <c r="Y272" s="19" t="str">
        <f ca="1">IFERROR(__xludf.DUMMYFUNCTION("IMPORTXML(AI272, ""//li[strong[text()='US Franchised Units:']]"")"),"Loading...")</f>
        <v>Loading...</v>
      </c>
      <c r="Z272" s="24"/>
      <c r="AA272" s="14" t="str">
        <f t="shared" si="4"/>
        <v/>
      </c>
      <c r="AB272" s="19" t="str">
        <f ca="1">IFERROR(__xludf.DUMMYFUNCTION("IMPORTXML(AI272, ""//li[strong[text()='International Franchised Units:']]"")"),"Loading...")</f>
        <v>Loading...</v>
      </c>
      <c r="AC272" s="24"/>
      <c r="AD272" s="14" t="str">
        <f t="shared" si="5"/>
        <v/>
      </c>
      <c r="AE272" s="25" t="str">
        <f ca="1">IFERROR(__xludf.DUMMYFUNCTION("IMPORTXML(AI272, ""//li[strong[text()='Sales Growth %:']]"")"),"Loading...")</f>
        <v>Loading...</v>
      </c>
      <c r="AF272" s="24"/>
      <c r="AG272" s="25" t="str">
        <f ca="1">IFERROR(__xludf.DUMMYFUNCTION("IMPORTXML(AI272, ""//li[strong[text()='Unit Growth %:']]"")"),"Loading...")</f>
        <v>Loading...</v>
      </c>
      <c r="AH272" s="25"/>
      <c r="AI272" s="48" t="s">
        <v>279</v>
      </c>
      <c r="AJ272" s="27"/>
      <c r="AK272" s="27"/>
      <c r="AL272" s="27"/>
      <c r="AM272" s="27"/>
      <c r="AN272" s="27"/>
      <c r="AO272" s="27"/>
      <c r="AP272" s="27"/>
      <c r="AQ272" s="27"/>
    </row>
    <row r="273" spans="1:43" ht="14.25" customHeight="1">
      <c r="A273" s="42">
        <v>24.271999999999998</v>
      </c>
      <c r="B273" s="14">
        <v>2024</v>
      </c>
      <c r="C273" s="15">
        <v>272</v>
      </c>
      <c r="D273" s="16" t="str">
        <f ca="1">IFERROR(__xludf.DUMMYFUNCTION("IMPORTXML(AI273, ""//h1[@itemprop='headline']/span"")"),"272. Great American Cookies")</f>
        <v>272. Great American Cookies</v>
      </c>
      <c r="E273" s="17" t="str">
        <f ca="1">IFERROR(__xludf.DUMMYFUNCTION("REGEXEXTRACT(D273, ""\.\s*(.+)"")"),"Great American Cookies")</f>
        <v>Great American Cookies</v>
      </c>
      <c r="F273" s="18" t="str">
        <f ca="1">IFERROR(__xludf.DUMMYFUNCTION("IMPORTXML(AI273, ""//li[strong[text()='Investment Range:']]"")"),"Investment Range:")</f>
        <v>Investment Range:</v>
      </c>
      <c r="G273" s="43" t="str">
        <f ca="1">IFERROR(__xludf.DUMMYFUNCTION("""COMPUTED_VALUE""")," $308,500 - $484,650")</f>
        <v xml:space="preserve"> $308,500 - $484,650</v>
      </c>
      <c r="H273" s="18" t="str">
        <f ca="1">IFERROR(__xludf.DUMMYFUNCTION("SUBSTITUTE(REGEXEXTRACT(G273, ""\$(\d{1,3}(?:,\d{3})*)""), "","", ""."")
"),"308.500")</f>
        <v>308.500</v>
      </c>
      <c r="I273" s="19" t="str">
        <f ca="1">IFERROR(__xludf.DUMMYFUNCTION("SUBSTITUTE(REGEXEXTRACT(G273, ""-\s*\$(\d{1,3}(?:,\d{3})*)""), "","", ""."")
"),"484.650")</f>
        <v>484.650</v>
      </c>
      <c r="J273" s="19" t="str">
        <f ca="1">IFERROR(__xludf.DUMMYFUNCTION("IMPORTXML(AI273, ""//li[strong[text()='Initial Investment:']]"")"),"Loading...")</f>
        <v>Loading...</v>
      </c>
      <c r="K273" s="24"/>
      <c r="L273" s="20" t="str">
        <f ca="1">IFERROR(__xludf.DUMMYFUNCTION("IMPORTXML(AI273, ""//li[strong[text()='Category:']]"")"),"Loading...")</f>
        <v>Loading...</v>
      </c>
      <c r="M273" s="24"/>
      <c r="N273" s="19" t="str">
        <f ca="1">IFERROR(__xludf.DUMMYFUNCTION("IMPORTXML(AI273, ""//li[strong[text()='Global Sales:']]"")"),"Global Sales:")</f>
        <v>Global Sales:</v>
      </c>
      <c r="O273" s="24" t="str">
        <f ca="1">IFERROR(__xludf.DUMMYFUNCTION("""COMPUTED_VALUE""")," $163,425,446")</f>
        <v xml:space="preserve"> $163,425,446</v>
      </c>
      <c r="P273" s="19" t="str">
        <f t="shared" ca="1" si="3"/>
        <v xml:space="preserve"> 163.425.446</v>
      </c>
      <c r="Q273" s="19" t="str">
        <f ca="1">IFERROR(__xludf.DUMMYFUNCTION("IMPORTXML(AI273, ""//li[strong[text()='US Units:']]"")"),"Loading...")</f>
        <v>Loading...</v>
      </c>
      <c r="R273" s="24"/>
      <c r="S273" s="19" t="str">
        <f ca="1">IFERROR(__xludf.DUMMYFUNCTION("IMPORTXML(AI273, ""//li[strong[text()='International Units:']]"")"),"Loading...")</f>
        <v>Loading...</v>
      </c>
      <c r="T273" s="44"/>
      <c r="U273" s="19" t="str">
        <f ca="1">IFERROR(__xludf.DUMMYFUNCTION("IMPORTXML(AI273, ""//li[strong[text()='Percent Franchised:']]"")"),"Loading...")</f>
        <v>Loading...</v>
      </c>
      <c r="V273" s="24"/>
      <c r="W273" s="19" t="str">
        <f ca="1">IFERROR(__xludf.DUMMYFUNCTION("IMPORTXML(AI273, ""//li[strong[text()='% International Units:']]"")"),"Loading...")</f>
        <v>Loading...</v>
      </c>
      <c r="X273" s="24"/>
      <c r="Y273" s="19" t="str">
        <f ca="1">IFERROR(__xludf.DUMMYFUNCTION("IMPORTXML(AI273, ""//li[strong[text()='US Franchised Units:']]"")"),"Loading...")</f>
        <v>Loading...</v>
      </c>
      <c r="Z273" s="24"/>
      <c r="AA273" s="14" t="str">
        <f t="shared" si="4"/>
        <v/>
      </c>
      <c r="AB273" s="19" t="str">
        <f ca="1">IFERROR(__xludf.DUMMYFUNCTION("IMPORTXML(AI273, ""//li[strong[text()='International Franchised Units:']]"")"),"Loading...")</f>
        <v>Loading...</v>
      </c>
      <c r="AC273" s="24"/>
      <c r="AD273" s="14" t="str">
        <f t="shared" si="5"/>
        <v/>
      </c>
      <c r="AE273" s="25" t="str">
        <f ca="1">IFERROR(__xludf.DUMMYFUNCTION("IMPORTXML(AI273, ""//li[strong[text()='Sales Growth %:']]"")"),"Loading...")</f>
        <v>Loading...</v>
      </c>
      <c r="AF273" s="24"/>
      <c r="AG273" s="25" t="str">
        <f ca="1">IFERROR(__xludf.DUMMYFUNCTION("IMPORTXML(AI273, ""//li[strong[text()='Unit Growth %:']]"")"),"Loading...")</f>
        <v>Loading...</v>
      </c>
      <c r="AH273" s="25"/>
      <c r="AI273" s="48" t="s">
        <v>158</v>
      </c>
      <c r="AJ273" s="27"/>
      <c r="AK273" s="27"/>
      <c r="AL273" s="27"/>
      <c r="AM273" s="27"/>
      <c r="AN273" s="27"/>
      <c r="AO273" s="27"/>
      <c r="AP273" s="27"/>
      <c r="AQ273" s="27"/>
    </row>
    <row r="274" spans="1:43" ht="14.25" customHeight="1">
      <c r="A274" s="42">
        <v>24.273</v>
      </c>
      <c r="B274" s="14">
        <v>2024</v>
      </c>
      <c r="C274" s="32">
        <v>273</v>
      </c>
      <c r="D274" s="16" t="str">
        <f ca="1">IFERROR(__xludf.DUMMYFUNCTION("IMPORTXML(AI274, ""//h1[@itemprop='headline']/span"")"),"273. Sir Speedy Print Signs Marketing")</f>
        <v>273. Sir Speedy Print Signs Marketing</v>
      </c>
      <c r="E274" s="17" t="str">
        <f ca="1">IFERROR(__xludf.DUMMYFUNCTION("REGEXEXTRACT(D274, ""\.\s*(.+)"")"),"Sir Speedy Print Signs Marketing")</f>
        <v>Sir Speedy Print Signs Marketing</v>
      </c>
      <c r="F274" s="18" t="str">
        <f ca="1">IFERROR(__xludf.DUMMYFUNCTION("IMPORTXML(AI274, ""//li[strong[text()='Investment Range:']]"")"),"Investment Range:")</f>
        <v>Investment Range:</v>
      </c>
      <c r="G274" s="43" t="str">
        <f ca="1">IFERROR(__xludf.DUMMYFUNCTION("""COMPUTED_VALUE""")," $258,027 - $305,527")</f>
        <v xml:space="preserve"> $258,027 - $305,527</v>
      </c>
      <c r="H274" s="18" t="str">
        <f ca="1">IFERROR(__xludf.DUMMYFUNCTION("SUBSTITUTE(REGEXEXTRACT(G274, ""\$(\d{1,3}(?:,\d{3})*)""), "","", ""."")
"),"258.027")</f>
        <v>258.027</v>
      </c>
      <c r="I274" s="19" t="str">
        <f ca="1">IFERROR(__xludf.DUMMYFUNCTION("SUBSTITUTE(REGEXEXTRACT(G274, ""-\s*\$(\d{1,3}(?:,\d{3})*)""), "","", ""."")
"),"305.527")</f>
        <v>305.527</v>
      </c>
      <c r="J274" s="19" t="str">
        <f ca="1">IFERROR(__xludf.DUMMYFUNCTION("IMPORTXML(AI274, ""//li[strong[text()='Initial Investment:']]"")"),"Loading...")</f>
        <v>Loading...</v>
      </c>
      <c r="K274" s="24"/>
      <c r="L274" s="20" t="str">
        <f ca="1">IFERROR(__xludf.DUMMYFUNCTION("IMPORTXML(AI274, ""//li[strong[text()='Category:']]"")"),"Loading...")</f>
        <v>Loading...</v>
      </c>
      <c r="M274" s="24"/>
      <c r="N274" s="19" t="str">
        <f ca="1">IFERROR(__xludf.DUMMYFUNCTION("IMPORTXML(AI274, ""//li[strong[text()='Global Sales:']]"")"),"Loading...")</f>
        <v>Loading...</v>
      </c>
      <c r="O274" s="24"/>
      <c r="P274" s="19" t="str">
        <f t="shared" si="3"/>
        <v/>
      </c>
      <c r="Q274" s="19" t="str">
        <f ca="1">IFERROR(__xludf.DUMMYFUNCTION("IMPORTXML(AI274, ""//li[strong[text()='US Units:']]"")"),"Loading...")</f>
        <v>Loading...</v>
      </c>
      <c r="R274" s="24"/>
      <c r="S274" s="19" t="str">
        <f ca="1">IFERROR(__xludf.DUMMYFUNCTION("IMPORTXML(AI274, ""//li[strong[text()='International Units:']]"")"),"Loading...")</f>
        <v>Loading...</v>
      </c>
      <c r="T274" s="44"/>
      <c r="U274" s="19" t="str">
        <f ca="1">IFERROR(__xludf.DUMMYFUNCTION("IMPORTXML(AI274, ""//li[strong[text()='Percent Franchised:']]"")"),"Loading...")</f>
        <v>Loading...</v>
      </c>
      <c r="V274" s="24"/>
      <c r="W274" s="19" t="str">
        <f ca="1">IFERROR(__xludf.DUMMYFUNCTION("IMPORTXML(AI274, ""//li[strong[text()='% International Units:']]"")"),"Loading...")</f>
        <v>Loading...</v>
      </c>
      <c r="X274" s="24"/>
      <c r="Y274" s="19" t="str">
        <f ca="1">IFERROR(__xludf.DUMMYFUNCTION("IMPORTXML(AI274, ""//li[strong[text()='US Franchised Units:']]"")"),"Loading...")</f>
        <v>Loading...</v>
      </c>
      <c r="Z274" s="24"/>
      <c r="AA274" s="14" t="str">
        <f t="shared" si="4"/>
        <v/>
      </c>
      <c r="AB274" s="19" t="str">
        <f ca="1">IFERROR(__xludf.DUMMYFUNCTION("IMPORTXML(AI274, ""//li[strong[text()='International Franchised Units:']]"")"),"Loading...")</f>
        <v>Loading...</v>
      </c>
      <c r="AC274" s="24"/>
      <c r="AD274" s="14" t="str">
        <f t="shared" si="5"/>
        <v/>
      </c>
      <c r="AE274" s="25" t="str">
        <f ca="1">IFERROR(__xludf.DUMMYFUNCTION("IMPORTXML(AI274, ""//li[strong[text()='Sales Growth %:']]"")"),"Loading...")</f>
        <v>Loading...</v>
      </c>
      <c r="AF274" s="24"/>
      <c r="AG274" s="25" t="str">
        <f ca="1">IFERROR(__xludf.DUMMYFUNCTION("IMPORTXML(AI274, ""//li[strong[text()='Unit Growth %:']]"")"),"Loading...")</f>
        <v>Loading...</v>
      </c>
      <c r="AH274" s="25"/>
      <c r="AI274" s="48" t="s">
        <v>280</v>
      </c>
      <c r="AJ274" s="27"/>
      <c r="AK274" s="27"/>
      <c r="AL274" s="27"/>
      <c r="AM274" s="27"/>
      <c r="AN274" s="27"/>
      <c r="AO274" s="27"/>
      <c r="AP274" s="27"/>
      <c r="AQ274" s="27"/>
    </row>
    <row r="275" spans="1:43" ht="14.25" customHeight="1">
      <c r="A275" s="42">
        <v>24.274000000000001</v>
      </c>
      <c r="B275" s="14">
        <v>2024</v>
      </c>
      <c r="C275" s="36">
        <v>274</v>
      </c>
      <c r="D275" s="16" t="str">
        <f ca="1">IFERROR(__xludf.DUMMYFUNCTION("IMPORTXML(AI275, ""//h1[@itemprop='headline']/span"")"),"274. Lightbridge Academy")</f>
        <v>274. Lightbridge Academy</v>
      </c>
      <c r="E275" s="17" t="str">
        <f ca="1">IFERROR(__xludf.DUMMYFUNCTION("REGEXEXTRACT(D275, ""\.\s*(.+)"")"),"Lightbridge Academy")</f>
        <v>Lightbridge Academy</v>
      </c>
      <c r="F275" s="18" t="str">
        <f ca="1">IFERROR(__xludf.DUMMYFUNCTION("IMPORTXML(AI275, ""//li[strong[text()='Investment Range:']]"")"),"Investment Range:")</f>
        <v>Investment Range:</v>
      </c>
      <c r="G275" s="43" t="str">
        <f ca="1">IFERROR(__xludf.DUMMYFUNCTION("""COMPUTED_VALUE""")," $1,067,233 - $3,120,400")</f>
        <v xml:space="preserve"> $1,067,233 - $3,120,400</v>
      </c>
      <c r="H275" s="18" t="str">
        <f ca="1">IFERROR(__xludf.DUMMYFUNCTION("SUBSTITUTE(REGEXEXTRACT(G275, ""\$(\d{1,3}(?:,\d{3})*)""), "","", ""."")
"),"1.067.233")</f>
        <v>1.067.233</v>
      </c>
      <c r="I275" s="19" t="str">
        <f ca="1">IFERROR(__xludf.DUMMYFUNCTION("SUBSTITUTE(REGEXEXTRACT(G275, ""-\s*\$(\d{1,3}(?:,\d{3})*)""), "","", ""."")
"),"3.120.400")</f>
        <v>3.120.400</v>
      </c>
      <c r="J275" s="19" t="str">
        <f ca="1">IFERROR(__xludf.DUMMYFUNCTION("IMPORTXML(AI275, ""//li[strong[text()='Initial Investment:']]"")"),"Loading...")</f>
        <v>Loading...</v>
      </c>
      <c r="K275" s="24"/>
      <c r="L275" s="20" t="str">
        <f ca="1">IFERROR(__xludf.DUMMYFUNCTION("IMPORTXML(AI275, ""//li[strong[text()='Category:']]"")"),"Loading...")</f>
        <v>Loading...</v>
      </c>
      <c r="M275" s="24"/>
      <c r="N275" s="19" t="str">
        <f ca="1">IFERROR(__xludf.DUMMYFUNCTION("IMPORTXML(AI275, ""//li[strong[text()='Global Sales:']]"")"),"Loading...")</f>
        <v>Loading...</v>
      </c>
      <c r="O275" s="24"/>
      <c r="P275" s="19" t="str">
        <f t="shared" si="3"/>
        <v/>
      </c>
      <c r="Q275" s="19" t="str">
        <f ca="1">IFERROR(__xludf.DUMMYFUNCTION("IMPORTXML(AI275, ""//li[strong[text()='US Units:']]"")"),"Loading...")</f>
        <v>Loading...</v>
      </c>
      <c r="R275" s="24"/>
      <c r="S275" s="19" t="str">
        <f ca="1">IFERROR(__xludf.DUMMYFUNCTION("IMPORTXML(AI275, ""//li[strong[text()='International Units:']]"")"),"Loading...")</f>
        <v>Loading...</v>
      </c>
      <c r="T275" s="44"/>
      <c r="U275" s="19" t="str">
        <f ca="1">IFERROR(__xludf.DUMMYFUNCTION("IMPORTXML(AI275, ""//li[strong[text()='Percent Franchised:']]"")"),"Percent Franchised:")</f>
        <v>Percent Franchised:</v>
      </c>
      <c r="V275" s="45">
        <f ca="1">IFERROR(__xludf.DUMMYFUNCTION("""COMPUTED_VALUE"""),0.76)</f>
        <v>0.76</v>
      </c>
      <c r="W275" s="19" t="str">
        <f ca="1">IFERROR(__xludf.DUMMYFUNCTION("IMPORTXML(AI275, ""//li[strong[text()='% International Units:']]"")"),"Loading...")</f>
        <v>Loading...</v>
      </c>
      <c r="X275" s="24"/>
      <c r="Y275" s="19" t="str">
        <f ca="1">IFERROR(__xludf.DUMMYFUNCTION("IMPORTXML(AI275, ""//li[strong[text()='US Franchised Units:']]"")"),"Loading...")</f>
        <v>Loading...</v>
      </c>
      <c r="Z275" s="24"/>
      <c r="AA275" s="14" t="str">
        <f t="shared" si="4"/>
        <v/>
      </c>
      <c r="AB275" s="19" t="str">
        <f ca="1">IFERROR(__xludf.DUMMYFUNCTION("IMPORTXML(AI275, ""//li[strong[text()='International Franchised Units:']]"")"),"Loading...")</f>
        <v>Loading...</v>
      </c>
      <c r="AC275" s="24"/>
      <c r="AD275" s="14" t="str">
        <f t="shared" si="5"/>
        <v/>
      </c>
      <c r="AE275" s="25" t="str">
        <f ca="1">IFERROR(__xludf.DUMMYFUNCTION("IMPORTXML(AI275, ""//li[strong[text()='Sales Growth %:']]"")"),"Loading...")</f>
        <v>Loading...</v>
      </c>
      <c r="AF275" s="24"/>
      <c r="AG275" s="25" t="str">
        <f ca="1">IFERROR(__xludf.DUMMYFUNCTION("IMPORTXML(AI275, ""//li[strong[text()='Unit Growth %:']]"")"),"Loading...")</f>
        <v>Loading...</v>
      </c>
      <c r="AH275" s="25"/>
      <c r="AI275" s="48" t="s">
        <v>281</v>
      </c>
      <c r="AJ275" s="27"/>
      <c r="AK275" s="27"/>
      <c r="AL275" s="27"/>
      <c r="AM275" s="27"/>
      <c r="AN275" s="27"/>
      <c r="AO275" s="27"/>
      <c r="AP275" s="27"/>
      <c r="AQ275" s="27"/>
    </row>
    <row r="276" spans="1:43" ht="14.25" customHeight="1">
      <c r="A276" s="42">
        <v>24.274999999999999</v>
      </c>
      <c r="B276" s="14">
        <v>2024</v>
      </c>
      <c r="C276" s="36">
        <v>275</v>
      </c>
      <c r="D276" s="16" t="str">
        <f ca="1">IFERROR(__xludf.DUMMYFUNCTION("IMPORTXML(AI276, ""//h1[@itemprop='headline']/span"")"),"275. Amazing Lash Studio")</f>
        <v>275. Amazing Lash Studio</v>
      </c>
      <c r="E276" s="17" t="str">
        <f ca="1">IFERROR(__xludf.DUMMYFUNCTION("REGEXEXTRACT(D276, ""\.\s*(.+)"")"),"Amazing Lash Studio")</f>
        <v>Amazing Lash Studio</v>
      </c>
      <c r="F276" s="18" t="str">
        <f ca="1">IFERROR(__xludf.DUMMYFUNCTION("IMPORTXML(AI276, ""//li[strong[text()='Investment Range:']]"")"),"Investment Range:")</f>
        <v>Investment Range:</v>
      </c>
      <c r="G276" s="43" t="str">
        <f ca="1">IFERROR(__xludf.DUMMYFUNCTION("""COMPUTED_VALUE""")," $436,334 - $707,674")</f>
        <v xml:space="preserve"> $436,334 - $707,674</v>
      </c>
      <c r="H276" s="18" t="str">
        <f ca="1">IFERROR(__xludf.DUMMYFUNCTION("SUBSTITUTE(REGEXEXTRACT(G276, ""\$(\d{1,3}(?:,\d{3})*)""), "","", ""."")
"),"436.334")</f>
        <v>436.334</v>
      </c>
      <c r="I276" s="19" t="str">
        <f ca="1">IFERROR(__xludf.DUMMYFUNCTION("SUBSTITUTE(REGEXEXTRACT(G276, ""-\s*\$(\d{1,3}(?:,\d{3})*)""), "","", ""."")
"),"707.674")</f>
        <v>707.674</v>
      </c>
      <c r="J276" s="19" t="str">
        <f ca="1">IFERROR(__xludf.DUMMYFUNCTION("IMPORTXML(AI276, ""//li[strong[text()='Initial Investment:']]"")"),"Loading...")</f>
        <v>Loading...</v>
      </c>
      <c r="K276" s="24"/>
      <c r="L276" s="20" t="str">
        <f ca="1">IFERROR(__xludf.DUMMYFUNCTION("IMPORTXML(AI276, ""//li[strong[text()='Category:']]"")"),"Loading...")</f>
        <v>Loading...</v>
      </c>
      <c r="M276" s="24"/>
      <c r="N276" s="19" t="str">
        <f ca="1">IFERROR(__xludf.DUMMYFUNCTION("IMPORTXML(AI276, ""//li[strong[text()='Global Sales:']]"")"),"Loading...")</f>
        <v>Loading...</v>
      </c>
      <c r="O276" s="24"/>
      <c r="P276" s="19" t="str">
        <f t="shared" si="3"/>
        <v/>
      </c>
      <c r="Q276" s="19" t="str">
        <f ca="1">IFERROR(__xludf.DUMMYFUNCTION("IMPORTXML(AI276, ""//li[strong[text()='US Units:']]"")"),"Loading...")</f>
        <v>Loading...</v>
      </c>
      <c r="R276" s="24"/>
      <c r="S276" s="19" t="str">
        <f ca="1">IFERROR(__xludf.DUMMYFUNCTION("IMPORTXML(AI276, ""//li[strong[text()='International Units:']]"")"),"Loading...")</f>
        <v>Loading...</v>
      </c>
      <c r="T276" s="44"/>
      <c r="U276" s="19" t="str">
        <f ca="1">IFERROR(__xludf.DUMMYFUNCTION("IMPORTXML(AI276, ""//li[strong[text()='Percent Franchised:']]"")"),"Loading...")</f>
        <v>Loading...</v>
      </c>
      <c r="V276" s="24"/>
      <c r="W276" s="19" t="str">
        <f ca="1">IFERROR(__xludf.DUMMYFUNCTION("IMPORTXML(AI276, ""//li[strong[text()='% International Units:']]"")"),"Loading...")</f>
        <v>Loading...</v>
      </c>
      <c r="X276" s="24"/>
      <c r="Y276" s="19" t="str">
        <f ca="1">IFERROR(__xludf.DUMMYFUNCTION("IMPORTXML(AI276, ""//li[strong[text()='US Franchised Units:']]"")"),"US Franchised Units:")</f>
        <v>US Franchised Units:</v>
      </c>
      <c r="Z276" s="24">
        <f ca="1">IFERROR(__xludf.DUMMYFUNCTION("""COMPUTED_VALUE"""),262)</f>
        <v>262</v>
      </c>
      <c r="AA276" s="14" t="str">
        <f t="shared" ca="1" si="4"/>
        <v>262</v>
      </c>
      <c r="AB276" s="19" t="str">
        <f ca="1">IFERROR(__xludf.DUMMYFUNCTION("IMPORTXML(AI276, ""//li[strong[text()='International Franchised Units:']]"")"),"Loading...")</f>
        <v>Loading...</v>
      </c>
      <c r="AC276" s="24"/>
      <c r="AD276" s="14" t="str">
        <f t="shared" si="5"/>
        <v/>
      </c>
      <c r="AE276" s="25" t="str">
        <f ca="1">IFERROR(__xludf.DUMMYFUNCTION("IMPORTXML(AI276, ""//li[strong[text()='Sales Growth %:']]"")"),"Loading...")</f>
        <v>Loading...</v>
      </c>
      <c r="AF276" s="24"/>
      <c r="AG276" s="25" t="str">
        <f ca="1">IFERROR(__xludf.DUMMYFUNCTION("IMPORTXML(AI276, ""//li[strong[text()='Unit Growth %:']]"")"),"Loading...")</f>
        <v>Loading...</v>
      </c>
      <c r="AH276" s="25"/>
      <c r="AI276" s="48" t="s">
        <v>282</v>
      </c>
      <c r="AJ276" s="27"/>
      <c r="AK276" s="27"/>
      <c r="AL276" s="27"/>
      <c r="AM276" s="27"/>
      <c r="AN276" s="27"/>
      <c r="AO276" s="27"/>
      <c r="AP276" s="27"/>
      <c r="AQ276" s="27"/>
    </row>
    <row r="277" spans="1:43" ht="14.25" customHeight="1">
      <c r="A277" s="42">
        <v>24.276</v>
      </c>
      <c r="B277" s="14">
        <v>2024</v>
      </c>
      <c r="C277" s="15">
        <v>276</v>
      </c>
      <c r="D277" s="16" t="str">
        <f ca="1">IFERROR(__xludf.DUMMYFUNCTION("IMPORTXML(AI277, ""//h1[@itemprop='headline']/span"")"),"276. BURGERFI")</f>
        <v>276. BURGERFI</v>
      </c>
      <c r="E277" s="17" t="str">
        <f ca="1">IFERROR(__xludf.DUMMYFUNCTION("REGEXEXTRACT(D277, ""\.\s*(.+)"")"),"BURGERFI")</f>
        <v>BURGERFI</v>
      </c>
      <c r="F277" s="18" t="str">
        <f ca="1">IFERROR(__xludf.DUMMYFUNCTION("IMPORTXML(AI277, ""//li[strong[text()='Investment Range:']]"")"),"Investment Range:")</f>
        <v>Investment Range:</v>
      </c>
      <c r="G277" s="43" t="str">
        <f ca="1">IFERROR(__xludf.DUMMYFUNCTION("""COMPUTED_VALUE""")," $714,750 - $1,181,500")</f>
        <v xml:space="preserve"> $714,750 - $1,181,500</v>
      </c>
      <c r="H277" s="18" t="str">
        <f ca="1">IFERROR(__xludf.DUMMYFUNCTION("SUBSTITUTE(REGEXEXTRACT(G277, ""\$(\d{1,3}(?:,\d{3})*)""), "","", ""."")
"),"714.750")</f>
        <v>714.750</v>
      </c>
      <c r="I277" s="19" t="str">
        <f ca="1">IFERROR(__xludf.DUMMYFUNCTION("SUBSTITUTE(REGEXEXTRACT(G277, ""-\s*\$(\d{1,3}(?:,\d{3})*)""), "","", ""."")
"),"1.181.500")</f>
        <v>1.181.500</v>
      </c>
      <c r="J277" s="19" t="str">
        <f ca="1">IFERROR(__xludf.DUMMYFUNCTION("IMPORTXML(AI277, ""//li[strong[text()='Initial Investment:']]"")"),"Loading...")</f>
        <v>Loading...</v>
      </c>
      <c r="K277" s="24"/>
      <c r="L277" s="20" t="str">
        <f ca="1">IFERROR(__xludf.DUMMYFUNCTION("IMPORTXML(AI277, ""//li[strong[text()='Category:']]"")"),"Loading...")</f>
        <v>Loading...</v>
      </c>
      <c r="M277" s="24"/>
      <c r="N277" s="19" t="str">
        <f ca="1">IFERROR(__xludf.DUMMYFUNCTION("IMPORTXML(AI277, ""//li[strong[text()='Global Sales:']]"")"),"Loading...")</f>
        <v>Loading...</v>
      </c>
      <c r="O277" s="24"/>
      <c r="P277" s="19" t="str">
        <f t="shared" si="3"/>
        <v/>
      </c>
      <c r="Q277" s="19" t="str">
        <f ca="1">IFERROR(__xludf.DUMMYFUNCTION("IMPORTXML(AI277, ""//li[strong[text()='US Units:']]"")"),"Loading...")</f>
        <v>Loading...</v>
      </c>
      <c r="R277" s="24"/>
      <c r="S277" s="19" t="str">
        <f ca="1">IFERROR(__xludf.DUMMYFUNCTION("IMPORTXML(AI277, ""//li[strong[text()='International Units:']]"")"),"Loading...")</f>
        <v>Loading...</v>
      </c>
      <c r="T277" s="44"/>
      <c r="U277" s="19" t="str">
        <f ca="1">IFERROR(__xludf.DUMMYFUNCTION("IMPORTXML(AI277, ""//li[strong[text()='Percent Franchised:']]"")"),"Loading...")</f>
        <v>Loading...</v>
      </c>
      <c r="V277" s="24"/>
      <c r="W277" s="19" t="str">
        <f ca="1">IFERROR(__xludf.DUMMYFUNCTION("IMPORTXML(AI277, ""//li[strong[text()='% International Units:']]"")"),"Loading...")</f>
        <v>Loading...</v>
      </c>
      <c r="X277" s="24"/>
      <c r="Y277" s="19" t="str">
        <f ca="1">IFERROR(__xludf.DUMMYFUNCTION("IMPORTXML(AI277, ""//li[strong[text()='US Franchised Units:']]"")"),"US Franchised Units:")</f>
        <v>US Franchised Units:</v>
      </c>
      <c r="Z277" s="24">
        <f ca="1">IFERROR(__xludf.DUMMYFUNCTION("""COMPUTED_VALUE"""),75)</f>
        <v>75</v>
      </c>
      <c r="AA277" s="14" t="str">
        <f t="shared" ca="1" si="4"/>
        <v>75</v>
      </c>
      <c r="AB277" s="19" t="str">
        <f ca="1">IFERROR(__xludf.DUMMYFUNCTION("IMPORTXML(AI277, ""//li[strong[text()='International Franchised Units:']]"")"),"Loading...")</f>
        <v>Loading...</v>
      </c>
      <c r="AC277" s="24"/>
      <c r="AD277" s="14" t="str">
        <f t="shared" si="5"/>
        <v/>
      </c>
      <c r="AE277" s="25" t="str">
        <f ca="1">IFERROR(__xludf.DUMMYFUNCTION("IMPORTXML(AI277, ""//li[strong[text()='Sales Growth %:']]"")"),"Sales Growth %:")</f>
        <v>Sales Growth %:</v>
      </c>
      <c r="AF277" s="24" t="str">
        <f ca="1">IFERROR(__xludf.DUMMYFUNCTION("""COMPUTED_VALUE""")," -3.1%")</f>
        <v xml:space="preserve"> -3.1%</v>
      </c>
      <c r="AG277" s="25" t="str">
        <f ca="1">IFERROR(__xludf.DUMMYFUNCTION("IMPORTXML(AI277, ""//li[strong[text()='Unit Growth %:']]"")"),"Loading...")</f>
        <v>Loading...</v>
      </c>
      <c r="AH277" s="25"/>
      <c r="AI277" s="48" t="s">
        <v>283</v>
      </c>
      <c r="AJ277" s="27"/>
      <c r="AK277" s="27"/>
      <c r="AL277" s="27"/>
      <c r="AM277" s="27"/>
      <c r="AN277" s="27"/>
      <c r="AO277" s="27"/>
      <c r="AP277" s="27"/>
      <c r="AQ277" s="27"/>
    </row>
    <row r="278" spans="1:43" ht="14.25" customHeight="1">
      <c r="A278" s="42">
        <v>24.277000000000001</v>
      </c>
      <c r="B278" s="14">
        <v>2024</v>
      </c>
      <c r="C278" s="32">
        <v>277</v>
      </c>
      <c r="D278" s="16" t="str">
        <f ca="1">IFERROR(__xludf.DUMMYFUNCTION("IMPORTXML(AI278, ""//h1[@itemprop='headline']/span"")"),"277. QC Kinetix")</f>
        <v>277. QC Kinetix</v>
      </c>
      <c r="E278" s="17" t="str">
        <f ca="1">IFERROR(__xludf.DUMMYFUNCTION("REGEXEXTRACT(D278, ""\.\s*(.+)"")"),"QC Kinetix")</f>
        <v>QC Kinetix</v>
      </c>
      <c r="F278" s="18" t="str">
        <f ca="1">IFERROR(__xludf.DUMMYFUNCTION("IMPORTXML(AI278, ""//li[strong[text()='Investment Range:']]"")"),"Investment Range:")</f>
        <v>Investment Range:</v>
      </c>
      <c r="G278" s="43" t="str">
        <f ca="1">IFERROR(__xludf.DUMMYFUNCTION("""COMPUTED_VALUE""")," $250,100 - $600,080")</f>
        <v xml:space="preserve"> $250,100 - $600,080</v>
      </c>
      <c r="H278" s="18" t="str">
        <f ca="1">IFERROR(__xludf.DUMMYFUNCTION("SUBSTITUTE(REGEXEXTRACT(G278, ""\$(\d{1,3}(?:,\d{3})*)""), "","", ""."")
"),"250.100")</f>
        <v>250.100</v>
      </c>
      <c r="I278" s="19" t="str">
        <f ca="1">IFERROR(__xludf.DUMMYFUNCTION("SUBSTITUTE(REGEXEXTRACT(G278, ""-\s*\$(\d{1,3}(?:,\d{3})*)""), "","", ""."")
"),"600.080")</f>
        <v>600.080</v>
      </c>
      <c r="J278" s="19" t="str">
        <f ca="1">IFERROR(__xludf.DUMMYFUNCTION("IMPORTXML(AI278, ""//li[strong[text()='Initial Investment:']]"")"),"Initial Investment:")</f>
        <v>Initial Investment:</v>
      </c>
      <c r="K278" s="24" t="str">
        <f ca="1">IFERROR(__xludf.DUMMYFUNCTION("""COMPUTED_VALUE""")," $55,000")</f>
        <v xml:space="preserve"> $55,000</v>
      </c>
      <c r="L278" s="20" t="str">
        <f ca="1">IFERROR(__xludf.DUMMYFUNCTION("IMPORTXML(AI278, ""//li[strong[text()='Category:']]"")"),"Loading...")</f>
        <v>Loading...</v>
      </c>
      <c r="M278" s="24"/>
      <c r="N278" s="19" t="str">
        <f ca="1">IFERROR(__xludf.DUMMYFUNCTION("IMPORTXML(AI278, ""//li[strong[text()='Global Sales:']]"")"),"Loading...")</f>
        <v>Loading...</v>
      </c>
      <c r="O278" s="24"/>
      <c r="P278" s="19" t="str">
        <f t="shared" si="3"/>
        <v/>
      </c>
      <c r="Q278" s="19" t="str">
        <f ca="1">IFERROR(__xludf.DUMMYFUNCTION("IMPORTXML(AI278, ""//li[strong[text()='US Units:']]"")"),"Loading...")</f>
        <v>Loading...</v>
      </c>
      <c r="R278" s="24"/>
      <c r="S278" s="19" t="str">
        <f ca="1">IFERROR(__xludf.DUMMYFUNCTION("IMPORTXML(AI278, ""//li[strong[text()='International Units:']]"")"),"Loading...")</f>
        <v>Loading...</v>
      </c>
      <c r="T278" s="44"/>
      <c r="U278" s="19" t="str">
        <f ca="1">IFERROR(__xludf.DUMMYFUNCTION("IMPORTXML(AI278, ""//li[strong[text()='Percent Franchised:']]"")"),"Loading...")</f>
        <v>Loading...</v>
      </c>
      <c r="V278" s="24"/>
      <c r="W278" s="19" t="str">
        <f ca="1">IFERROR(__xludf.DUMMYFUNCTION("IMPORTXML(AI278, ""//li[strong[text()='% International Units:']]"")"),"% International Units:")</f>
        <v>% International Units:</v>
      </c>
      <c r="X278" s="45">
        <f ca="1">IFERROR(__xludf.DUMMYFUNCTION("""COMPUTED_VALUE"""),0)</f>
        <v>0</v>
      </c>
      <c r="Y278" s="19" t="str">
        <f ca="1">IFERROR(__xludf.DUMMYFUNCTION("IMPORTXML(AI278, ""//li[strong[text()='US Franchised Units:']]"")"),"Loading...")</f>
        <v>Loading...</v>
      </c>
      <c r="Z278" s="24"/>
      <c r="AA278" s="14" t="str">
        <f t="shared" si="4"/>
        <v/>
      </c>
      <c r="AB278" s="19" t="str">
        <f ca="1">IFERROR(__xludf.DUMMYFUNCTION("IMPORTXML(AI278, ""//li[strong[text()='International Franchised Units:']]"")"),"Loading...")</f>
        <v>Loading...</v>
      </c>
      <c r="AC278" s="24"/>
      <c r="AD278" s="14" t="str">
        <f t="shared" si="5"/>
        <v/>
      </c>
      <c r="AE278" s="25" t="str">
        <f ca="1">IFERROR(__xludf.DUMMYFUNCTION("IMPORTXML(AI278, ""//li[strong[text()='Sales Growth %:']]"")"),"Loading...")</f>
        <v>Loading...</v>
      </c>
      <c r="AF278" s="24"/>
      <c r="AG278" s="25" t="str">
        <f ca="1">IFERROR(__xludf.DUMMYFUNCTION("IMPORTXML(AI278, ""//li[strong[text()='Unit Growth %:']]"")"),"Loading...")</f>
        <v>Loading...</v>
      </c>
      <c r="AH278" s="25"/>
      <c r="AI278" s="48" t="s">
        <v>284</v>
      </c>
      <c r="AJ278" s="27"/>
      <c r="AK278" s="27"/>
      <c r="AL278" s="27"/>
      <c r="AM278" s="27"/>
      <c r="AN278" s="27"/>
      <c r="AO278" s="27"/>
      <c r="AP278" s="27"/>
      <c r="AQ278" s="27"/>
    </row>
    <row r="279" spans="1:43" ht="14.25" customHeight="1">
      <c r="A279" s="42">
        <v>24.277999999999999</v>
      </c>
      <c r="B279" s="14">
        <v>2024</v>
      </c>
      <c r="C279" s="36">
        <v>278</v>
      </c>
      <c r="D279" s="16" t="str">
        <f ca="1">IFERROR(__xludf.DUMMYFUNCTION("IMPORTXML(AI279, ""//h1[@itemprop='headline']/span"")"),"278. Jinya Ramen Bar")</f>
        <v>278. Jinya Ramen Bar</v>
      </c>
      <c r="E279" s="17" t="str">
        <f ca="1">IFERROR(__xludf.DUMMYFUNCTION("REGEXEXTRACT(D279, ""\.\s*(.+)"")"),"Jinya Ramen Bar")</f>
        <v>Jinya Ramen Bar</v>
      </c>
      <c r="F279" s="18" t="str">
        <f ca="1">IFERROR(__xludf.DUMMYFUNCTION("IMPORTXML(AI279, ""//li[strong[text()='Investment Range:']]"")"),"#N/A")</f>
        <v>#N/A</v>
      </c>
      <c r="G279" s="43"/>
      <c r="H279" s="18" t="str">
        <f ca="1">IFERROR(__xludf.DUMMYFUNCTION("SUBSTITUTE(REGEXEXTRACT(G279, ""\$(\d{1,3}(?:,\d{3})*)""), "","", ""."")
"),"#N/A")</f>
        <v>#N/A</v>
      </c>
      <c r="I279" s="19" t="str">
        <f ca="1">IFERROR(__xludf.DUMMYFUNCTION("SUBSTITUTE(REGEXEXTRACT(G279, ""-\s*\$(\d{1,3}(?:,\d{3})*)""), "","", ""."")
"),"#N/A")</f>
        <v>#N/A</v>
      </c>
      <c r="J279" s="19" t="str">
        <f ca="1">IFERROR(__xludf.DUMMYFUNCTION("IMPORTXML(AI279, ""//li[strong[text()='Initial Investment:']]"")"),"Loading...")</f>
        <v>Loading...</v>
      </c>
      <c r="K279" s="24"/>
      <c r="L279" s="20" t="str">
        <f ca="1">IFERROR(__xludf.DUMMYFUNCTION("IMPORTXML(AI279, ""//li[strong[text()='Category:']]"")"),"Loading...")</f>
        <v>Loading...</v>
      </c>
      <c r="M279" s="24"/>
      <c r="N279" s="19" t="str">
        <f ca="1">IFERROR(__xludf.DUMMYFUNCTION("IMPORTXML(AI279, ""//li[strong[text()='Global Sales:']]"")"),"Loading...")</f>
        <v>Loading...</v>
      </c>
      <c r="O279" s="24"/>
      <c r="P279" s="19" t="str">
        <f t="shared" si="3"/>
        <v/>
      </c>
      <c r="Q279" s="19" t="str">
        <f ca="1">IFERROR(__xludf.DUMMYFUNCTION("IMPORTXML(AI279, ""//li[strong[text()='US Units:']]"")"),"Loading...")</f>
        <v>Loading...</v>
      </c>
      <c r="R279" s="24"/>
      <c r="S279" s="19" t="str">
        <f ca="1">IFERROR(__xludf.DUMMYFUNCTION("IMPORTXML(AI279, ""//li[strong[text()='International Units:']]"")"),"Loading...")</f>
        <v>Loading...</v>
      </c>
      <c r="T279" s="44"/>
      <c r="U279" s="19" t="str">
        <f ca="1">IFERROR(__xludf.DUMMYFUNCTION("IMPORTXML(AI279, ""//li[strong[text()='Percent Franchised:']]"")"),"Loading...")</f>
        <v>Loading...</v>
      </c>
      <c r="V279" s="24"/>
      <c r="W279" s="19" t="str">
        <f ca="1">IFERROR(__xludf.DUMMYFUNCTION("IMPORTXML(AI279, ""//li[strong[text()='% International Units:']]"")"),"Loading...")</f>
        <v>Loading...</v>
      </c>
      <c r="X279" s="24"/>
      <c r="Y279" s="19" t="str">
        <f ca="1">IFERROR(__xludf.DUMMYFUNCTION("IMPORTXML(AI279, ""//li[strong[text()='US Franchised Units:']]"")"),"Loading...")</f>
        <v>Loading...</v>
      </c>
      <c r="Z279" s="24"/>
      <c r="AA279" s="14" t="str">
        <f t="shared" si="4"/>
        <v/>
      </c>
      <c r="AB279" s="19" t="str">
        <f ca="1">IFERROR(__xludf.DUMMYFUNCTION("IMPORTXML(AI279, ""//li[strong[text()='International Franchised Units:']]"")"),"Loading...")</f>
        <v>Loading...</v>
      </c>
      <c r="AC279" s="24"/>
      <c r="AD279" s="14" t="str">
        <f t="shared" si="5"/>
        <v/>
      </c>
      <c r="AE279" s="25" t="str">
        <f ca="1">IFERROR(__xludf.DUMMYFUNCTION("IMPORTXML(AI279, ""//li[strong[text()='Sales Growth %:']]"")"),"Loading...")</f>
        <v>Loading...</v>
      </c>
      <c r="AF279" s="24"/>
      <c r="AG279" s="25" t="str">
        <f ca="1">IFERROR(__xludf.DUMMYFUNCTION("IMPORTXML(AI279, ""//li[strong[text()='Unit Growth %:']]"")"),"Loading...")</f>
        <v>Loading...</v>
      </c>
      <c r="AH279" s="25"/>
      <c r="AI279" s="48" t="s">
        <v>285</v>
      </c>
      <c r="AJ279" s="27"/>
      <c r="AK279" s="27"/>
      <c r="AL279" s="27"/>
      <c r="AM279" s="27"/>
      <c r="AN279" s="27"/>
      <c r="AO279" s="27"/>
      <c r="AP279" s="27"/>
      <c r="AQ279" s="27"/>
    </row>
    <row r="280" spans="1:43" ht="14.25" customHeight="1">
      <c r="A280" s="42">
        <v>24.279</v>
      </c>
      <c r="B280" s="14">
        <v>2024</v>
      </c>
      <c r="C280" s="36">
        <v>279</v>
      </c>
      <c r="D280" s="16" t="str">
        <f ca="1">IFERROR(__xludf.DUMMYFUNCTION("IMPORTXML(AI280, ""//h1[@itemprop='headline']/span"")"),"279. Assisting Hands Home Care")</f>
        <v>279. Assisting Hands Home Care</v>
      </c>
      <c r="E280" s="17" t="str">
        <f ca="1">IFERROR(__xludf.DUMMYFUNCTION("REGEXEXTRACT(D280, ""\.\s*(.+)"")"),"Assisting Hands Home Care")</f>
        <v>Assisting Hands Home Care</v>
      </c>
      <c r="F280" s="18" t="str">
        <f ca="1">IFERROR(__xludf.DUMMYFUNCTION("IMPORTXML(AI280, ""//li[strong[text()='Investment Range:']]"")"),"Investment Range:")</f>
        <v>Investment Range:</v>
      </c>
      <c r="G280" s="43" t="str">
        <f ca="1">IFERROR(__xludf.DUMMYFUNCTION("""COMPUTED_VALUE""")," $94,500 - $176,400")</f>
        <v xml:space="preserve"> $94,500 - $176,400</v>
      </c>
      <c r="H280" s="18" t="str">
        <f ca="1">IFERROR(__xludf.DUMMYFUNCTION("SUBSTITUTE(REGEXEXTRACT(G280, ""\$(\d{1,3}(?:,\d{3})*)""), "","", ""."")
"),"94.500")</f>
        <v>94.500</v>
      </c>
      <c r="I280" s="19" t="str">
        <f ca="1">IFERROR(__xludf.DUMMYFUNCTION("SUBSTITUTE(REGEXEXTRACT(G280, ""-\s*\$(\d{1,3}(?:,\d{3})*)""), "","", ""."")
"),"176.400")</f>
        <v>176.400</v>
      </c>
      <c r="J280" s="19" t="str">
        <f ca="1">IFERROR(__xludf.DUMMYFUNCTION("IMPORTXML(AI280, ""//li[strong[text()='Initial Investment:']]"")"),"Loading...")</f>
        <v>Loading...</v>
      </c>
      <c r="K280" s="24"/>
      <c r="L280" s="20" t="str">
        <f ca="1">IFERROR(__xludf.DUMMYFUNCTION("IMPORTXML(AI280, ""//li[strong[text()='Category:']]"")"),"Loading...")</f>
        <v>Loading...</v>
      </c>
      <c r="M280" s="24"/>
      <c r="N280" s="19" t="str">
        <f ca="1">IFERROR(__xludf.DUMMYFUNCTION("IMPORTXML(AI280, ""//li[strong[text()='Global Sales:']]"")"),"Loading...")</f>
        <v>Loading...</v>
      </c>
      <c r="O280" s="24"/>
      <c r="P280" s="19" t="str">
        <f t="shared" si="3"/>
        <v/>
      </c>
      <c r="Q280" s="19" t="str">
        <f ca="1">IFERROR(__xludf.DUMMYFUNCTION("IMPORTXML(AI280, ""//li[strong[text()='US Units:']]"")"),"Loading...")</f>
        <v>Loading...</v>
      </c>
      <c r="R280" s="24"/>
      <c r="S280" s="19" t="str">
        <f ca="1">IFERROR(__xludf.DUMMYFUNCTION("IMPORTXML(AI280, ""//li[strong[text()='International Units:']]"")"),"Loading...")</f>
        <v>Loading...</v>
      </c>
      <c r="T280" s="44"/>
      <c r="U280" s="19" t="str">
        <f ca="1">IFERROR(__xludf.DUMMYFUNCTION("IMPORTXML(AI280, ""//li[strong[text()='Percent Franchised:']]"")"),"Loading...")</f>
        <v>Loading...</v>
      </c>
      <c r="V280" s="24"/>
      <c r="W280" s="19" t="str">
        <f ca="1">IFERROR(__xludf.DUMMYFUNCTION("IMPORTXML(AI280, ""//li[strong[text()='% International Units:']]"")"),"Loading...")</f>
        <v>Loading...</v>
      </c>
      <c r="X280" s="24"/>
      <c r="Y280" s="19" t="str">
        <f ca="1">IFERROR(__xludf.DUMMYFUNCTION("IMPORTXML(AI280, ""//li[strong[text()='US Franchised Units:']]"")"),"Loading...")</f>
        <v>Loading...</v>
      </c>
      <c r="Z280" s="24"/>
      <c r="AA280" s="14" t="str">
        <f t="shared" si="4"/>
        <v/>
      </c>
      <c r="AB280" s="19" t="str">
        <f ca="1">IFERROR(__xludf.DUMMYFUNCTION("IMPORTXML(AI280, ""//li[strong[text()='International Franchised Units:']]"")"),"Loading...")</f>
        <v>Loading...</v>
      </c>
      <c r="AC280" s="24"/>
      <c r="AD280" s="14" t="str">
        <f t="shared" si="5"/>
        <v/>
      </c>
      <c r="AE280" s="25" t="str">
        <f ca="1">IFERROR(__xludf.DUMMYFUNCTION("IMPORTXML(AI280, ""//li[strong[text()='Sales Growth %:']]"")"),"Loading...")</f>
        <v>Loading...</v>
      </c>
      <c r="AF280" s="24"/>
      <c r="AG280" s="25" t="str">
        <f ca="1">IFERROR(__xludf.DUMMYFUNCTION("IMPORTXML(AI280, ""//li[strong[text()='Unit Growth %:']]"")"),"Loading...")</f>
        <v>Loading...</v>
      </c>
      <c r="AH280" s="25"/>
      <c r="AI280" s="48" t="s">
        <v>286</v>
      </c>
      <c r="AJ280" s="27"/>
      <c r="AK280" s="27"/>
      <c r="AL280" s="27"/>
      <c r="AM280" s="27"/>
      <c r="AN280" s="27"/>
      <c r="AO280" s="27"/>
      <c r="AP280" s="27"/>
      <c r="AQ280" s="27"/>
    </row>
    <row r="281" spans="1:43" ht="14.25" customHeight="1">
      <c r="A281" s="42">
        <v>24.28</v>
      </c>
      <c r="B281" s="14">
        <v>2024</v>
      </c>
      <c r="C281" s="15">
        <v>280</v>
      </c>
      <c r="D281" s="16" t="str">
        <f ca="1">IFERROR(__xludf.DUMMYFUNCTION("IMPORTXML(AI281, ""//h1[@itemprop='headline']/span"")"),"280. Altitude Trampoline Park")</f>
        <v>280. Altitude Trampoline Park</v>
      </c>
      <c r="E281" s="17" t="str">
        <f ca="1">IFERROR(__xludf.DUMMYFUNCTION("REGEXEXTRACT(D281, ""\.\s*(.+)"")"),"Altitude Trampoline Park")</f>
        <v>Altitude Trampoline Park</v>
      </c>
      <c r="F281" s="18" t="str">
        <f ca="1">IFERROR(__xludf.DUMMYFUNCTION("IMPORTXML(AI281, ""//li[strong[text()='Investment Range:']]"")"),"Investment Range:")</f>
        <v>Investment Range:</v>
      </c>
      <c r="G281" s="43" t="str">
        <f ca="1">IFERROR(__xludf.DUMMYFUNCTION("""COMPUTED_VALUE""")," $1,632,899 - $2,767,899")</f>
        <v xml:space="preserve"> $1,632,899 - $2,767,899</v>
      </c>
      <c r="H281" s="18" t="str">
        <f ca="1">IFERROR(__xludf.DUMMYFUNCTION("SUBSTITUTE(REGEXEXTRACT(G281, ""\$(\d{1,3}(?:,\d{3})*)""), "","", ""."")
"),"1.632.899")</f>
        <v>1.632.899</v>
      </c>
      <c r="I281" s="19" t="str">
        <f ca="1">IFERROR(__xludf.DUMMYFUNCTION("SUBSTITUTE(REGEXEXTRACT(G281, ""-\s*\$(\d{1,3}(?:,\d{3})*)""), "","", ""."")
"),"2.767.899")</f>
        <v>2.767.899</v>
      </c>
      <c r="J281" s="19" t="str">
        <f ca="1">IFERROR(__xludf.DUMMYFUNCTION("IMPORTXML(AI281, ""//li[strong[text()='Initial Investment:']]"")"),"Loading...")</f>
        <v>Loading...</v>
      </c>
      <c r="K281" s="24"/>
      <c r="L281" s="20" t="str">
        <f ca="1">IFERROR(__xludf.DUMMYFUNCTION("IMPORTXML(AI281, ""//li[strong[text()='Category:']]"")"),"Loading...")</f>
        <v>Loading...</v>
      </c>
      <c r="M281" s="24"/>
      <c r="N281" s="19" t="str">
        <f ca="1">IFERROR(__xludf.DUMMYFUNCTION("IMPORTXML(AI281, ""//li[strong[text()='Global Sales:']]"")"),"Loading...")</f>
        <v>Loading...</v>
      </c>
      <c r="O281" s="24"/>
      <c r="P281" s="19" t="str">
        <f t="shared" si="3"/>
        <v/>
      </c>
      <c r="Q281" s="19" t="str">
        <f ca="1">IFERROR(__xludf.DUMMYFUNCTION("IMPORTXML(AI281, ""//li[strong[text()='US Units:']]"")"),"Loading...")</f>
        <v>Loading...</v>
      </c>
      <c r="R281" s="24"/>
      <c r="S281" s="19" t="str">
        <f ca="1">IFERROR(__xludf.DUMMYFUNCTION("IMPORTXML(AI281, ""//li[strong[text()='International Units:']]"")"),"Loading...")</f>
        <v>Loading...</v>
      </c>
      <c r="T281" s="44"/>
      <c r="U281" s="19" t="str">
        <f ca="1">IFERROR(__xludf.DUMMYFUNCTION("IMPORTXML(AI281, ""//li[strong[text()='Percent Franchised:']]"")"),"Loading...")</f>
        <v>Loading...</v>
      </c>
      <c r="V281" s="24"/>
      <c r="W281" s="19" t="str">
        <f ca="1">IFERROR(__xludf.DUMMYFUNCTION("IMPORTXML(AI281, ""//li[strong[text()='% International Units:']]"")"),"Loading...")</f>
        <v>Loading...</v>
      </c>
      <c r="X281" s="24"/>
      <c r="Y281" s="19" t="str">
        <f ca="1">IFERROR(__xludf.DUMMYFUNCTION("IMPORTXML(AI281, ""//li[strong[text()='US Franchised Units:']]"")"),"Loading...")</f>
        <v>Loading...</v>
      </c>
      <c r="Z281" s="24"/>
      <c r="AA281" s="14" t="str">
        <f t="shared" si="4"/>
        <v/>
      </c>
      <c r="AB281" s="19" t="str">
        <f ca="1">IFERROR(__xludf.DUMMYFUNCTION("IMPORTXML(AI281, ""//li[strong[text()='International Franchised Units:']]"")"),"Loading...")</f>
        <v>Loading...</v>
      </c>
      <c r="AC281" s="24"/>
      <c r="AD281" s="14" t="str">
        <f t="shared" si="5"/>
        <v/>
      </c>
      <c r="AE281" s="25" t="str">
        <f ca="1">IFERROR(__xludf.DUMMYFUNCTION("IMPORTXML(AI281, ""//li[strong[text()='Sales Growth %:']]"")"),"Loading...")</f>
        <v>Loading...</v>
      </c>
      <c r="AF281" s="24"/>
      <c r="AG281" s="25" t="str">
        <f ca="1">IFERROR(__xludf.DUMMYFUNCTION("IMPORTXML(AI281, ""//li[strong[text()='Unit Growth %:']]"")"),"Loading...")</f>
        <v>Loading...</v>
      </c>
      <c r="AH281" s="25"/>
      <c r="AI281" s="48" t="s">
        <v>287</v>
      </c>
      <c r="AJ281" s="27"/>
      <c r="AK281" s="27"/>
      <c r="AL281" s="27"/>
      <c r="AM281" s="27"/>
      <c r="AN281" s="27"/>
      <c r="AO281" s="27"/>
      <c r="AP281" s="27"/>
      <c r="AQ281" s="27"/>
    </row>
    <row r="282" spans="1:43" ht="14.25" customHeight="1">
      <c r="A282" s="42">
        <v>24.280999999999999</v>
      </c>
      <c r="B282" s="14">
        <v>2024</v>
      </c>
      <c r="C282" s="32">
        <v>281</v>
      </c>
      <c r="D282" s="16" t="str">
        <f ca="1">IFERROR(__xludf.DUMMYFUNCTION("IMPORTXML(AI282, ""//h1[@itemprop='headline']/span"")"),"281. Fatburger")</f>
        <v>281. Fatburger</v>
      </c>
      <c r="E282" s="17" t="str">
        <f ca="1">IFERROR(__xludf.DUMMYFUNCTION("REGEXEXTRACT(D282, ""\.\s*(.+)"")"),"Fatburger")</f>
        <v>Fatburger</v>
      </c>
      <c r="F282" s="18" t="str">
        <f ca="1">IFERROR(__xludf.DUMMYFUNCTION("IMPORTXML(AI282, ""//li[strong[text()='Investment Range:']]"")"),"Investment Range:")</f>
        <v>Investment Range:</v>
      </c>
      <c r="G282" s="43" t="str">
        <f ca="1">IFERROR(__xludf.DUMMYFUNCTION("""COMPUTED_VALUE""")," $509,300 - $1,996,900")</f>
        <v xml:space="preserve"> $509,300 - $1,996,900</v>
      </c>
      <c r="H282" s="18" t="str">
        <f ca="1">IFERROR(__xludf.DUMMYFUNCTION("SUBSTITUTE(REGEXEXTRACT(G282, ""\$(\d{1,3}(?:,\d{3})*)""), "","", ""."")
"),"509.300")</f>
        <v>509.300</v>
      </c>
      <c r="I282" s="19" t="str">
        <f ca="1">IFERROR(__xludf.DUMMYFUNCTION("SUBSTITUTE(REGEXEXTRACT(G282, ""-\s*\$(\d{1,3}(?:,\d{3})*)""), "","", ""."")
"),"1.996.900")</f>
        <v>1.996.900</v>
      </c>
      <c r="J282" s="19" t="str">
        <f ca="1">IFERROR(__xludf.DUMMYFUNCTION("IMPORTXML(AI282, ""//li[strong[text()='Initial Investment:']]"")"),"Loading...")</f>
        <v>Loading...</v>
      </c>
      <c r="K282" s="24"/>
      <c r="L282" s="20" t="str">
        <f ca="1">IFERROR(__xludf.DUMMYFUNCTION("IMPORTXML(AI282, ""//li[strong[text()='Category:']]"")"),"Loading...")</f>
        <v>Loading...</v>
      </c>
      <c r="M282" s="24"/>
      <c r="N282" s="19" t="str">
        <f ca="1">IFERROR(__xludf.DUMMYFUNCTION("IMPORTXML(AI282, ""//li[strong[text()='Global Sales:']]"")"),"Loading...")</f>
        <v>Loading...</v>
      </c>
      <c r="O282" s="24"/>
      <c r="P282" s="19" t="str">
        <f t="shared" si="3"/>
        <v/>
      </c>
      <c r="Q282" s="19" t="str">
        <f ca="1">IFERROR(__xludf.DUMMYFUNCTION("IMPORTXML(AI282, ""//li[strong[text()='US Units:']]"")"),"Loading...")</f>
        <v>Loading...</v>
      </c>
      <c r="R282" s="24"/>
      <c r="S282" s="19" t="str">
        <f ca="1">IFERROR(__xludf.DUMMYFUNCTION("IMPORTXML(AI282, ""//li[strong[text()='International Units:']]"")"),"Loading...")</f>
        <v>Loading...</v>
      </c>
      <c r="T282" s="44"/>
      <c r="U282" s="19" t="str">
        <f ca="1">IFERROR(__xludf.DUMMYFUNCTION("IMPORTXML(AI282, ""//li[strong[text()='Percent Franchised:']]"")"),"Loading...")</f>
        <v>Loading...</v>
      </c>
      <c r="V282" s="24"/>
      <c r="W282" s="19" t="str">
        <f ca="1">IFERROR(__xludf.DUMMYFUNCTION("IMPORTXML(AI282, ""//li[strong[text()='% International Units:']]"")"),"Loading...")</f>
        <v>Loading...</v>
      </c>
      <c r="X282" s="24"/>
      <c r="Y282" s="19" t="str">
        <f ca="1">IFERROR(__xludf.DUMMYFUNCTION("IMPORTXML(AI282, ""//li[strong[text()='US Franchised Units:']]"")"),"Loading...")</f>
        <v>Loading...</v>
      </c>
      <c r="Z282" s="24"/>
      <c r="AA282" s="14" t="str">
        <f t="shared" si="4"/>
        <v/>
      </c>
      <c r="AB282" s="19" t="str">
        <f ca="1">IFERROR(__xludf.DUMMYFUNCTION("IMPORTXML(AI282, ""//li[strong[text()='International Franchised Units:']]"")"),"Loading...")</f>
        <v>Loading...</v>
      </c>
      <c r="AC282" s="24"/>
      <c r="AD282" s="14" t="str">
        <f t="shared" si="5"/>
        <v/>
      </c>
      <c r="AE282" s="25" t="str">
        <f ca="1">IFERROR(__xludf.DUMMYFUNCTION("IMPORTXML(AI282, ""//li[strong[text()='Sales Growth %:']]"")"),"Loading...")</f>
        <v>Loading...</v>
      </c>
      <c r="AF282" s="24"/>
      <c r="AG282" s="25" t="str">
        <f ca="1">IFERROR(__xludf.DUMMYFUNCTION("IMPORTXML(AI282, ""//li[strong[text()='Unit Growth %:']]"")"),"Loading...")</f>
        <v>Loading...</v>
      </c>
      <c r="AH282" s="25"/>
      <c r="AI282" s="48" t="s">
        <v>288</v>
      </c>
      <c r="AJ282" s="27"/>
      <c r="AK282" s="27"/>
      <c r="AL282" s="27"/>
      <c r="AM282" s="27"/>
      <c r="AN282" s="27"/>
      <c r="AO282" s="27"/>
      <c r="AP282" s="27"/>
      <c r="AQ282" s="27"/>
    </row>
    <row r="283" spans="1:43" ht="14.25" customHeight="1">
      <c r="A283" s="42">
        <v>24.282</v>
      </c>
      <c r="B283" s="14">
        <v>2024</v>
      </c>
      <c r="C283" s="36">
        <v>282</v>
      </c>
      <c r="D283" s="16" t="str">
        <f ca="1">IFERROR(__xludf.DUMMYFUNCTION("IMPORTXML(AI283, ""//h1[@itemprop='headline']/span"")"),"282. Aqua-Tots Swim Schools")</f>
        <v>282. Aqua-Tots Swim Schools</v>
      </c>
      <c r="E283" s="17" t="str">
        <f ca="1">IFERROR(__xludf.DUMMYFUNCTION("REGEXEXTRACT(D283, ""\.\s*(.+)"")"),"Aqua-Tots Swim Schools")</f>
        <v>Aqua-Tots Swim Schools</v>
      </c>
      <c r="F283" s="18" t="str">
        <f ca="1">IFERROR(__xludf.DUMMYFUNCTION("IMPORTXML(AI283, ""//li[strong[text()='Investment Range:']]"")"),"Investment Range:")</f>
        <v>Investment Range:</v>
      </c>
      <c r="G283" s="43" t="str">
        <f ca="1">IFERROR(__xludf.DUMMYFUNCTION("""COMPUTED_VALUE""")," $1,619,095 - $2,639,314")</f>
        <v xml:space="preserve"> $1,619,095 - $2,639,314</v>
      </c>
      <c r="H283" s="18" t="str">
        <f ca="1">IFERROR(__xludf.DUMMYFUNCTION("SUBSTITUTE(REGEXEXTRACT(G283, ""\$(\d{1,3}(?:,\d{3})*)""), "","", ""."")
"),"1.619.095")</f>
        <v>1.619.095</v>
      </c>
      <c r="I283" s="19" t="str">
        <f ca="1">IFERROR(__xludf.DUMMYFUNCTION("SUBSTITUTE(REGEXEXTRACT(G283, ""-\s*\$(\d{1,3}(?:,\d{3})*)""), "","", ""."")
"),"2.639.314")</f>
        <v>2.639.314</v>
      </c>
      <c r="J283" s="19" t="str">
        <f ca="1">IFERROR(__xludf.DUMMYFUNCTION("IMPORTXML(AI283, ""//li[strong[text()='Initial Investment:']]"")"),"Loading...")</f>
        <v>Loading...</v>
      </c>
      <c r="K283" s="24"/>
      <c r="L283" s="20" t="str">
        <f ca="1">IFERROR(__xludf.DUMMYFUNCTION("IMPORTXML(AI283, ""//li[strong[text()='Category:']]"")"),"Loading...")</f>
        <v>Loading...</v>
      </c>
      <c r="M283" s="24"/>
      <c r="N283" s="19" t="str">
        <f ca="1">IFERROR(__xludf.DUMMYFUNCTION("IMPORTXML(AI283, ""//li[strong[text()='Global Sales:']]"")"),"Loading...")</f>
        <v>Loading...</v>
      </c>
      <c r="O283" s="24"/>
      <c r="P283" s="19" t="str">
        <f t="shared" si="3"/>
        <v/>
      </c>
      <c r="Q283" s="19" t="str">
        <f ca="1">IFERROR(__xludf.DUMMYFUNCTION("IMPORTXML(AI283, ""//li[strong[text()='US Units:']]"")"),"Loading...")</f>
        <v>Loading...</v>
      </c>
      <c r="R283" s="24"/>
      <c r="S283" s="19" t="str">
        <f ca="1">IFERROR(__xludf.DUMMYFUNCTION("IMPORTXML(AI283, ""//li[strong[text()='International Units:']]"")"),"Loading...")</f>
        <v>Loading...</v>
      </c>
      <c r="T283" s="44"/>
      <c r="U283" s="19" t="str">
        <f ca="1">IFERROR(__xludf.DUMMYFUNCTION("IMPORTXML(AI283, ""//li[strong[text()='Percent Franchised:']]"")"),"Loading...")</f>
        <v>Loading...</v>
      </c>
      <c r="V283" s="24"/>
      <c r="W283" s="19" t="str">
        <f ca="1">IFERROR(__xludf.DUMMYFUNCTION("IMPORTXML(AI283, ""//li[strong[text()='% International Units:']]"")"),"Loading...")</f>
        <v>Loading...</v>
      </c>
      <c r="X283" s="24"/>
      <c r="Y283" s="19" t="str">
        <f ca="1">IFERROR(__xludf.DUMMYFUNCTION("IMPORTXML(AI283, ""//li[strong[text()='US Franchised Units:']]"")"),"Loading...")</f>
        <v>Loading...</v>
      </c>
      <c r="Z283" s="24"/>
      <c r="AA283" s="14" t="str">
        <f t="shared" si="4"/>
        <v/>
      </c>
      <c r="AB283" s="19" t="str">
        <f ca="1">IFERROR(__xludf.DUMMYFUNCTION("IMPORTXML(AI283, ""//li[strong[text()='International Franchised Units:']]"")"),"Loading...")</f>
        <v>Loading...</v>
      </c>
      <c r="AC283" s="24"/>
      <c r="AD283" s="14" t="str">
        <f t="shared" si="5"/>
        <v/>
      </c>
      <c r="AE283" s="25" t="str">
        <f ca="1">IFERROR(__xludf.DUMMYFUNCTION("IMPORTXML(AI283, ""//li[strong[text()='Sales Growth %:']]"")"),"Loading...")</f>
        <v>Loading...</v>
      </c>
      <c r="AF283" s="24"/>
      <c r="AG283" s="25" t="str">
        <f ca="1">IFERROR(__xludf.DUMMYFUNCTION("IMPORTXML(AI283, ""//li[strong[text()='Unit Growth %:']]"")"),"Loading...")</f>
        <v>Loading...</v>
      </c>
      <c r="AH283" s="25"/>
      <c r="AI283" s="48" t="s">
        <v>289</v>
      </c>
      <c r="AJ283" s="27"/>
      <c r="AK283" s="27"/>
      <c r="AL283" s="27"/>
      <c r="AM283" s="27"/>
      <c r="AN283" s="27"/>
      <c r="AO283" s="27"/>
      <c r="AP283" s="27"/>
      <c r="AQ283" s="27"/>
    </row>
    <row r="284" spans="1:43" ht="14.25" customHeight="1">
      <c r="A284" s="42">
        <v>24.283000000000001</v>
      </c>
      <c r="B284" s="14">
        <v>2024</v>
      </c>
      <c r="C284" s="36">
        <v>283</v>
      </c>
      <c r="D284" s="16" t="str">
        <f ca="1">IFERROR(__xludf.DUMMYFUNCTION("IMPORTXML(AI284, ""//h1[@itemprop='headline']/span"")"),"283. Huntington Learning Center")</f>
        <v>283. Huntington Learning Center</v>
      </c>
      <c r="E284" s="17" t="str">
        <f ca="1">IFERROR(__xludf.DUMMYFUNCTION("REGEXEXTRACT(D284, ""\.\s*(.+)"")"),"Huntington Learning Center")</f>
        <v>Huntington Learning Center</v>
      </c>
      <c r="F284" s="18" t="str">
        <f ca="1">IFERROR(__xludf.DUMMYFUNCTION("IMPORTXML(AI284, ""//li[strong[text()='Investment Range:']]"")"),"Investment Range:")</f>
        <v>Investment Range:</v>
      </c>
      <c r="G284" s="43" t="str">
        <f ca="1">IFERROR(__xludf.DUMMYFUNCTION("""COMPUTED_VALUE""")," $163,521 - $302,211")</f>
        <v xml:space="preserve"> $163,521 - $302,211</v>
      </c>
      <c r="H284" s="18" t="str">
        <f ca="1">IFERROR(__xludf.DUMMYFUNCTION("SUBSTITUTE(REGEXEXTRACT(G284, ""\$(\d{1,3}(?:,\d{3})*)""), "","", ""."")
"),"163.521")</f>
        <v>163.521</v>
      </c>
      <c r="I284" s="19" t="str">
        <f ca="1">IFERROR(__xludf.DUMMYFUNCTION("SUBSTITUTE(REGEXEXTRACT(G284, ""-\s*\$(\d{1,3}(?:,\d{3})*)""), "","", ""."")
"),"302.211")</f>
        <v>302.211</v>
      </c>
      <c r="J284" s="19" t="str">
        <f ca="1">IFERROR(__xludf.DUMMYFUNCTION("IMPORTXML(AI284, ""//li[strong[text()='Initial Investment:']]"")"),"Loading...")</f>
        <v>Loading...</v>
      </c>
      <c r="K284" s="24"/>
      <c r="L284" s="20" t="str">
        <f ca="1">IFERROR(__xludf.DUMMYFUNCTION("IMPORTXML(AI284, ""//li[strong[text()='Category:']]"")"),"Loading...")</f>
        <v>Loading...</v>
      </c>
      <c r="M284" s="24"/>
      <c r="N284" s="19" t="str">
        <f ca="1">IFERROR(__xludf.DUMMYFUNCTION("IMPORTXML(AI284, ""//li[strong[text()='Global Sales:']]"")"),"Loading...")</f>
        <v>Loading...</v>
      </c>
      <c r="O284" s="24"/>
      <c r="P284" s="19" t="str">
        <f t="shared" si="3"/>
        <v/>
      </c>
      <c r="Q284" s="19" t="str">
        <f ca="1">IFERROR(__xludf.DUMMYFUNCTION("IMPORTXML(AI284, ""//li[strong[text()='US Units:']]"")"),"Loading...")</f>
        <v>Loading...</v>
      </c>
      <c r="R284" s="24"/>
      <c r="S284" s="19" t="str">
        <f ca="1">IFERROR(__xludf.DUMMYFUNCTION("IMPORTXML(AI284, ""//li[strong[text()='International Units:']]"")"),"Loading...")</f>
        <v>Loading...</v>
      </c>
      <c r="T284" s="44"/>
      <c r="U284" s="19" t="str">
        <f ca="1">IFERROR(__xludf.DUMMYFUNCTION("IMPORTXML(AI284, ""//li[strong[text()='Percent Franchised:']]"")"),"Loading...")</f>
        <v>Loading...</v>
      </c>
      <c r="V284" s="24"/>
      <c r="W284" s="19" t="str">
        <f ca="1">IFERROR(__xludf.DUMMYFUNCTION("IMPORTXML(AI284, ""//li[strong[text()='% International Units:']]"")"),"Loading...")</f>
        <v>Loading...</v>
      </c>
      <c r="X284" s="24"/>
      <c r="Y284" s="19" t="str">
        <f ca="1">IFERROR(__xludf.DUMMYFUNCTION("IMPORTXML(AI284, ""//li[strong[text()='US Franchised Units:']]"")"),"Loading...")</f>
        <v>Loading...</v>
      </c>
      <c r="Z284" s="24"/>
      <c r="AA284" s="14" t="str">
        <f t="shared" si="4"/>
        <v/>
      </c>
      <c r="AB284" s="19" t="str">
        <f ca="1">IFERROR(__xludf.DUMMYFUNCTION("IMPORTXML(AI284, ""//li[strong[text()='International Franchised Units:']]"")"),"Loading...")</f>
        <v>Loading...</v>
      </c>
      <c r="AC284" s="24"/>
      <c r="AD284" s="14" t="str">
        <f t="shared" si="5"/>
        <v/>
      </c>
      <c r="AE284" s="25" t="str">
        <f ca="1">IFERROR(__xludf.DUMMYFUNCTION("IMPORTXML(AI284, ""//li[strong[text()='Sales Growth %:']]"")"),"Loading...")</f>
        <v>Loading...</v>
      </c>
      <c r="AF284" s="24"/>
      <c r="AG284" s="25" t="str">
        <f ca="1">IFERROR(__xludf.DUMMYFUNCTION("IMPORTXML(AI284, ""//li[strong[text()='Unit Growth %:']]"")"),"Loading...")</f>
        <v>Loading...</v>
      </c>
      <c r="AH284" s="25"/>
      <c r="AI284" s="48" t="s">
        <v>290</v>
      </c>
      <c r="AJ284" s="27"/>
      <c r="AK284" s="27"/>
      <c r="AL284" s="27"/>
      <c r="AM284" s="27"/>
      <c r="AN284" s="27"/>
      <c r="AO284" s="27"/>
      <c r="AP284" s="27"/>
      <c r="AQ284" s="27"/>
    </row>
    <row r="285" spans="1:43" ht="14.25" customHeight="1">
      <c r="A285" s="42">
        <v>24.283999999999999</v>
      </c>
      <c r="B285" s="14">
        <v>2024</v>
      </c>
      <c r="C285" s="15">
        <v>284</v>
      </c>
      <c r="D285" s="16" t="str">
        <f ca="1">IFERROR(__xludf.DUMMYFUNCTION("IMPORTXML(AI285, ""//h1[@itemprop='headline']/span"")"),"284. HobbyTown")</f>
        <v>284. HobbyTown</v>
      </c>
      <c r="E285" s="17" t="str">
        <f ca="1">IFERROR(__xludf.DUMMYFUNCTION("REGEXEXTRACT(D285, ""\.\s*(.+)"")"),"HobbyTown")</f>
        <v>HobbyTown</v>
      </c>
      <c r="F285" s="18" t="str">
        <f ca="1">IFERROR(__xludf.DUMMYFUNCTION("IMPORTXML(AI285, ""//li[strong[text()='Investment Range:']]"")"),"Investment Range:")</f>
        <v>Investment Range:</v>
      </c>
      <c r="G285" s="43" t="str">
        <f ca="1">IFERROR(__xludf.DUMMYFUNCTION("""COMPUTED_VALUE""")," $340,000 - $610,000")</f>
        <v xml:space="preserve"> $340,000 - $610,000</v>
      </c>
      <c r="H285" s="18" t="str">
        <f ca="1">IFERROR(__xludf.DUMMYFUNCTION("SUBSTITUTE(REGEXEXTRACT(G285, ""\$(\d{1,3}(?:,\d{3})*)""), "","", ""."")
"),"340.000")</f>
        <v>340.000</v>
      </c>
      <c r="I285" s="19" t="str">
        <f ca="1">IFERROR(__xludf.DUMMYFUNCTION("SUBSTITUTE(REGEXEXTRACT(G285, ""-\s*\$(\d{1,3}(?:,\d{3})*)""), "","", ""."")
"),"610.000")</f>
        <v>610.000</v>
      </c>
      <c r="J285" s="19" t="str">
        <f ca="1">IFERROR(__xludf.DUMMYFUNCTION("IMPORTXML(AI285, ""//li[strong[text()='Initial Investment:']]"")"),"Loading...")</f>
        <v>Loading...</v>
      </c>
      <c r="K285" s="24"/>
      <c r="L285" s="20" t="str">
        <f ca="1">IFERROR(__xludf.DUMMYFUNCTION("IMPORTXML(AI285, ""//li[strong[text()='Category:']]"")"),"Loading...")</f>
        <v>Loading...</v>
      </c>
      <c r="M285" s="24"/>
      <c r="N285" s="19" t="str">
        <f ca="1">IFERROR(__xludf.DUMMYFUNCTION("IMPORTXML(AI285, ""//li[strong[text()='Global Sales:']]"")"),"Loading...")</f>
        <v>Loading...</v>
      </c>
      <c r="O285" s="24"/>
      <c r="P285" s="19" t="str">
        <f t="shared" si="3"/>
        <v/>
      </c>
      <c r="Q285" s="19" t="str">
        <f ca="1">IFERROR(__xludf.DUMMYFUNCTION("IMPORTXML(AI285, ""//li[strong[text()='US Units:']]"")"),"Loading...")</f>
        <v>Loading...</v>
      </c>
      <c r="R285" s="24"/>
      <c r="S285" s="19" t="str">
        <f ca="1">IFERROR(__xludf.DUMMYFUNCTION("IMPORTXML(AI285, ""//li[strong[text()='International Units:']]"")"),"Loading...")</f>
        <v>Loading...</v>
      </c>
      <c r="T285" s="44"/>
      <c r="U285" s="19" t="str">
        <f ca="1">IFERROR(__xludf.DUMMYFUNCTION("IMPORTXML(AI285, ""//li[strong[text()='Percent Franchised:']]"")"),"Loading...")</f>
        <v>Loading...</v>
      </c>
      <c r="V285" s="24"/>
      <c r="W285" s="19" t="str">
        <f ca="1">IFERROR(__xludf.DUMMYFUNCTION("IMPORTXML(AI285, ""//li[strong[text()='% International Units:']]"")"),"Loading...")</f>
        <v>Loading...</v>
      </c>
      <c r="X285" s="24"/>
      <c r="Y285" s="19" t="str">
        <f ca="1">IFERROR(__xludf.DUMMYFUNCTION("IMPORTXML(AI285, ""//li[strong[text()='US Franchised Units:']]"")"),"Loading...")</f>
        <v>Loading...</v>
      </c>
      <c r="Z285" s="24"/>
      <c r="AA285" s="14" t="str">
        <f t="shared" si="4"/>
        <v/>
      </c>
      <c r="AB285" s="19" t="str">
        <f ca="1">IFERROR(__xludf.DUMMYFUNCTION("IMPORTXML(AI285, ""//li[strong[text()='International Franchised Units:']]"")"),"Loading...")</f>
        <v>Loading...</v>
      </c>
      <c r="AC285" s="24"/>
      <c r="AD285" s="14" t="str">
        <f t="shared" si="5"/>
        <v/>
      </c>
      <c r="AE285" s="25" t="str">
        <f ca="1">IFERROR(__xludf.DUMMYFUNCTION("IMPORTXML(AI285, ""//li[strong[text()='Sales Growth %:']]"")"),"Loading...")</f>
        <v>Loading...</v>
      </c>
      <c r="AF285" s="24"/>
      <c r="AG285" s="25" t="str">
        <f ca="1">IFERROR(__xludf.DUMMYFUNCTION("IMPORTXML(AI285, ""//li[strong[text()='Unit Growth %:']]"")"),"Loading...")</f>
        <v>Loading...</v>
      </c>
      <c r="AH285" s="25"/>
      <c r="AI285" s="48" t="s">
        <v>291</v>
      </c>
      <c r="AJ285" s="27"/>
      <c r="AK285" s="27"/>
      <c r="AL285" s="27"/>
      <c r="AM285" s="27"/>
      <c r="AN285" s="27"/>
      <c r="AO285" s="27"/>
      <c r="AP285" s="27"/>
      <c r="AQ285" s="27"/>
    </row>
    <row r="286" spans="1:43" ht="14.25" customHeight="1">
      <c r="A286" s="42">
        <v>24.285</v>
      </c>
      <c r="B286" s="14">
        <v>2024</v>
      </c>
      <c r="C286" s="32">
        <v>285</v>
      </c>
      <c r="D286" s="16" t="str">
        <f ca="1">IFERROR(__xludf.DUMMYFUNCTION("IMPORTXML(AI286, ""//h1[@itemprop='headline']/span"")"),"285. Mosquito Joe")</f>
        <v>285. Mosquito Joe</v>
      </c>
      <c r="E286" s="17" t="str">
        <f ca="1">IFERROR(__xludf.DUMMYFUNCTION("REGEXEXTRACT(D286, ""\.\s*(.+)"")"),"Mosquito Joe")</f>
        <v>Mosquito Joe</v>
      </c>
      <c r="F286" s="18" t="str">
        <f ca="1">IFERROR(__xludf.DUMMYFUNCTION("IMPORTXML(AI286, ""//li[strong[text()='Investment Range:']]"")"),"Investment Range:")</f>
        <v>Investment Range:</v>
      </c>
      <c r="G286" s="43" t="str">
        <f ca="1">IFERROR(__xludf.DUMMYFUNCTION("""COMPUTED_VALUE""")," $115,630 - $157,500")</f>
        <v xml:space="preserve"> $115,630 - $157,500</v>
      </c>
      <c r="H286" s="18" t="str">
        <f ca="1">IFERROR(__xludf.DUMMYFUNCTION("SUBSTITUTE(REGEXEXTRACT(G286, ""\$(\d{1,3}(?:,\d{3})*)""), "","", ""."")
"),"115.630")</f>
        <v>115.630</v>
      </c>
      <c r="I286" s="19" t="str">
        <f ca="1">IFERROR(__xludf.DUMMYFUNCTION("SUBSTITUTE(REGEXEXTRACT(G286, ""-\s*\$(\d{1,3}(?:,\d{3})*)""), "","", ""."")
"),"157.500")</f>
        <v>157.500</v>
      </c>
      <c r="J286" s="19" t="str">
        <f ca="1">IFERROR(__xludf.DUMMYFUNCTION("IMPORTXML(AI286, ""//li[strong[text()='Initial Investment:']]"")"),"Loading...")</f>
        <v>Loading...</v>
      </c>
      <c r="K286" s="24"/>
      <c r="L286" s="20" t="str">
        <f ca="1">IFERROR(__xludf.DUMMYFUNCTION("IMPORTXML(AI286, ""//li[strong[text()='Category:']]"")"),"Loading...")</f>
        <v>Loading...</v>
      </c>
      <c r="M286" s="24"/>
      <c r="N286" s="19" t="str">
        <f ca="1">IFERROR(__xludf.DUMMYFUNCTION("IMPORTXML(AI286, ""//li[strong[text()='Global Sales:']]"")"),"Loading...")</f>
        <v>Loading...</v>
      </c>
      <c r="O286" s="24"/>
      <c r="P286" s="19" t="str">
        <f t="shared" si="3"/>
        <v/>
      </c>
      <c r="Q286" s="19" t="str">
        <f ca="1">IFERROR(__xludf.DUMMYFUNCTION("IMPORTXML(AI286, ""//li[strong[text()='US Units:']]"")"),"Loading...")</f>
        <v>Loading...</v>
      </c>
      <c r="R286" s="24"/>
      <c r="S286" s="19" t="str">
        <f ca="1">IFERROR(__xludf.DUMMYFUNCTION("IMPORTXML(AI286, ""//li[strong[text()='International Units:']]"")"),"Loading...")</f>
        <v>Loading...</v>
      </c>
      <c r="T286" s="44"/>
      <c r="U286" s="19" t="str">
        <f ca="1">IFERROR(__xludf.DUMMYFUNCTION("IMPORTXML(AI286, ""//li[strong[text()='Percent Franchised:']]"")"),"Percent Franchised:")</f>
        <v>Percent Franchised:</v>
      </c>
      <c r="V286" s="45">
        <f ca="1">IFERROR(__xludf.DUMMYFUNCTION("""COMPUTED_VALUE"""),1)</f>
        <v>1</v>
      </c>
      <c r="W286" s="19" t="str">
        <f ca="1">IFERROR(__xludf.DUMMYFUNCTION("IMPORTXML(AI286, ""//li[strong[text()='% International Units:']]"")"),"Loading...")</f>
        <v>Loading...</v>
      </c>
      <c r="X286" s="24"/>
      <c r="Y286" s="19" t="str">
        <f ca="1">IFERROR(__xludf.DUMMYFUNCTION("IMPORTXML(AI286, ""//li[strong[text()='US Franchised Units:']]"")"),"Loading...")</f>
        <v>Loading...</v>
      </c>
      <c r="Z286" s="24"/>
      <c r="AA286" s="14" t="str">
        <f t="shared" si="4"/>
        <v/>
      </c>
      <c r="AB286" s="19" t="str">
        <f ca="1">IFERROR(__xludf.DUMMYFUNCTION("IMPORTXML(AI286, ""//li[strong[text()='International Franchised Units:']]"")"),"Loading...")</f>
        <v>Loading...</v>
      </c>
      <c r="AC286" s="24"/>
      <c r="AD286" s="14" t="str">
        <f t="shared" si="5"/>
        <v/>
      </c>
      <c r="AE286" s="25" t="str">
        <f ca="1">IFERROR(__xludf.DUMMYFUNCTION("IMPORTXML(AI286, ""//li[strong[text()='Sales Growth %:']]"")"),"Loading...")</f>
        <v>Loading...</v>
      </c>
      <c r="AF286" s="24"/>
      <c r="AG286" s="25" t="str">
        <f ca="1">IFERROR(__xludf.DUMMYFUNCTION("IMPORTXML(AI286, ""//li[strong[text()='Unit Growth %:']]"")"),"Loading...")</f>
        <v>Loading...</v>
      </c>
      <c r="AH286" s="25"/>
      <c r="AI286" s="48" t="s">
        <v>292</v>
      </c>
      <c r="AJ286" s="27"/>
      <c r="AK286" s="27"/>
      <c r="AL286" s="27"/>
      <c r="AM286" s="27"/>
      <c r="AN286" s="27"/>
      <c r="AO286" s="27"/>
      <c r="AP286" s="27"/>
      <c r="AQ286" s="27"/>
    </row>
    <row r="287" spans="1:43" ht="14.25" customHeight="1">
      <c r="A287" s="42">
        <v>24.286000000000001</v>
      </c>
      <c r="B287" s="14">
        <v>2024</v>
      </c>
      <c r="C287" s="36">
        <v>286</v>
      </c>
      <c r="D287" s="16" t="str">
        <f ca="1">IFERROR(__xludf.DUMMYFUNCTION("IMPORTXML(AI287, ""//h1[@itemprop='headline']/span"")"),"286. Ledo Pizza")</f>
        <v>286. Ledo Pizza</v>
      </c>
      <c r="E287" s="17" t="str">
        <f ca="1">IFERROR(__xludf.DUMMYFUNCTION("REGEXEXTRACT(D287, ""\.\s*(.+)"")"),"Ledo Pizza")</f>
        <v>Ledo Pizza</v>
      </c>
      <c r="F287" s="18" t="str">
        <f ca="1">IFERROR(__xludf.DUMMYFUNCTION("IMPORTXML(AI287, ""//li[strong[text()='Investment Range:']]"")"),"Investment Range:")</f>
        <v>Investment Range:</v>
      </c>
      <c r="G287" s="43" t="str">
        <f ca="1">IFERROR(__xludf.DUMMYFUNCTION("""COMPUTED_VALUE""")," $206,250 - $672,500")</f>
        <v xml:space="preserve"> $206,250 - $672,500</v>
      </c>
      <c r="H287" s="18" t="str">
        <f ca="1">IFERROR(__xludf.DUMMYFUNCTION("SUBSTITUTE(REGEXEXTRACT(G287, ""\$(\d{1,3}(?:,\d{3})*)""), "","", ""."")
"),"206.250")</f>
        <v>206.250</v>
      </c>
      <c r="I287" s="19" t="str">
        <f ca="1">IFERROR(__xludf.DUMMYFUNCTION("SUBSTITUTE(REGEXEXTRACT(G287, ""-\s*\$(\d{1,3}(?:,\d{3})*)""), "","", ""."")
"),"672.500")</f>
        <v>672.500</v>
      </c>
      <c r="J287" s="19" t="str">
        <f ca="1">IFERROR(__xludf.DUMMYFUNCTION("IMPORTXML(AI287, ""//li[strong[text()='Initial Investment:']]"")"),"Loading...")</f>
        <v>Loading...</v>
      </c>
      <c r="K287" s="24"/>
      <c r="L287" s="20" t="str">
        <f ca="1">IFERROR(__xludf.DUMMYFUNCTION("IMPORTXML(AI287, ""//li[strong[text()='Category:']]"")"),"Loading...")</f>
        <v>Loading...</v>
      </c>
      <c r="M287" s="24"/>
      <c r="N287" s="19" t="str">
        <f ca="1">IFERROR(__xludf.DUMMYFUNCTION("IMPORTXML(AI287, ""//li[strong[text()='Global Sales:']]"")"),"Loading...")</f>
        <v>Loading...</v>
      </c>
      <c r="O287" s="24"/>
      <c r="P287" s="19" t="str">
        <f t="shared" si="3"/>
        <v/>
      </c>
      <c r="Q287" s="19" t="str">
        <f ca="1">IFERROR(__xludf.DUMMYFUNCTION("IMPORTXML(AI287, ""//li[strong[text()='US Units:']]"")"),"Loading...")</f>
        <v>Loading...</v>
      </c>
      <c r="R287" s="24"/>
      <c r="S287" s="19" t="str">
        <f ca="1">IFERROR(__xludf.DUMMYFUNCTION("IMPORTXML(AI287, ""//li[strong[text()='International Units:']]"")"),"Loading...")</f>
        <v>Loading...</v>
      </c>
      <c r="T287" s="44"/>
      <c r="U287" s="19" t="str">
        <f ca="1">IFERROR(__xludf.DUMMYFUNCTION("IMPORTXML(AI287, ""//li[strong[text()='Percent Franchised:']]"")"),"Loading...")</f>
        <v>Loading...</v>
      </c>
      <c r="V287" s="24"/>
      <c r="W287" s="19" t="str">
        <f ca="1">IFERROR(__xludf.DUMMYFUNCTION("IMPORTXML(AI287, ""//li[strong[text()='% International Units:']]"")"),"Loading...")</f>
        <v>Loading...</v>
      </c>
      <c r="X287" s="24"/>
      <c r="Y287" s="19" t="str">
        <f ca="1">IFERROR(__xludf.DUMMYFUNCTION("IMPORTXML(AI287, ""//li[strong[text()='US Franchised Units:']]"")"),"Loading...")</f>
        <v>Loading...</v>
      </c>
      <c r="Z287" s="24"/>
      <c r="AA287" s="14" t="str">
        <f t="shared" si="4"/>
        <v/>
      </c>
      <c r="AB287" s="19" t="str">
        <f ca="1">IFERROR(__xludf.DUMMYFUNCTION("IMPORTXML(AI287, ""//li[strong[text()='International Franchised Units:']]"")"),"Loading...")</f>
        <v>Loading...</v>
      </c>
      <c r="AC287" s="24"/>
      <c r="AD287" s="14" t="str">
        <f t="shared" si="5"/>
        <v/>
      </c>
      <c r="AE287" s="25" t="str">
        <f ca="1">IFERROR(__xludf.DUMMYFUNCTION("IMPORTXML(AI287, ""//li[strong[text()='Sales Growth %:']]"")"),"Loading...")</f>
        <v>Loading...</v>
      </c>
      <c r="AF287" s="24"/>
      <c r="AG287" s="25" t="str">
        <f ca="1">IFERROR(__xludf.DUMMYFUNCTION("IMPORTXML(AI287, ""//li[strong[text()='Unit Growth %:']]"")"),"Unit Growth %:")</f>
        <v>Unit Growth %:</v>
      </c>
      <c r="AH287" s="25" t="str">
        <f ca="1">IFERROR(__xludf.DUMMYFUNCTION("""COMPUTED_VALUE""")," 5.4%")</f>
        <v xml:space="preserve"> 5.4%</v>
      </c>
      <c r="AI287" s="48" t="s">
        <v>293</v>
      </c>
      <c r="AJ287" s="27"/>
      <c r="AK287" s="27"/>
      <c r="AL287" s="27"/>
      <c r="AM287" s="27"/>
      <c r="AN287" s="27"/>
      <c r="AO287" s="27"/>
      <c r="AP287" s="27"/>
      <c r="AQ287" s="27"/>
    </row>
    <row r="288" spans="1:43" ht="14.25" customHeight="1">
      <c r="A288" s="42">
        <v>24.286999999999999</v>
      </c>
      <c r="B288" s="14">
        <v>2024</v>
      </c>
      <c r="C288" s="36">
        <v>287</v>
      </c>
      <c r="D288" s="16" t="str">
        <f ca="1">IFERROR(__xludf.DUMMYFUNCTION("IMPORTXML(AI288, ""//h1[@itemprop='headline']/span"")"),"287. Ford's Garage")</f>
        <v>287. Ford's Garage</v>
      </c>
      <c r="E288" s="17" t="str">
        <f ca="1">IFERROR(__xludf.DUMMYFUNCTION("REGEXEXTRACT(D288, ""\.\s*(.+)"")"),"Ford's Garage")</f>
        <v>Ford's Garage</v>
      </c>
      <c r="F288" s="18" t="str">
        <f ca="1">IFERROR(__xludf.DUMMYFUNCTION("IMPORTXML(AI288, ""//li[strong[text()='Investment Range:']]"")"),"#N/A")</f>
        <v>#N/A</v>
      </c>
      <c r="G288" s="43"/>
      <c r="H288" s="18" t="str">
        <f ca="1">IFERROR(__xludf.DUMMYFUNCTION("SUBSTITUTE(REGEXEXTRACT(G288, ""\$(\d{1,3}(?:,\d{3})*)""), "","", ""."")
"),"#N/A")</f>
        <v>#N/A</v>
      </c>
      <c r="I288" s="19" t="str">
        <f ca="1">IFERROR(__xludf.DUMMYFUNCTION("SUBSTITUTE(REGEXEXTRACT(G288, ""-\s*\$(\d{1,3}(?:,\d{3})*)""), "","", ""."")
"),"#N/A")</f>
        <v>#N/A</v>
      </c>
      <c r="J288" s="19" t="str">
        <f ca="1">IFERROR(__xludf.DUMMYFUNCTION("IMPORTXML(AI288, ""//li[strong[text()='Initial Investment:']]"")"),"Loading...")</f>
        <v>Loading...</v>
      </c>
      <c r="K288" s="24"/>
      <c r="L288" s="20" t="str">
        <f ca="1">IFERROR(__xludf.DUMMYFUNCTION("IMPORTXML(AI288, ""//li[strong[text()='Category:']]"")"),"Loading...")</f>
        <v>Loading...</v>
      </c>
      <c r="M288" s="24"/>
      <c r="N288" s="19" t="str">
        <f ca="1">IFERROR(__xludf.DUMMYFUNCTION("IMPORTXML(AI288, ""//li[strong[text()='Global Sales:']]"")"),"Loading...")</f>
        <v>Loading...</v>
      </c>
      <c r="O288" s="24"/>
      <c r="P288" s="19" t="str">
        <f t="shared" si="3"/>
        <v/>
      </c>
      <c r="Q288" s="19" t="str">
        <f ca="1">IFERROR(__xludf.DUMMYFUNCTION("IMPORTXML(AI288, ""//li[strong[text()='US Units:']]"")"),"Loading...")</f>
        <v>Loading...</v>
      </c>
      <c r="R288" s="24"/>
      <c r="S288" s="19" t="str">
        <f ca="1">IFERROR(__xludf.DUMMYFUNCTION("IMPORTXML(AI288, ""//li[strong[text()='International Units:']]"")"),"Loading...")</f>
        <v>Loading...</v>
      </c>
      <c r="T288" s="44"/>
      <c r="U288" s="19" t="str">
        <f ca="1">IFERROR(__xludf.DUMMYFUNCTION("IMPORTXML(AI288, ""//li[strong[text()='Percent Franchised:']]"")"),"Loading...")</f>
        <v>Loading...</v>
      </c>
      <c r="V288" s="24"/>
      <c r="W288" s="19" t="str">
        <f ca="1">IFERROR(__xludf.DUMMYFUNCTION("IMPORTXML(AI288, ""//li[strong[text()='% International Units:']]"")"),"Loading...")</f>
        <v>Loading...</v>
      </c>
      <c r="X288" s="24"/>
      <c r="Y288" s="19" t="str">
        <f ca="1">IFERROR(__xludf.DUMMYFUNCTION("IMPORTXML(AI288, ""//li[strong[text()='US Franchised Units:']]"")"),"Loading...")</f>
        <v>Loading...</v>
      </c>
      <c r="Z288" s="24"/>
      <c r="AA288" s="14" t="str">
        <f t="shared" si="4"/>
        <v/>
      </c>
      <c r="AB288" s="19" t="str">
        <f ca="1">IFERROR(__xludf.DUMMYFUNCTION("IMPORTXML(AI288, ""//li[strong[text()='International Franchised Units:']]"")"),"Loading...")</f>
        <v>Loading...</v>
      </c>
      <c r="AC288" s="24"/>
      <c r="AD288" s="14" t="str">
        <f t="shared" si="5"/>
        <v/>
      </c>
      <c r="AE288" s="25" t="str">
        <f ca="1">IFERROR(__xludf.DUMMYFUNCTION("IMPORTXML(AI288, ""//li[strong[text()='Sales Growth %:']]"")"),"Loading...")</f>
        <v>Loading...</v>
      </c>
      <c r="AF288" s="24"/>
      <c r="AG288" s="25" t="str">
        <f ca="1">IFERROR(__xludf.DUMMYFUNCTION("IMPORTXML(AI288, ""//li[strong[text()='Unit Growth %:']]"")"),"Loading...")</f>
        <v>Loading...</v>
      </c>
      <c r="AH288" s="25"/>
      <c r="AI288" s="48" t="s">
        <v>294</v>
      </c>
      <c r="AJ288" s="27"/>
      <c r="AK288" s="27"/>
      <c r="AL288" s="27"/>
      <c r="AM288" s="27"/>
      <c r="AN288" s="27"/>
      <c r="AO288" s="27"/>
      <c r="AP288" s="27"/>
      <c r="AQ288" s="27"/>
    </row>
    <row r="289" spans="1:43" ht="14.25" customHeight="1">
      <c r="A289" s="42">
        <v>24.288</v>
      </c>
      <c r="B289" s="14">
        <v>2024</v>
      </c>
      <c r="C289" s="15">
        <v>288</v>
      </c>
      <c r="D289" s="16" t="str">
        <f ca="1">IFERROR(__xludf.DUMMYFUNCTION("IMPORTXML(AI289, ""//h1[@itemprop='headline']/span"")"),"288. PostNet")</f>
        <v>288. PostNet</v>
      </c>
      <c r="E289" s="17" t="str">
        <f ca="1">IFERROR(__xludf.DUMMYFUNCTION("REGEXEXTRACT(D289, ""\.\s*(.+)"")"),"PostNet")</f>
        <v>PostNet</v>
      </c>
      <c r="F289" s="18" t="str">
        <f ca="1">IFERROR(__xludf.DUMMYFUNCTION("IMPORTXML(AI289, ""//li[strong[text()='Investment Range:']]"")"),"Investment Range:")</f>
        <v>Investment Range:</v>
      </c>
      <c r="G289" s="43" t="str">
        <f ca="1">IFERROR(__xludf.DUMMYFUNCTION("""COMPUTED_VALUE""")," $223,207 - $289,807")</f>
        <v xml:space="preserve"> $223,207 - $289,807</v>
      </c>
      <c r="H289" s="18" t="str">
        <f ca="1">IFERROR(__xludf.DUMMYFUNCTION("SUBSTITUTE(REGEXEXTRACT(G289, ""\$(\d{1,3}(?:,\d{3})*)""), "","", ""."")
"),"223.207")</f>
        <v>223.207</v>
      </c>
      <c r="I289" s="19" t="str">
        <f ca="1">IFERROR(__xludf.DUMMYFUNCTION("SUBSTITUTE(REGEXEXTRACT(G289, ""-\s*\$(\d{1,3}(?:,\d{3})*)""), "","", ""."")
"),"289.807")</f>
        <v>289.807</v>
      </c>
      <c r="J289" s="19" t="str">
        <f ca="1">IFERROR(__xludf.DUMMYFUNCTION("IMPORTXML(AI289, ""//li[strong[text()='Initial Investment:']]"")"),"Loading...")</f>
        <v>Loading...</v>
      </c>
      <c r="K289" s="24"/>
      <c r="L289" s="20" t="str">
        <f ca="1">IFERROR(__xludf.DUMMYFUNCTION("IMPORTXML(AI289, ""//li[strong[text()='Category:']]"")"),"Loading...")</f>
        <v>Loading...</v>
      </c>
      <c r="M289" s="24"/>
      <c r="N289" s="19" t="str">
        <f ca="1">IFERROR(__xludf.DUMMYFUNCTION("IMPORTXML(AI289, ""//li[strong[text()='Global Sales:']]"")"),"Loading...")</f>
        <v>Loading...</v>
      </c>
      <c r="O289" s="24"/>
      <c r="P289" s="19" t="str">
        <f t="shared" si="3"/>
        <v/>
      </c>
      <c r="Q289" s="19" t="str">
        <f ca="1">IFERROR(__xludf.DUMMYFUNCTION("IMPORTXML(AI289, ""//li[strong[text()='US Units:']]"")"),"Loading...")</f>
        <v>Loading...</v>
      </c>
      <c r="R289" s="24"/>
      <c r="S289" s="19" t="str">
        <f ca="1">IFERROR(__xludf.DUMMYFUNCTION("IMPORTXML(AI289, ""//li[strong[text()='International Units:']]"")"),"International Units:")</f>
        <v>International Units:</v>
      </c>
      <c r="T289" s="44">
        <f ca="1">IFERROR(__xludf.DUMMYFUNCTION("""COMPUTED_VALUE"""),552)</f>
        <v>552</v>
      </c>
      <c r="U289" s="19" t="str">
        <f ca="1">IFERROR(__xludf.DUMMYFUNCTION("IMPORTXML(AI289, ""//li[strong[text()='Percent Franchised:']]"")"),"Loading...")</f>
        <v>Loading...</v>
      </c>
      <c r="V289" s="24"/>
      <c r="W289" s="19" t="str">
        <f ca="1">IFERROR(__xludf.DUMMYFUNCTION("IMPORTXML(AI289, ""//li[strong[text()='% International Units:']]"")"),"Loading...")</f>
        <v>Loading...</v>
      </c>
      <c r="X289" s="24"/>
      <c r="Y289" s="19" t="str">
        <f ca="1">IFERROR(__xludf.DUMMYFUNCTION("IMPORTXML(AI289, ""//li[strong[text()='US Franchised Units:']]"")"),"Loading...")</f>
        <v>Loading...</v>
      </c>
      <c r="Z289" s="24"/>
      <c r="AA289" s="14" t="str">
        <f t="shared" si="4"/>
        <v/>
      </c>
      <c r="AB289" s="19" t="str">
        <f ca="1">IFERROR(__xludf.DUMMYFUNCTION("IMPORTXML(AI289, ""//li[strong[text()='International Franchised Units:']]"")"),"Loading...")</f>
        <v>Loading...</v>
      </c>
      <c r="AC289" s="24"/>
      <c r="AD289" s="14" t="str">
        <f t="shared" si="5"/>
        <v/>
      </c>
      <c r="AE289" s="25" t="str">
        <f ca="1">IFERROR(__xludf.DUMMYFUNCTION("IMPORTXML(AI289, ""//li[strong[text()='Sales Growth %:']]"")"),"Loading...")</f>
        <v>Loading...</v>
      </c>
      <c r="AF289" s="24"/>
      <c r="AG289" s="25" t="str">
        <f ca="1">IFERROR(__xludf.DUMMYFUNCTION("IMPORTXML(AI289, ""//li[strong[text()='Unit Growth %:']]"")"),"Loading...")</f>
        <v>Loading...</v>
      </c>
      <c r="AH289" s="25"/>
      <c r="AI289" s="48" t="s">
        <v>295</v>
      </c>
      <c r="AJ289" s="27"/>
      <c r="AK289" s="27"/>
      <c r="AL289" s="27"/>
      <c r="AM289" s="27"/>
      <c r="AN289" s="27"/>
      <c r="AO289" s="27"/>
      <c r="AP289" s="27"/>
      <c r="AQ289" s="27"/>
    </row>
    <row r="290" spans="1:43" ht="14.25" customHeight="1">
      <c r="A290" s="42">
        <v>24.289000000000001</v>
      </c>
      <c r="B290" s="14">
        <v>2024</v>
      </c>
      <c r="C290" s="32">
        <v>289</v>
      </c>
      <c r="D290" s="16" t="str">
        <f ca="1">IFERROR(__xludf.DUMMYFUNCTION("IMPORTXML(AI290, ""//h1[@itemprop='headline']/span"")"),"289. Nathan’s Famous")</f>
        <v>289. Nathan’s Famous</v>
      </c>
      <c r="E290" s="17" t="str">
        <f ca="1">IFERROR(__xludf.DUMMYFUNCTION("REGEXEXTRACT(D290, ""\.\s*(.+)"")"),"Nathan’s Famous")</f>
        <v>Nathan’s Famous</v>
      </c>
      <c r="F290" s="18" t="str">
        <f ca="1">IFERROR(__xludf.DUMMYFUNCTION("IMPORTXML(AI290, ""//li[strong[text()='Investment Range:']]"")"),"Investment Range:")</f>
        <v>Investment Range:</v>
      </c>
      <c r="G290" s="43" t="str">
        <f ca="1">IFERROR(__xludf.DUMMYFUNCTION("""COMPUTED_VALUE""")," $554,350 - $2,032,610")</f>
        <v xml:space="preserve"> $554,350 - $2,032,610</v>
      </c>
      <c r="H290" s="18" t="str">
        <f ca="1">IFERROR(__xludf.DUMMYFUNCTION("SUBSTITUTE(REGEXEXTRACT(G290, ""\$(\d{1,3}(?:,\d{3})*)""), "","", ""."")
"),"554.350")</f>
        <v>554.350</v>
      </c>
      <c r="I290" s="19" t="str">
        <f ca="1">IFERROR(__xludf.DUMMYFUNCTION("SUBSTITUTE(REGEXEXTRACT(G290, ""-\s*\$(\d{1,3}(?:,\d{3})*)""), "","", ""."")
"),"2.032.610")</f>
        <v>2.032.610</v>
      </c>
      <c r="J290" s="19" t="str">
        <f ca="1">IFERROR(__xludf.DUMMYFUNCTION("IMPORTXML(AI290, ""//li[strong[text()='Initial Investment:']]"")"),"Loading...")</f>
        <v>Loading...</v>
      </c>
      <c r="K290" s="24"/>
      <c r="L290" s="20" t="str">
        <f ca="1">IFERROR(__xludf.DUMMYFUNCTION("IMPORTXML(AI290, ""//li[strong[text()='Category:']]"")"),"Loading...")</f>
        <v>Loading...</v>
      </c>
      <c r="M290" s="24"/>
      <c r="N290" s="19" t="str">
        <f ca="1">IFERROR(__xludf.DUMMYFUNCTION("IMPORTXML(AI290, ""//li[strong[text()='Global Sales:']]"")"),"Loading...")</f>
        <v>Loading...</v>
      </c>
      <c r="O290" s="24"/>
      <c r="P290" s="19" t="str">
        <f t="shared" si="3"/>
        <v/>
      </c>
      <c r="Q290" s="19" t="str">
        <f ca="1">IFERROR(__xludf.DUMMYFUNCTION("IMPORTXML(AI290, ""//li[strong[text()='US Units:']]"")"),"Loading...")</f>
        <v>Loading...</v>
      </c>
      <c r="R290" s="24"/>
      <c r="S290" s="19" t="str">
        <f ca="1">IFERROR(__xludf.DUMMYFUNCTION("IMPORTXML(AI290, ""//li[strong[text()='International Units:']]"")"),"Loading...")</f>
        <v>Loading...</v>
      </c>
      <c r="T290" s="44"/>
      <c r="U290" s="19" t="str">
        <f ca="1">IFERROR(__xludf.DUMMYFUNCTION("IMPORTXML(AI290, ""//li[strong[text()='Percent Franchised:']]"")"),"Loading...")</f>
        <v>Loading...</v>
      </c>
      <c r="V290" s="24"/>
      <c r="W290" s="19" t="str">
        <f ca="1">IFERROR(__xludf.DUMMYFUNCTION("IMPORTXML(AI290, ""//li[strong[text()='% International Units:']]"")"),"Loading...")</f>
        <v>Loading...</v>
      </c>
      <c r="X290" s="24"/>
      <c r="Y290" s="19" t="str">
        <f ca="1">IFERROR(__xludf.DUMMYFUNCTION("IMPORTXML(AI290, ""//li[strong[text()='US Franchised Units:']]"")"),"Loading...")</f>
        <v>Loading...</v>
      </c>
      <c r="Z290" s="24"/>
      <c r="AA290" s="14" t="str">
        <f t="shared" si="4"/>
        <v/>
      </c>
      <c r="AB290" s="19" t="str">
        <f ca="1">IFERROR(__xludf.DUMMYFUNCTION("IMPORTXML(AI290, ""//li[strong[text()='International Franchised Units:']]"")"),"Loading...")</f>
        <v>Loading...</v>
      </c>
      <c r="AC290" s="24"/>
      <c r="AD290" s="14" t="str">
        <f t="shared" si="5"/>
        <v/>
      </c>
      <c r="AE290" s="25" t="str">
        <f ca="1">IFERROR(__xludf.DUMMYFUNCTION("IMPORTXML(AI290, ""//li[strong[text()='Sales Growth %:']]"")"),"Loading...")</f>
        <v>Loading...</v>
      </c>
      <c r="AF290" s="24"/>
      <c r="AG290" s="25" t="str">
        <f ca="1">IFERROR(__xludf.DUMMYFUNCTION("IMPORTXML(AI290, ""//li[strong[text()='Unit Growth %:']]"")"),"Loading...")</f>
        <v>Loading...</v>
      </c>
      <c r="AH290" s="25"/>
      <c r="AI290" s="48" t="s">
        <v>296</v>
      </c>
      <c r="AJ290" s="27"/>
      <c r="AK290" s="27"/>
      <c r="AL290" s="27"/>
      <c r="AM290" s="27"/>
      <c r="AN290" s="27"/>
      <c r="AO290" s="27"/>
      <c r="AP290" s="27"/>
      <c r="AQ290" s="27"/>
    </row>
    <row r="291" spans="1:43" ht="14.25" customHeight="1">
      <c r="A291" s="42">
        <v>24.290000000000099</v>
      </c>
      <c r="B291" s="14">
        <v>2024</v>
      </c>
      <c r="C291" s="36">
        <v>290</v>
      </c>
      <c r="D291" s="16" t="str">
        <f ca="1">IFERROR(__xludf.DUMMYFUNCTION("IMPORTXML(AI291, ""//h1[@itemprop='headline']/span"")"),"290. Dale Carnegie Training")</f>
        <v>290. Dale Carnegie Training</v>
      </c>
      <c r="E291" s="17" t="str">
        <f ca="1">IFERROR(__xludf.DUMMYFUNCTION("REGEXEXTRACT(D291, ""\.\s*(.+)"")"),"Dale Carnegie Training")</f>
        <v>Dale Carnegie Training</v>
      </c>
      <c r="F291" s="18" t="str">
        <f ca="1">IFERROR(__xludf.DUMMYFUNCTION("IMPORTXML(AI291, ""//li[strong[text()='Investment Range:']]"")"),"Investment Range:")</f>
        <v>Investment Range:</v>
      </c>
      <c r="G291" s="43" t="str">
        <f ca="1">IFERROR(__xludf.DUMMYFUNCTION("""COMPUTED_VALUE""")," $78,400 - $245,800")</f>
        <v xml:space="preserve"> $78,400 - $245,800</v>
      </c>
      <c r="H291" s="18" t="str">
        <f ca="1">IFERROR(__xludf.DUMMYFUNCTION("SUBSTITUTE(REGEXEXTRACT(G291, ""\$(\d{1,3}(?:,\d{3})*)""), "","", ""."")
"),"78.400")</f>
        <v>78.400</v>
      </c>
      <c r="I291" s="19" t="str">
        <f ca="1">IFERROR(__xludf.DUMMYFUNCTION("SUBSTITUTE(REGEXEXTRACT(G291, ""-\s*\$(\d{1,3}(?:,\d{3})*)""), "","", ""."")
"),"245.800")</f>
        <v>245.800</v>
      </c>
      <c r="J291" s="19" t="str">
        <f ca="1">IFERROR(__xludf.DUMMYFUNCTION("IMPORTXML(AI291, ""//li[strong[text()='Initial Investment:']]"")"),"Loading...")</f>
        <v>Loading...</v>
      </c>
      <c r="K291" s="24"/>
      <c r="L291" s="20" t="str">
        <f ca="1">IFERROR(__xludf.DUMMYFUNCTION("IMPORTXML(AI291, ""//li[strong[text()='Category:']]"")"),"Loading...")</f>
        <v>Loading...</v>
      </c>
      <c r="M291" s="24"/>
      <c r="N291" s="19" t="str">
        <f ca="1">IFERROR(__xludf.DUMMYFUNCTION("IMPORTXML(AI291, ""//li[strong[text()='Global Sales:']]"")"),"Loading...")</f>
        <v>Loading...</v>
      </c>
      <c r="O291" s="24"/>
      <c r="P291" s="19" t="str">
        <f t="shared" si="3"/>
        <v/>
      </c>
      <c r="Q291" s="19" t="str">
        <f ca="1">IFERROR(__xludf.DUMMYFUNCTION("IMPORTXML(AI291, ""//li[strong[text()='US Units:']]"")"),"Loading...")</f>
        <v>Loading...</v>
      </c>
      <c r="R291" s="24"/>
      <c r="S291" s="19" t="str">
        <f ca="1">IFERROR(__xludf.DUMMYFUNCTION("IMPORTXML(AI291, ""//li[strong[text()='International Units:']]"")"),"Loading...")</f>
        <v>Loading...</v>
      </c>
      <c r="T291" s="44"/>
      <c r="U291" s="19" t="str">
        <f ca="1">IFERROR(__xludf.DUMMYFUNCTION("IMPORTXML(AI291, ""//li[strong[text()='Percent Franchised:']]"")"),"Loading...")</f>
        <v>Loading...</v>
      </c>
      <c r="V291" s="24"/>
      <c r="W291" s="19" t="str">
        <f ca="1">IFERROR(__xludf.DUMMYFUNCTION("IMPORTXML(AI291, ""//li[strong[text()='% International Units:']]"")"),"% International Units:")</f>
        <v>% International Units:</v>
      </c>
      <c r="X291" s="45">
        <f ca="1">IFERROR(__xludf.DUMMYFUNCTION("""COMPUTED_VALUE"""),0.56)</f>
        <v>0.56000000000000005</v>
      </c>
      <c r="Y291" s="19" t="str">
        <f ca="1">IFERROR(__xludf.DUMMYFUNCTION("IMPORTXML(AI291, ""//li[strong[text()='US Franchised Units:']]"")"),"Loading...")</f>
        <v>Loading...</v>
      </c>
      <c r="Z291" s="24"/>
      <c r="AA291" s="14" t="str">
        <f t="shared" si="4"/>
        <v/>
      </c>
      <c r="AB291" s="19" t="str">
        <f ca="1">IFERROR(__xludf.DUMMYFUNCTION("IMPORTXML(AI291, ""//li[strong[text()='International Franchised Units:']]"")"),"Loading...")</f>
        <v>Loading...</v>
      </c>
      <c r="AC291" s="24"/>
      <c r="AD291" s="14" t="str">
        <f t="shared" si="5"/>
        <v/>
      </c>
      <c r="AE291" s="25" t="str">
        <f ca="1">IFERROR(__xludf.DUMMYFUNCTION("IMPORTXML(AI291, ""//li[strong[text()='Sales Growth %:']]"")"),"Loading...")</f>
        <v>Loading...</v>
      </c>
      <c r="AF291" s="24"/>
      <c r="AG291" s="25" t="str">
        <f ca="1">IFERROR(__xludf.DUMMYFUNCTION("IMPORTXML(AI291, ""//li[strong[text()='Unit Growth %:']]"")"),"Loading...")</f>
        <v>Loading...</v>
      </c>
      <c r="AH291" s="25"/>
      <c r="AI291" s="48" t="s">
        <v>297</v>
      </c>
      <c r="AJ291" s="27"/>
      <c r="AK291" s="27"/>
      <c r="AL291" s="27"/>
      <c r="AM291" s="27"/>
      <c r="AN291" s="27"/>
      <c r="AO291" s="27"/>
      <c r="AP291" s="27"/>
      <c r="AQ291" s="27"/>
    </row>
    <row r="292" spans="1:43" ht="14.25" customHeight="1">
      <c r="A292" s="42">
        <v>24.291</v>
      </c>
      <c r="B292" s="14">
        <v>2024</v>
      </c>
      <c r="C292" s="36">
        <v>291</v>
      </c>
      <c r="D292" s="16" t="str">
        <f ca="1">IFERROR(__xludf.DUMMYFUNCTION("IMPORTXML(AI292, ""//h1[@itemprop='headline']/span"")"),"291. Anago Cleaning Systems")</f>
        <v>291. Anago Cleaning Systems</v>
      </c>
      <c r="E292" s="17" t="str">
        <f ca="1">IFERROR(__xludf.DUMMYFUNCTION("REGEXEXTRACT(D292, ""\.\s*(.+)"")"),"Anago Cleaning Systems")</f>
        <v>Anago Cleaning Systems</v>
      </c>
      <c r="F292" s="18" t="str">
        <f ca="1">IFERROR(__xludf.DUMMYFUNCTION("IMPORTXML(AI292, ""//li[strong[text()='Investment Range:']]"")"),"Investment Range:")</f>
        <v>Investment Range:</v>
      </c>
      <c r="G292" s="43" t="str">
        <f ca="1">IFERROR(__xludf.DUMMYFUNCTION("""COMPUTED_VALUE""")," $11,265 - $68,250")</f>
        <v xml:space="preserve"> $11,265 - $68,250</v>
      </c>
      <c r="H292" s="18" t="str">
        <f ca="1">IFERROR(__xludf.DUMMYFUNCTION("SUBSTITUTE(REGEXEXTRACT(G292, ""\$(\d{1,3}(?:,\d{3})*)""), "","", ""."")
"),"11.265")</f>
        <v>11.265</v>
      </c>
      <c r="I292" s="19" t="str">
        <f ca="1">IFERROR(__xludf.DUMMYFUNCTION("SUBSTITUTE(REGEXEXTRACT(G292, ""-\s*\$(\d{1,3}(?:,\d{3})*)""), "","", ""."")
"),"68.250")</f>
        <v>68.250</v>
      </c>
      <c r="J292" s="19" t="str">
        <f ca="1">IFERROR(__xludf.DUMMYFUNCTION("IMPORTXML(AI292, ""//li[strong[text()='Initial Investment:']]"")"),"Loading...")</f>
        <v>Loading...</v>
      </c>
      <c r="K292" s="24"/>
      <c r="L292" s="20" t="str">
        <f ca="1">IFERROR(__xludf.DUMMYFUNCTION("IMPORTXML(AI292, ""//li[strong[text()='Category:']]"")"),"Loading...")</f>
        <v>Loading...</v>
      </c>
      <c r="M292" s="24"/>
      <c r="N292" s="19" t="str">
        <f ca="1">IFERROR(__xludf.DUMMYFUNCTION("IMPORTXML(AI292, ""//li[strong[text()='Global Sales:']]"")"),"Loading...")</f>
        <v>Loading...</v>
      </c>
      <c r="O292" s="24"/>
      <c r="P292" s="19" t="str">
        <f t="shared" si="3"/>
        <v/>
      </c>
      <c r="Q292" s="19" t="str">
        <f ca="1">IFERROR(__xludf.DUMMYFUNCTION("IMPORTXML(AI292, ""//li[strong[text()='US Units:']]"")"),"Loading...")</f>
        <v>Loading...</v>
      </c>
      <c r="R292" s="24"/>
      <c r="S292" s="19" t="str">
        <f ca="1">IFERROR(__xludf.DUMMYFUNCTION("IMPORTXML(AI292, ""//li[strong[text()='International Units:']]"")"),"Loading...")</f>
        <v>Loading...</v>
      </c>
      <c r="T292" s="44"/>
      <c r="U292" s="19" t="str">
        <f ca="1">IFERROR(__xludf.DUMMYFUNCTION("IMPORTXML(AI292, ""//li[strong[text()='Percent Franchised:']]"")"),"Loading...")</f>
        <v>Loading...</v>
      </c>
      <c r="V292" s="24"/>
      <c r="W292" s="19" t="str">
        <f ca="1">IFERROR(__xludf.DUMMYFUNCTION("IMPORTXML(AI292, ""//li[strong[text()='% International Units:']]"")"),"Loading...")</f>
        <v>Loading...</v>
      </c>
      <c r="X292" s="24"/>
      <c r="Y292" s="19" t="str">
        <f ca="1">IFERROR(__xludf.DUMMYFUNCTION("IMPORTXML(AI292, ""//li[strong[text()='US Franchised Units:']]"")"),"Loading...")</f>
        <v>Loading...</v>
      </c>
      <c r="Z292" s="24"/>
      <c r="AA292" s="14" t="str">
        <f t="shared" si="4"/>
        <v/>
      </c>
      <c r="AB292" s="19" t="str">
        <f ca="1">IFERROR(__xludf.DUMMYFUNCTION("IMPORTXML(AI292, ""//li[strong[text()='International Franchised Units:']]"")"),"Loading...")</f>
        <v>Loading...</v>
      </c>
      <c r="AC292" s="24"/>
      <c r="AD292" s="14" t="str">
        <f t="shared" si="5"/>
        <v/>
      </c>
      <c r="AE292" s="25" t="str">
        <f ca="1">IFERROR(__xludf.DUMMYFUNCTION("IMPORTXML(AI292, ""//li[strong[text()='Sales Growth %:']]"")"),"Loading...")</f>
        <v>Loading...</v>
      </c>
      <c r="AF292" s="24"/>
      <c r="AG292" s="25" t="str">
        <f ca="1">IFERROR(__xludf.DUMMYFUNCTION("IMPORTXML(AI292, ""//li[strong[text()='Unit Growth %:']]"")"),"Loading...")</f>
        <v>Loading...</v>
      </c>
      <c r="AH292" s="25"/>
      <c r="AI292" s="48" t="s">
        <v>298</v>
      </c>
      <c r="AJ292" s="27"/>
      <c r="AK292" s="27"/>
      <c r="AL292" s="27"/>
      <c r="AM292" s="27"/>
      <c r="AN292" s="27"/>
      <c r="AO292" s="27"/>
      <c r="AP292" s="27"/>
      <c r="AQ292" s="27"/>
    </row>
    <row r="293" spans="1:43" ht="14.25" customHeight="1">
      <c r="A293" s="42">
        <v>24.292000000000002</v>
      </c>
      <c r="B293" s="14">
        <v>2024</v>
      </c>
      <c r="C293" s="15">
        <v>292</v>
      </c>
      <c r="D293" s="16" t="str">
        <f ca="1">IFERROR(__xludf.DUMMYFUNCTION("IMPORTXML(AI293, ""//h1[@itemprop='headline']/span"")"),"292. Children's Lighthouse")</f>
        <v>292. Children's Lighthouse</v>
      </c>
      <c r="E293" s="17" t="str">
        <f ca="1">IFERROR(__xludf.DUMMYFUNCTION("REGEXEXTRACT(D293, ""\.\s*(.+)"")"),"Children's Lighthouse")</f>
        <v>Children's Lighthouse</v>
      </c>
      <c r="F293" s="18" t="str">
        <f ca="1">IFERROR(__xludf.DUMMYFUNCTION("IMPORTXML(AI293, ""//li[strong[text()='Investment Range:']]"")"),"Investment Range:")</f>
        <v>Investment Range:</v>
      </c>
      <c r="G293" s="43" t="str">
        <f ca="1">IFERROR(__xludf.DUMMYFUNCTION("""COMPUTED_VALUE""")," $5,798,556 - $8,985,630")</f>
        <v xml:space="preserve"> $5,798,556 - $8,985,630</v>
      </c>
      <c r="H293" s="18" t="str">
        <f ca="1">IFERROR(__xludf.DUMMYFUNCTION("SUBSTITUTE(REGEXEXTRACT(G293, ""\$(\d{1,3}(?:,\d{3})*)""), "","", ""."")
"),"5.798.556")</f>
        <v>5.798.556</v>
      </c>
      <c r="I293" s="19" t="str">
        <f ca="1">IFERROR(__xludf.DUMMYFUNCTION("SUBSTITUTE(REGEXEXTRACT(G293, ""-\s*\$(\d{1,3}(?:,\d{3})*)""), "","", ""."")
"),"8.985.630")</f>
        <v>8.985.630</v>
      </c>
      <c r="J293" s="19" t="str">
        <f ca="1">IFERROR(__xludf.DUMMYFUNCTION("IMPORTXML(AI293, ""//li[strong[text()='Initial Investment:']]"")"),"Loading...")</f>
        <v>Loading...</v>
      </c>
      <c r="K293" s="24"/>
      <c r="L293" s="20" t="str">
        <f ca="1">IFERROR(__xludf.DUMMYFUNCTION("IMPORTXML(AI293, ""//li[strong[text()='Category:']]"")"),"Loading...")</f>
        <v>Loading...</v>
      </c>
      <c r="M293" s="24"/>
      <c r="N293" s="19" t="str">
        <f ca="1">IFERROR(__xludf.DUMMYFUNCTION("IMPORTXML(AI293, ""//li[strong[text()='Global Sales:']]"")"),"Loading...")</f>
        <v>Loading...</v>
      </c>
      <c r="O293" s="24"/>
      <c r="P293" s="19" t="str">
        <f t="shared" si="3"/>
        <v/>
      </c>
      <c r="Q293" s="19" t="str">
        <f ca="1">IFERROR(__xludf.DUMMYFUNCTION("IMPORTXML(AI293, ""//li[strong[text()='US Units:']]"")"),"Loading...")</f>
        <v>Loading...</v>
      </c>
      <c r="R293" s="24"/>
      <c r="S293" s="19" t="str">
        <f ca="1">IFERROR(__xludf.DUMMYFUNCTION("IMPORTXML(AI293, ""//li[strong[text()='International Units:']]"")"),"Loading...")</f>
        <v>Loading...</v>
      </c>
      <c r="T293" s="44"/>
      <c r="U293" s="19" t="str">
        <f ca="1">IFERROR(__xludf.DUMMYFUNCTION("IMPORTXML(AI293, ""//li[strong[text()='Percent Franchised:']]"")"),"Loading...")</f>
        <v>Loading...</v>
      </c>
      <c r="V293" s="24"/>
      <c r="W293" s="19" t="str">
        <f ca="1">IFERROR(__xludf.DUMMYFUNCTION("IMPORTXML(AI293, ""//li[strong[text()='% International Units:']]"")"),"Loading...")</f>
        <v>Loading...</v>
      </c>
      <c r="X293" s="24"/>
      <c r="Y293" s="19" t="str">
        <f ca="1">IFERROR(__xludf.DUMMYFUNCTION("IMPORTXML(AI293, ""//li[strong[text()='US Franchised Units:']]"")"),"Loading...")</f>
        <v>Loading...</v>
      </c>
      <c r="Z293" s="24"/>
      <c r="AA293" s="14" t="str">
        <f t="shared" si="4"/>
        <v/>
      </c>
      <c r="AB293" s="19" t="str">
        <f ca="1">IFERROR(__xludf.DUMMYFUNCTION("IMPORTXML(AI293, ""//li[strong[text()='International Franchised Units:']]"")"),"Loading...")</f>
        <v>Loading...</v>
      </c>
      <c r="AC293" s="24"/>
      <c r="AD293" s="14" t="str">
        <f t="shared" si="5"/>
        <v/>
      </c>
      <c r="AE293" s="25" t="str">
        <f ca="1">IFERROR(__xludf.DUMMYFUNCTION("IMPORTXML(AI293, ""//li[strong[text()='Sales Growth %:']]"")"),"Loading...")</f>
        <v>Loading...</v>
      </c>
      <c r="AF293" s="24"/>
      <c r="AG293" s="25" t="str">
        <f ca="1">IFERROR(__xludf.DUMMYFUNCTION("IMPORTXML(AI293, ""//li[strong[text()='Unit Growth %:']]"")"),"Loading...")</f>
        <v>Loading...</v>
      </c>
      <c r="AH293" s="25"/>
      <c r="AI293" s="48" t="s">
        <v>299</v>
      </c>
      <c r="AJ293" s="27"/>
      <c r="AK293" s="27"/>
      <c r="AL293" s="27"/>
      <c r="AM293" s="27"/>
      <c r="AN293" s="27"/>
      <c r="AO293" s="27"/>
      <c r="AP293" s="27"/>
      <c r="AQ293" s="27"/>
    </row>
    <row r="294" spans="1:43" ht="14.25" customHeight="1">
      <c r="A294" s="42">
        <v>24.293000000000099</v>
      </c>
      <c r="B294" s="14">
        <v>2024</v>
      </c>
      <c r="C294" s="32">
        <v>293</v>
      </c>
      <c r="D294" s="16" t="str">
        <f ca="1">IFERROR(__xludf.DUMMYFUNCTION("IMPORTXML(AI294, ""//h1[@itemprop='headline']/span"")"),"293. Teriyaki Madness")</f>
        <v>293. Teriyaki Madness</v>
      </c>
      <c r="E294" s="17" t="str">
        <f ca="1">IFERROR(__xludf.DUMMYFUNCTION("REGEXEXTRACT(D294, ""\.\s*(.+)"")"),"Teriyaki Madness")</f>
        <v>Teriyaki Madness</v>
      </c>
      <c r="F294" s="18" t="str">
        <f ca="1">IFERROR(__xludf.DUMMYFUNCTION("IMPORTXML(AI294, ""//li[strong[text()='Investment Range:']]"")"),"Investment Range:")</f>
        <v>Investment Range:</v>
      </c>
      <c r="G294" s="43" t="str">
        <f ca="1">IFERROR(__xludf.DUMMYFUNCTION("""COMPUTED_VALUE""")," $350,500 - $976,860")</f>
        <v xml:space="preserve"> $350,500 - $976,860</v>
      </c>
      <c r="H294" s="18" t="str">
        <f ca="1">IFERROR(__xludf.DUMMYFUNCTION("SUBSTITUTE(REGEXEXTRACT(G294, ""\$(\d{1,3}(?:,\d{3})*)""), "","", ""."")
"),"350.500")</f>
        <v>350.500</v>
      </c>
      <c r="I294" s="19" t="str">
        <f ca="1">IFERROR(__xludf.DUMMYFUNCTION("SUBSTITUTE(REGEXEXTRACT(G294, ""-\s*\$(\d{1,3}(?:,\d{3})*)""), "","", ""."")
"),"976.860")</f>
        <v>976.860</v>
      </c>
      <c r="J294" s="19" t="str">
        <f ca="1">IFERROR(__xludf.DUMMYFUNCTION("IMPORTXML(AI294, ""//li[strong[text()='Initial Investment:']]"")"),"Loading...")</f>
        <v>Loading...</v>
      </c>
      <c r="K294" s="24"/>
      <c r="L294" s="20" t="str">
        <f ca="1">IFERROR(__xludf.DUMMYFUNCTION("IMPORTXML(AI294, ""//li[strong[text()='Category:']]"")"),"Loading...")</f>
        <v>Loading...</v>
      </c>
      <c r="M294" s="24"/>
      <c r="N294" s="19" t="str">
        <f ca="1">IFERROR(__xludf.DUMMYFUNCTION("IMPORTXML(AI294, ""//li[strong[text()='Global Sales:']]"")"),"Loading...")</f>
        <v>Loading...</v>
      </c>
      <c r="O294" s="24"/>
      <c r="P294" s="19" t="str">
        <f t="shared" si="3"/>
        <v/>
      </c>
      <c r="Q294" s="19" t="str">
        <f ca="1">IFERROR(__xludf.DUMMYFUNCTION("IMPORTXML(AI294, ""//li[strong[text()='US Units:']]"")"),"Loading...")</f>
        <v>Loading...</v>
      </c>
      <c r="R294" s="24"/>
      <c r="S294" s="19" t="str">
        <f ca="1">IFERROR(__xludf.DUMMYFUNCTION("IMPORTXML(AI294, ""//li[strong[text()='International Units:']]"")"),"Loading...")</f>
        <v>Loading...</v>
      </c>
      <c r="T294" s="44"/>
      <c r="U294" s="19" t="str">
        <f ca="1">IFERROR(__xludf.DUMMYFUNCTION("IMPORTXML(AI294, ""//li[strong[text()='Percent Franchised:']]"")"),"Loading...")</f>
        <v>Loading...</v>
      </c>
      <c r="V294" s="24"/>
      <c r="W294" s="19" t="str">
        <f ca="1">IFERROR(__xludf.DUMMYFUNCTION("IMPORTXML(AI294, ""//li[strong[text()='% International Units:']]"")"),"Loading...")</f>
        <v>Loading...</v>
      </c>
      <c r="X294" s="24"/>
      <c r="Y294" s="19" t="str">
        <f ca="1">IFERROR(__xludf.DUMMYFUNCTION("IMPORTXML(AI294, ""//li[strong[text()='US Franchised Units:']]"")"),"Loading...")</f>
        <v>Loading...</v>
      </c>
      <c r="Z294" s="24"/>
      <c r="AA294" s="14" t="str">
        <f t="shared" si="4"/>
        <v/>
      </c>
      <c r="AB294" s="19" t="str">
        <f ca="1">IFERROR(__xludf.DUMMYFUNCTION("IMPORTXML(AI294, ""//li[strong[text()='International Franchised Units:']]"")"),"Loading...")</f>
        <v>Loading...</v>
      </c>
      <c r="AC294" s="24"/>
      <c r="AD294" s="14" t="str">
        <f t="shared" si="5"/>
        <v/>
      </c>
      <c r="AE294" s="25" t="str">
        <f ca="1">IFERROR(__xludf.DUMMYFUNCTION("IMPORTXML(AI294, ""//li[strong[text()='Sales Growth %:']]"")"),"Loading...")</f>
        <v>Loading...</v>
      </c>
      <c r="AF294" s="24"/>
      <c r="AG294" s="25" t="str">
        <f ca="1">IFERROR(__xludf.DUMMYFUNCTION("IMPORTXML(AI294, ""//li[strong[text()='Unit Growth %:']]"")"),"Loading...")</f>
        <v>Loading...</v>
      </c>
      <c r="AH294" s="25"/>
      <c r="AI294" s="48" t="s">
        <v>300</v>
      </c>
      <c r="AJ294" s="27"/>
      <c r="AK294" s="27"/>
      <c r="AL294" s="27"/>
      <c r="AM294" s="27"/>
      <c r="AN294" s="27"/>
      <c r="AO294" s="27"/>
      <c r="AP294" s="27"/>
      <c r="AQ294" s="27"/>
    </row>
    <row r="295" spans="1:43" ht="14.25" customHeight="1">
      <c r="A295" s="42">
        <v>24.294</v>
      </c>
      <c r="B295" s="14">
        <v>2024</v>
      </c>
      <c r="C295" s="36">
        <v>294</v>
      </c>
      <c r="D295" s="16" t="str">
        <f ca="1">IFERROR(__xludf.DUMMYFUNCTION("IMPORTXML(AI295, ""//h1[@itemprop='headline']/span"")"),"294. SpeeDee Oil Change &amp; Tune Up")</f>
        <v>294. SpeeDee Oil Change &amp; Tune Up</v>
      </c>
      <c r="E295" s="17" t="str">
        <f ca="1">IFERROR(__xludf.DUMMYFUNCTION("REGEXEXTRACT(D295, ""\.\s*(.+)"")"),"SpeeDee Oil Change &amp; Tune Up")</f>
        <v>SpeeDee Oil Change &amp; Tune Up</v>
      </c>
      <c r="F295" s="18" t="str">
        <f ca="1">IFERROR(__xludf.DUMMYFUNCTION("IMPORTXML(AI295, ""//li[strong[text()='Investment Range:']]"")"),"Investment Range:")</f>
        <v>Investment Range:</v>
      </c>
      <c r="G295" s="43" t="str">
        <f ca="1">IFERROR(__xludf.DUMMYFUNCTION("""COMPUTED_VALUE""")," $251,816 - $821,052")</f>
        <v xml:space="preserve"> $251,816 - $821,052</v>
      </c>
      <c r="H295" s="18" t="str">
        <f ca="1">IFERROR(__xludf.DUMMYFUNCTION("SUBSTITUTE(REGEXEXTRACT(G295, ""\$(\d{1,3}(?:,\d{3})*)""), "","", ""."")
"),"251.816")</f>
        <v>251.816</v>
      </c>
      <c r="I295" s="19" t="str">
        <f ca="1">IFERROR(__xludf.DUMMYFUNCTION("SUBSTITUTE(REGEXEXTRACT(G295, ""-\s*\$(\d{1,3}(?:,\d{3})*)""), "","", ""."")
"),"821.052")</f>
        <v>821.052</v>
      </c>
      <c r="J295" s="19" t="str">
        <f ca="1">IFERROR(__xludf.DUMMYFUNCTION("IMPORTXML(AI295, ""//li[strong[text()='Initial Investment:']]"")"),"Loading...")</f>
        <v>Loading...</v>
      </c>
      <c r="K295" s="24"/>
      <c r="L295" s="20" t="str">
        <f ca="1">IFERROR(__xludf.DUMMYFUNCTION("IMPORTXML(AI295, ""//li[strong[text()='Category:']]"")"),"Loading...")</f>
        <v>Loading...</v>
      </c>
      <c r="M295" s="24"/>
      <c r="N295" s="19" t="str">
        <f ca="1">IFERROR(__xludf.DUMMYFUNCTION("IMPORTXML(AI295, ""//li[strong[text()='Global Sales:']]"")"),"Loading...")</f>
        <v>Loading...</v>
      </c>
      <c r="O295" s="24"/>
      <c r="P295" s="19" t="str">
        <f t="shared" si="3"/>
        <v/>
      </c>
      <c r="Q295" s="19" t="str">
        <f ca="1">IFERROR(__xludf.DUMMYFUNCTION("IMPORTXML(AI295, ""//li[strong[text()='US Units:']]"")"),"Loading...")</f>
        <v>Loading...</v>
      </c>
      <c r="R295" s="24"/>
      <c r="S295" s="19" t="str">
        <f ca="1">IFERROR(__xludf.DUMMYFUNCTION("IMPORTXML(AI295, ""//li[strong[text()='International Units:']]"")"),"Loading...")</f>
        <v>Loading...</v>
      </c>
      <c r="T295" s="44"/>
      <c r="U295" s="19" t="str">
        <f ca="1">IFERROR(__xludf.DUMMYFUNCTION("IMPORTXML(AI295, ""//li[strong[text()='Percent Franchised:']]"")"),"Loading...")</f>
        <v>Loading...</v>
      </c>
      <c r="V295" s="24"/>
      <c r="W295" s="19" t="str">
        <f ca="1">IFERROR(__xludf.DUMMYFUNCTION("IMPORTXML(AI295, ""//li[strong[text()='% International Units:']]"")"),"Loading...")</f>
        <v>Loading...</v>
      </c>
      <c r="X295" s="24"/>
      <c r="Y295" s="19" t="str">
        <f ca="1">IFERROR(__xludf.DUMMYFUNCTION("IMPORTXML(AI295, ""//li[strong[text()='US Franchised Units:']]"")"),"Loading...")</f>
        <v>Loading...</v>
      </c>
      <c r="Z295" s="24"/>
      <c r="AA295" s="14" t="str">
        <f t="shared" si="4"/>
        <v/>
      </c>
      <c r="AB295" s="19" t="str">
        <f ca="1">IFERROR(__xludf.DUMMYFUNCTION("IMPORTXML(AI295, ""//li[strong[text()='International Franchised Units:']]"")"),"Loading...")</f>
        <v>Loading...</v>
      </c>
      <c r="AC295" s="24"/>
      <c r="AD295" s="14" t="str">
        <f t="shared" si="5"/>
        <v/>
      </c>
      <c r="AE295" s="25" t="str">
        <f ca="1">IFERROR(__xludf.DUMMYFUNCTION("IMPORTXML(AI295, ""//li[strong[text()='Sales Growth %:']]"")"),"Loading...")</f>
        <v>Loading...</v>
      </c>
      <c r="AF295" s="24"/>
      <c r="AG295" s="25" t="str">
        <f ca="1">IFERROR(__xludf.DUMMYFUNCTION("IMPORTXML(AI295, ""//li[strong[text()='Unit Growth %:']]"")"),"Loading...")</f>
        <v>Loading...</v>
      </c>
      <c r="AH295" s="25"/>
      <c r="AI295" s="48" t="s">
        <v>301</v>
      </c>
      <c r="AJ295" s="27"/>
      <c r="AK295" s="27"/>
      <c r="AL295" s="27"/>
      <c r="AM295" s="27"/>
      <c r="AN295" s="27"/>
      <c r="AO295" s="27"/>
      <c r="AP295" s="27"/>
      <c r="AQ295" s="27"/>
    </row>
    <row r="296" spans="1:43" ht="14.25" customHeight="1">
      <c r="A296" s="42">
        <v>24.295000000000002</v>
      </c>
      <c r="B296" s="14">
        <v>2024</v>
      </c>
      <c r="C296" s="36">
        <v>295</v>
      </c>
      <c r="D296" s="16" t="str">
        <f ca="1">IFERROR(__xludf.DUMMYFUNCTION("IMPORTXML(AI296, ""//h1[@itemprop='headline']/span"")"),"295. The Human Bean")</f>
        <v>295. The Human Bean</v>
      </c>
      <c r="E296" s="17" t="str">
        <f ca="1">IFERROR(__xludf.DUMMYFUNCTION("REGEXEXTRACT(D296, ""\.\s*(.+)"")"),"The Human Bean")</f>
        <v>The Human Bean</v>
      </c>
      <c r="F296" s="18" t="str">
        <f ca="1">IFERROR(__xludf.DUMMYFUNCTION("IMPORTXML(AI296, ""//li[strong[text()='Investment Range:']]"")"),"Investment Range:")</f>
        <v>Investment Range:</v>
      </c>
      <c r="G296" s="43" t="str">
        <f ca="1">IFERROR(__xludf.DUMMYFUNCTION("""COMPUTED_VALUE""")," $562,390 - $1,290,931")</f>
        <v xml:space="preserve"> $562,390 - $1,290,931</v>
      </c>
      <c r="H296" s="18" t="str">
        <f ca="1">IFERROR(__xludf.DUMMYFUNCTION("SUBSTITUTE(REGEXEXTRACT(G296, ""\$(\d{1,3}(?:,\d{3})*)""), "","", ""."")
"),"562.390")</f>
        <v>562.390</v>
      </c>
      <c r="I296" s="19" t="str">
        <f ca="1">IFERROR(__xludf.DUMMYFUNCTION("SUBSTITUTE(REGEXEXTRACT(G296, ""-\s*\$(\d{1,3}(?:,\d{3})*)""), "","", ""."")
"),"1.290.931")</f>
        <v>1.290.931</v>
      </c>
      <c r="J296" s="19" t="str">
        <f ca="1">IFERROR(__xludf.DUMMYFUNCTION("IMPORTXML(AI296, ""//li[strong[text()='Initial Investment:']]"")"),"Loading...")</f>
        <v>Loading...</v>
      </c>
      <c r="K296" s="24"/>
      <c r="L296" s="20" t="str">
        <f ca="1">IFERROR(__xludf.DUMMYFUNCTION("IMPORTXML(AI296, ""//li[strong[text()='Category:']]"")"),"Loading...")</f>
        <v>Loading...</v>
      </c>
      <c r="M296" s="24"/>
      <c r="N296" s="19" t="str">
        <f ca="1">IFERROR(__xludf.DUMMYFUNCTION("IMPORTXML(AI296, ""//li[strong[text()='Global Sales:']]"")"),"Loading...")</f>
        <v>Loading...</v>
      </c>
      <c r="O296" s="24"/>
      <c r="P296" s="19" t="str">
        <f t="shared" si="3"/>
        <v/>
      </c>
      <c r="Q296" s="19" t="str">
        <f ca="1">IFERROR(__xludf.DUMMYFUNCTION("IMPORTXML(AI296, ""//li[strong[text()='US Units:']]"")"),"Loading...")</f>
        <v>Loading...</v>
      </c>
      <c r="R296" s="24"/>
      <c r="S296" s="19" t="str">
        <f ca="1">IFERROR(__xludf.DUMMYFUNCTION("IMPORTXML(AI296, ""//li[strong[text()='International Units:']]"")"),"Loading...")</f>
        <v>Loading...</v>
      </c>
      <c r="T296" s="44"/>
      <c r="U296" s="19" t="str">
        <f ca="1">IFERROR(__xludf.DUMMYFUNCTION("IMPORTXML(AI296, ""//li[strong[text()='Percent Franchised:']]"")"),"Loading...")</f>
        <v>Loading...</v>
      </c>
      <c r="V296" s="24"/>
      <c r="W296" s="19" t="str">
        <f ca="1">IFERROR(__xludf.DUMMYFUNCTION("IMPORTXML(AI296, ""//li[strong[text()='% International Units:']]"")"),"Loading...")</f>
        <v>Loading...</v>
      </c>
      <c r="X296" s="24"/>
      <c r="Y296" s="19" t="str">
        <f ca="1">IFERROR(__xludf.DUMMYFUNCTION("IMPORTXML(AI296, ""//li[strong[text()='US Franchised Units:']]"")"),"Loading...")</f>
        <v>Loading...</v>
      </c>
      <c r="Z296" s="24"/>
      <c r="AA296" s="14" t="str">
        <f t="shared" si="4"/>
        <v/>
      </c>
      <c r="AB296" s="19" t="str">
        <f ca="1">IFERROR(__xludf.DUMMYFUNCTION("IMPORTXML(AI296, ""//li[strong[text()='International Franchised Units:']]"")"),"Loading...")</f>
        <v>Loading...</v>
      </c>
      <c r="AC296" s="24"/>
      <c r="AD296" s="14" t="str">
        <f t="shared" si="5"/>
        <v/>
      </c>
      <c r="AE296" s="25" t="str">
        <f ca="1">IFERROR(__xludf.DUMMYFUNCTION("IMPORTXML(AI296, ""//li[strong[text()='Sales Growth %:']]"")"),"Loading...")</f>
        <v>Loading...</v>
      </c>
      <c r="AF296" s="24"/>
      <c r="AG296" s="25" t="str">
        <f ca="1">IFERROR(__xludf.DUMMYFUNCTION("IMPORTXML(AI296, ""//li[strong[text()='Unit Growth %:']]"")"),"Loading...")</f>
        <v>Loading...</v>
      </c>
      <c r="AH296" s="25"/>
      <c r="AI296" s="48" t="s">
        <v>302</v>
      </c>
      <c r="AJ296" s="27"/>
      <c r="AK296" s="27"/>
      <c r="AL296" s="27"/>
      <c r="AM296" s="27"/>
      <c r="AN296" s="27"/>
      <c r="AO296" s="27"/>
      <c r="AP296" s="27"/>
      <c r="AQ296" s="27"/>
    </row>
    <row r="297" spans="1:43" ht="14.25" customHeight="1">
      <c r="A297" s="42">
        <v>24.296000000000099</v>
      </c>
      <c r="B297" s="14">
        <v>2024</v>
      </c>
      <c r="C297" s="15">
        <v>296</v>
      </c>
      <c r="D297" s="16" t="str">
        <f ca="1">IFERROR(__xludf.DUMMYFUNCTION("IMPORTXML(AI297, ""//h1[@itemprop='headline']/span"")"),"296. Fish Window Cleaning")</f>
        <v>296. Fish Window Cleaning</v>
      </c>
      <c r="E297" s="17" t="str">
        <f ca="1">IFERROR(__xludf.DUMMYFUNCTION("REGEXEXTRACT(D297, ""\.\s*(.+)"")"),"Fish Window Cleaning")</f>
        <v>Fish Window Cleaning</v>
      </c>
      <c r="F297" s="18" t="str">
        <f ca="1">IFERROR(__xludf.DUMMYFUNCTION("IMPORTXML(AI297, ""//li[strong[text()='Investment Range:']]"")"),"Investment Range:")</f>
        <v>Investment Range:</v>
      </c>
      <c r="G297" s="43" t="str">
        <f ca="1">IFERROR(__xludf.DUMMYFUNCTION("""COMPUTED_VALUE""")," $106,800 - $123,000")</f>
        <v xml:space="preserve"> $106,800 - $123,000</v>
      </c>
      <c r="H297" s="18" t="str">
        <f ca="1">IFERROR(__xludf.DUMMYFUNCTION("SUBSTITUTE(REGEXEXTRACT(G297, ""\$(\d{1,3}(?:,\d{3})*)""), "","", ""."")
"),"106.800")</f>
        <v>106.800</v>
      </c>
      <c r="I297" s="19" t="str">
        <f ca="1">IFERROR(__xludf.DUMMYFUNCTION("SUBSTITUTE(REGEXEXTRACT(G297, ""-\s*\$(\d{1,3}(?:,\d{3})*)""), "","", ""."")
"),"123.000")</f>
        <v>123.000</v>
      </c>
      <c r="J297" s="19" t="str">
        <f ca="1">IFERROR(__xludf.DUMMYFUNCTION("IMPORTXML(AI297, ""//li[strong[text()='Initial Investment:']]"")"),"Loading...")</f>
        <v>Loading...</v>
      </c>
      <c r="K297" s="24"/>
      <c r="L297" s="20" t="str">
        <f ca="1">IFERROR(__xludf.DUMMYFUNCTION("IMPORTXML(AI297, ""//li[strong[text()='Category:']]"")"),"Loading...")</f>
        <v>Loading...</v>
      </c>
      <c r="M297" s="24"/>
      <c r="N297" s="19" t="str">
        <f ca="1">IFERROR(__xludf.DUMMYFUNCTION("IMPORTXML(AI297, ""//li[strong[text()='Global Sales:']]"")"),"Loading...")</f>
        <v>Loading...</v>
      </c>
      <c r="O297" s="24"/>
      <c r="P297" s="19" t="str">
        <f t="shared" si="3"/>
        <v/>
      </c>
      <c r="Q297" s="19" t="str">
        <f ca="1">IFERROR(__xludf.DUMMYFUNCTION("IMPORTXML(AI297, ""//li[strong[text()='US Units:']]"")"),"Loading...")</f>
        <v>Loading...</v>
      </c>
      <c r="R297" s="24"/>
      <c r="S297" s="19" t="str">
        <f ca="1">IFERROR(__xludf.DUMMYFUNCTION("IMPORTXML(AI297, ""//li[strong[text()='International Units:']]"")"),"#N/A")</f>
        <v>#N/A</v>
      </c>
      <c r="T297" s="44"/>
      <c r="U297" s="19" t="str">
        <f ca="1">IFERROR(__xludf.DUMMYFUNCTION("IMPORTXML(AI297, ""//li[strong[text()='Percent Franchised:']]"")"),"Loading...")</f>
        <v>Loading...</v>
      </c>
      <c r="V297" s="24"/>
      <c r="W297" s="19" t="str">
        <f ca="1">IFERROR(__xludf.DUMMYFUNCTION("IMPORTXML(AI297, ""//li[strong[text()='% International Units:']]"")"),"Loading...")</f>
        <v>Loading...</v>
      </c>
      <c r="X297" s="24"/>
      <c r="Y297" s="19" t="str">
        <f ca="1">IFERROR(__xludf.DUMMYFUNCTION("IMPORTXML(AI297, ""//li[strong[text()='US Franchised Units:']]"")"),"Loading...")</f>
        <v>Loading...</v>
      </c>
      <c r="Z297" s="24"/>
      <c r="AA297" s="14" t="str">
        <f t="shared" si="4"/>
        <v/>
      </c>
      <c r="AB297" s="19" t="str">
        <f ca="1">IFERROR(__xludf.DUMMYFUNCTION("IMPORTXML(AI297, ""//li[strong[text()='International Franchised Units:']]"")"),"International Franchised Units:")</f>
        <v>International Franchised Units:</v>
      </c>
      <c r="AC297" s="24">
        <f ca="1">IFERROR(__xludf.DUMMYFUNCTION("""COMPUTED_VALUE"""),0)</f>
        <v>0</v>
      </c>
      <c r="AD297" s="14" t="str">
        <f t="shared" ca="1" si="5"/>
        <v>0</v>
      </c>
      <c r="AE297" s="25" t="str">
        <f ca="1">IFERROR(__xludf.DUMMYFUNCTION("IMPORTXML(AI297, ""//li[strong[text()='Sales Growth %:']]"")"),"Loading...")</f>
        <v>Loading...</v>
      </c>
      <c r="AF297" s="24"/>
      <c r="AG297" s="25" t="str">
        <f ca="1">IFERROR(__xludf.DUMMYFUNCTION("IMPORTXML(AI297, ""//li[strong[text()='Unit Growth %:']]"")"),"Loading...")</f>
        <v>Loading...</v>
      </c>
      <c r="AH297" s="25"/>
      <c r="AI297" s="48" t="s">
        <v>303</v>
      </c>
      <c r="AJ297" s="27"/>
      <c r="AK297" s="27"/>
      <c r="AL297" s="27"/>
      <c r="AM297" s="27"/>
      <c r="AN297" s="27"/>
      <c r="AO297" s="27"/>
      <c r="AP297" s="27"/>
      <c r="AQ297" s="27"/>
    </row>
    <row r="298" spans="1:43" ht="14.25" customHeight="1">
      <c r="A298" s="42">
        <v>24.2970000000001</v>
      </c>
      <c r="B298" s="14">
        <v>2024</v>
      </c>
      <c r="C298" s="32">
        <v>297</v>
      </c>
      <c r="D298" s="16" t="str">
        <f ca="1">IFERROR(__xludf.DUMMYFUNCTION("IMPORTXML(AI298, ""//h1[@itemprop='headline']/span"")"),"297. Tide Dry Cleaners")</f>
        <v>297. Tide Dry Cleaners</v>
      </c>
      <c r="E298" s="17" t="str">
        <f ca="1">IFERROR(__xludf.DUMMYFUNCTION("REGEXEXTRACT(D298, ""\.\s*(.+)"")"),"Tide Dry Cleaners")</f>
        <v>Tide Dry Cleaners</v>
      </c>
      <c r="F298" s="18" t="str">
        <f ca="1">IFERROR(__xludf.DUMMYFUNCTION("IMPORTXML(AI298, ""//li[strong[text()='Investment Range:']]"")"),"Investment Range:")</f>
        <v>Investment Range:</v>
      </c>
      <c r="G298" s="43" t="str">
        <f ca="1">IFERROR(__xludf.DUMMYFUNCTION("""COMPUTED_VALUE""")," $709,700 - $1,505,800")</f>
        <v xml:space="preserve"> $709,700 - $1,505,800</v>
      </c>
      <c r="H298" s="18" t="str">
        <f ca="1">IFERROR(__xludf.DUMMYFUNCTION("SUBSTITUTE(REGEXEXTRACT(G298, ""\$(\d{1,3}(?:,\d{3})*)""), "","", ""."")
"),"709.700")</f>
        <v>709.700</v>
      </c>
      <c r="I298" s="19" t="str">
        <f ca="1">IFERROR(__xludf.DUMMYFUNCTION("SUBSTITUTE(REGEXEXTRACT(G298, ""-\s*\$(\d{1,3}(?:,\d{3})*)""), "","", ""."")
"),"1.505.800")</f>
        <v>1.505.800</v>
      </c>
      <c r="J298" s="19" t="str">
        <f ca="1">IFERROR(__xludf.DUMMYFUNCTION("IMPORTXML(AI298, ""//li[strong[text()='Initial Investment:']]"")"),"Loading...")</f>
        <v>Loading...</v>
      </c>
      <c r="K298" s="24"/>
      <c r="L298" s="20" t="str">
        <f ca="1">IFERROR(__xludf.DUMMYFUNCTION("IMPORTXML(AI298, ""//li[strong[text()='Category:']]"")"),"Loading...")</f>
        <v>Loading...</v>
      </c>
      <c r="M298" s="24"/>
      <c r="N298" s="19" t="str">
        <f ca="1">IFERROR(__xludf.DUMMYFUNCTION("IMPORTXML(AI298, ""//li[strong[text()='Global Sales:']]"")"),"Loading...")</f>
        <v>Loading...</v>
      </c>
      <c r="O298" s="24"/>
      <c r="P298" s="19" t="str">
        <f t="shared" si="3"/>
        <v/>
      </c>
      <c r="Q298" s="19" t="str">
        <f ca="1">IFERROR(__xludf.DUMMYFUNCTION("IMPORTXML(AI298, ""//li[strong[text()='US Units:']]"")"),"Loading...")</f>
        <v>Loading...</v>
      </c>
      <c r="R298" s="24"/>
      <c r="S298" s="19" t="str">
        <f ca="1">IFERROR(__xludf.DUMMYFUNCTION("IMPORTXML(AI298, ""//li[strong[text()='International Units:']]"")"),"Loading...")</f>
        <v>Loading...</v>
      </c>
      <c r="T298" s="44"/>
      <c r="U298" s="19" t="str">
        <f ca="1">IFERROR(__xludf.DUMMYFUNCTION("IMPORTXML(AI298, ""//li[strong[text()='Percent Franchised:']]"")"),"Loading...")</f>
        <v>Loading...</v>
      </c>
      <c r="V298" s="24"/>
      <c r="W298" s="19" t="str">
        <f ca="1">IFERROR(__xludf.DUMMYFUNCTION("IMPORTXML(AI298, ""//li[strong[text()='% International Units:']]"")"),"Loading...")</f>
        <v>Loading...</v>
      </c>
      <c r="X298" s="24"/>
      <c r="Y298" s="19" t="str">
        <f ca="1">IFERROR(__xludf.DUMMYFUNCTION("IMPORTXML(AI298, ""//li[strong[text()='US Franchised Units:']]"")"),"Loading...")</f>
        <v>Loading...</v>
      </c>
      <c r="Z298" s="24"/>
      <c r="AA298" s="14" t="str">
        <f t="shared" si="4"/>
        <v/>
      </c>
      <c r="AB298" s="19" t="str">
        <f ca="1">IFERROR(__xludf.DUMMYFUNCTION("IMPORTXML(AI298, ""//li[strong[text()='International Franchised Units:']]"")"),"Loading...")</f>
        <v>Loading...</v>
      </c>
      <c r="AC298" s="24"/>
      <c r="AD298" s="14" t="str">
        <f t="shared" si="5"/>
        <v/>
      </c>
      <c r="AE298" s="25" t="str">
        <f ca="1">IFERROR(__xludf.DUMMYFUNCTION("IMPORTXML(AI298, ""//li[strong[text()='Sales Growth %:']]"")"),"Loading...")</f>
        <v>Loading...</v>
      </c>
      <c r="AF298" s="24"/>
      <c r="AG298" s="25" t="str">
        <f ca="1">IFERROR(__xludf.DUMMYFUNCTION("IMPORTXML(AI298, ""//li[strong[text()='Unit Growth %:']]"")"),"Loading...")</f>
        <v>Loading...</v>
      </c>
      <c r="AH298" s="25"/>
      <c r="AI298" s="48" t="s">
        <v>304</v>
      </c>
      <c r="AJ298" s="27"/>
      <c r="AK298" s="27"/>
      <c r="AL298" s="27"/>
      <c r="AM298" s="27"/>
      <c r="AN298" s="27"/>
      <c r="AO298" s="27"/>
      <c r="AP298" s="27"/>
      <c r="AQ298" s="27"/>
    </row>
    <row r="299" spans="1:43" ht="14.25" customHeight="1">
      <c r="A299" s="42">
        <v>24.297999999999998</v>
      </c>
      <c r="B299" s="14">
        <v>2024</v>
      </c>
      <c r="C299" s="36">
        <v>298</v>
      </c>
      <c r="D299" s="16" t="str">
        <f ca="1">IFERROR(__xludf.DUMMYFUNCTION("IMPORTXML(AI299, ""//h1[@itemprop='headline']/span"")"),"298. Five Star Painting")</f>
        <v>298. Five Star Painting</v>
      </c>
      <c r="E299" s="17" t="str">
        <f ca="1">IFERROR(__xludf.DUMMYFUNCTION("REGEXEXTRACT(D299, ""\.\s*(.+)"")"),"Five Star Painting")</f>
        <v>Five Star Painting</v>
      </c>
      <c r="F299" s="18" t="str">
        <f ca="1">IFERROR(__xludf.DUMMYFUNCTION("IMPORTXML(AI299, ""//li[strong[text()='Investment Range:']]"")"),"Investment Range:")</f>
        <v>Investment Range:</v>
      </c>
      <c r="G299" s="43" t="str">
        <f ca="1">IFERROR(__xludf.DUMMYFUNCTION("""COMPUTED_VALUE""")," $125,500 - $266,000")</f>
        <v xml:space="preserve"> $125,500 - $266,000</v>
      </c>
      <c r="H299" s="18" t="str">
        <f ca="1">IFERROR(__xludf.DUMMYFUNCTION("SUBSTITUTE(REGEXEXTRACT(G299, ""\$(\d{1,3}(?:,\d{3})*)""), "","", ""."")
"),"125.500")</f>
        <v>125.500</v>
      </c>
      <c r="I299" s="19" t="str">
        <f ca="1">IFERROR(__xludf.DUMMYFUNCTION("SUBSTITUTE(REGEXEXTRACT(G299, ""-\s*\$(\d{1,3}(?:,\d{3})*)""), "","", ""."")
"),"266.000")</f>
        <v>266.000</v>
      </c>
      <c r="J299" s="19" t="str">
        <f ca="1">IFERROR(__xludf.DUMMYFUNCTION("IMPORTXML(AI299, ""//li[strong[text()='Initial Investment:']]"")"),"Loading...")</f>
        <v>Loading...</v>
      </c>
      <c r="K299" s="24"/>
      <c r="L299" s="20" t="str">
        <f ca="1">IFERROR(__xludf.DUMMYFUNCTION("IMPORTXML(AI299, ""//li[strong[text()='Category:']]"")"),"Loading...")</f>
        <v>Loading...</v>
      </c>
      <c r="M299" s="24"/>
      <c r="N299" s="19" t="str">
        <f ca="1">IFERROR(__xludf.DUMMYFUNCTION("IMPORTXML(AI299, ""//li[strong[text()='Global Sales:']]"")"),"Loading...")</f>
        <v>Loading...</v>
      </c>
      <c r="O299" s="24"/>
      <c r="P299" s="19" t="str">
        <f t="shared" si="3"/>
        <v/>
      </c>
      <c r="Q299" s="19" t="str">
        <f ca="1">IFERROR(__xludf.DUMMYFUNCTION("IMPORTXML(AI299, ""//li[strong[text()='US Units:']]"")"),"Loading...")</f>
        <v>Loading...</v>
      </c>
      <c r="R299" s="24"/>
      <c r="S299" s="19" t="str">
        <f ca="1">IFERROR(__xludf.DUMMYFUNCTION("IMPORTXML(AI299, ""//li[strong[text()='International Units:']]"")"),"Loading...")</f>
        <v>Loading...</v>
      </c>
      <c r="T299" s="44"/>
      <c r="U299" s="19" t="str">
        <f ca="1">IFERROR(__xludf.DUMMYFUNCTION("IMPORTXML(AI299, ""//li[strong[text()='Percent Franchised:']]"")"),"Loading...")</f>
        <v>Loading...</v>
      </c>
      <c r="V299" s="24"/>
      <c r="W299" s="19" t="str">
        <f ca="1">IFERROR(__xludf.DUMMYFUNCTION("IMPORTXML(AI299, ""//li[strong[text()='% International Units:']]"")"),"Loading...")</f>
        <v>Loading...</v>
      </c>
      <c r="X299" s="24"/>
      <c r="Y299" s="19" t="str">
        <f ca="1">IFERROR(__xludf.DUMMYFUNCTION("IMPORTXML(AI299, ""//li[strong[text()='US Franchised Units:']]"")"),"Loading...")</f>
        <v>Loading...</v>
      </c>
      <c r="Z299" s="24"/>
      <c r="AA299" s="14" t="str">
        <f t="shared" si="4"/>
        <v/>
      </c>
      <c r="AB299" s="19" t="str">
        <f ca="1">IFERROR(__xludf.DUMMYFUNCTION("IMPORTXML(AI299, ""//li[strong[text()='International Franchised Units:']]"")"),"Loading...")</f>
        <v>Loading...</v>
      </c>
      <c r="AC299" s="24"/>
      <c r="AD299" s="14" t="str">
        <f t="shared" si="5"/>
        <v/>
      </c>
      <c r="AE299" s="25" t="str">
        <f ca="1">IFERROR(__xludf.DUMMYFUNCTION("IMPORTXML(AI299, ""//li[strong[text()='Sales Growth %:']]"")"),"Loading...")</f>
        <v>Loading...</v>
      </c>
      <c r="AF299" s="24"/>
      <c r="AG299" s="25" t="str">
        <f ca="1">IFERROR(__xludf.DUMMYFUNCTION("IMPORTXML(AI299, ""//li[strong[text()='Unit Growth %:']]"")"),"Loading...")</f>
        <v>Loading...</v>
      </c>
      <c r="AH299" s="25"/>
      <c r="AI299" s="48" t="s">
        <v>305</v>
      </c>
      <c r="AJ299" s="27"/>
      <c r="AK299" s="27"/>
      <c r="AL299" s="27"/>
      <c r="AM299" s="27"/>
      <c r="AN299" s="27"/>
      <c r="AO299" s="27"/>
      <c r="AP299" s="27"/>
      <c r="AQ299" s="27"/>
    </row>
    <row r="300" spans="1:43" ht="14.25" customHeight="1">
      <c r="A300" s="42">
        <v>24.299000000000099</v>
      </c>
      <c r="B300" s="14">
        <v>2024</v>
      </c>
      <c r="C300" s="36">
        <v>299</v>
      </c>
      <c r="D300" s="16" t="str">
        <f ca="1">IFERROR(__xludf.DUMMYFUNCTION("IMPORTXML(AI300, ""//h1[@itemprop='headline']/span"")"),"299. Capriotti’s")</f>
        <v>299. Capriotti’s</v>
      </c>
      <c r="E300" s="17" t="str">
        <f ca="1">IFERROR(__xludf.DUMMYFUNCTION("REGEXEXTRACT(D300, ""\.\s*(.+)"")"),"Capriotti’s")</f>
        <v>Capriotti’s</v>
      </c>
      <c r="F300" s="18" t="str">
        <f ca="1">IFERROR(__xludf.DUMMYFUNCTION("IMPORTXML(AI300, ""//li[strong[text()='Investment Range:']]"")"),"Investment Range:")</f>
        <v>Investment Range:</v>
      </c>
      <c r="G300" s="43" t="str">
        <f ca="1">IFERROR(__xludf.DUMMYFUNCTION("""COMPUTED_VALUE""")," $422,000 - $818,000")</f>
        <v xml:space="preserve"> $422,000 - $818,000</v>
      </c>
      <c r="H300" s="18" t="str">
        <f ca="1">IFERROR(__xludf.DUMMYFUNCTION("SUBSTITUTE(REGEXEXTRACT(G300, ""\$(\d{1,3}(?:,\d{3})*)""), "","", ""."")
"),"422.000")</f>
        <v>422.000</v>
      </c>
      <c r="I300" s="19" t="str">
        <f ca="1">IFERROR(__xludf.DUMMYFUNCTION("SUBSTITUTE(REGEXEXTRACT(G300, ""-\s*\$(\d{1,3}(?:,\d{3})*)""), "","", ""."")
"),"818.000")</f>
        <v>818.000</v>
      </c>
      <c r="J300" s="19" t="str">
        <f ca="1">IFERROR(__xludf.DUMMYFUNCTION("IMPORTXML(AI300, ""//li[strong[text()='Initial Investment:']]"")"),"Loading...")</f>
        <v>Loading...</v>
      </c>
      <c r="K300" s="24"/>
      <c r="L300" s="20" t="str">
        <f ca="1">IFERROR(__xludf.DUMMYFUNCTION("IMPORTXML(AI300, ""//li[strong[text()='Category:']]"")"),"Loading...")</f>
        <v>Loading...</v>
      </c>
      <c r="M300" s="24"/>
      <c r="N300" s="19" t="str">
        <f ca="1">IFERROR(__xludf.DUMMYFUNCTION("IMPORTXML(AI300, ""//li[strong[text()='Global Sales:']]"")"),"Loading...")</f>
        <v>Loading...</v>
      </c>
      <c r="O300" s="24"/>
      <c r="P300" s="19" t="str">
        <f t="shared" si="3"/>
        <v/>
      </c>
      <c r="Q300" s="19" t="str">
        <f ca="1">IFERROR(__xludf.DUMMYFUNCTION("IMPORTXML(AI300, ""//li[strong[text()='US Units:']]"")"),"Loading...")</f>
        <v>Loading...</v>
      </c>
      <c r="R300" s="24"/>
      <c r="S300" s="19" t="str">
        <f ca="1">IFERROR(__xludf.DUMMYFUNCTION("IMPORTXML(AI300, ""//li[strong[text()='International Units:']]"")"),"Loading...")</f>
        <v>Loading...</v>
      </c>
      <c r="T300" s="44"/>
      <c r="U300" s="19" t="str">
        <f ca="1">IFERROR(__xludf.DUMMYFUNCTION("IMPORTXML(AI300, ""//li[strong[text()='Percent Franchised:']]"")"),"Loading...")</f>
        <v>Loading...</v>
      </c>
      <c r="V300" s="24"/>
      <c r="W300" s="19" t="str">
        <f ca="1">IFERROR(__xludf.DUMMYFUNCTION("IMPORTXML(AI300, ""//li[strong[text()='% International Units:']]"")"),"Loading...")</f>
        <v>Loading...</v>
      </c>
      <c r="X300" s="24"/>
      <c r="Y300" s="19" t="str">
        <f ca="1">IFERROR(__xludf.DUMMYFUNCTION("IMPORTXML(AI300, ""//li[strong[text()='US Franchised Units:']]"")"),"Loading...")</f>
        <v>Loading...</v>
      </c>
      <c r="Z300" s="24"/>
      <c r="AA300" s="14" t="str">
        <f t="shared" si="4"/>
        <v/>
      </c>
      <c r="AB300" s="19" t="str">
        <f ca="1">IFERROR(__xludf.DUMMYFUNCTION("IMPORTXML(AI300, ""//li[strong[text()='International Franchised Units:']]"")"),"Loading...")</f>
        <v>Loading...</v>
      </c>
      <c r="AC300" s="24"/>
      <c r="AD300" s="14" t="str">
        <f t="shared" si="5"/>
        <v/>
      </c>
      <c r="AE300" s="25" t="str">
        <f ca="1">IFERROR(__xludf.DUMMYFUNCTION("IMPORTXML(AI300, ""//li[strong[text()='Sales Growth %:']]"")"),"Loading...")</f>
        <v>Loading...</v>
      </c>
      <c r="AF300" s="24"/>
      <c r="AG300" s="25" t="str">
        <f ca="1">IFERROR(__xludf.DUMMYFUNCTION("IMPORTXML(AI300, ""//li[strong[text()='Unit Growth %:']]"")"),"Loading...")</f>
        <v>Loading...</v>
      </c>
      <c r="AH300" s="25"/>
      <c r="AI300" s="48" t="s">
        <v>306</v>
      </c>
      <c r="AJ300" s="27"/>
      <c r="AK300" s="27"/>
      <c r="AL300" s="27"/>
      <c r="AM300" s="27"/>
      <c r="AN300" s="27"/>
      <c r="AO300" s="27"/>
      <c r="AP300" s="27"/>
      <c r="AQ300" s="27"/>
    </row>
    <row r="301" spans="1:43" ht="14.25" customHeight="1">
      <c r="A301" s="42">
        <v>24.3000000000001</v>
      </c>
      <c r="B301" s="14">
        <v>2024</v>
      </c>
      <c r="C301" s="15">
        <v>300</v>
      </c>
      <c r="D301" s="16" t="str">
        <f ca="1">IFERROR(__xludf.DUMMYFUNCTION("IMPORTXML(AI301, ""//h1[@itemprop='headline']/span"")"),"300. Property Management")</f>
        <v>300. Property Management</v>
      </c>
      <c r="E301" s="17" t="str">
        <f ca="1">IFERROR(__xludf.DUMMYFUNCTION("REGEXEXTRACT(D301, ""\.\s*(.+)"")"),"Property Management")</f>
        <v>Property Management</v>
      </c>
      <c r="F301" s="18" t="str">
        <f ca="1">IFERROR(__xludf.DUMMYFUNCTION("IMPORTXML(AI301, ""//li[strong[text()='Investment Range:']]"")"),"Investment Range:")</f>
        <v>Investment Range:</v>
      </c>
      <c r="G301" s="43" t="str">
        <f ca="1">IFERROR(__xludf.DUMMYFUNCTION("""COMPUTED_VALUE""")," $67,875 - $149,700")</f>
        <v xml:space="preserve"> $67,875 - $149,700</v>
      </c>
      <c r="H301" s="18" t="str">
        <f ca="1">IFERROR(__xludf.DUMMYFUNCTION("SUBSTITUTE(REGEXEXTRACT(G301, ""\$(\d{1,3}(?:,\d{3})*)""), "","", ""."")
"),"67.875")</f>
        <v>67.875</v>
      </c>
      <c r="I301" s="19" t="str">
        <f ca="1">IFERROR(__xludf.DUMMYFUNCTION("SUBSTITUTE(REGEXEXTRACT(G301, ""-\s*\$(\d{1,3}(?:,\d{3})*)""), "","", ""."")
"),"149.700")</f>
        <v>149.700</v>
      </c>
      <c r="J301" s="19" t="str">
        <f ca="1">IFERROR(__xludf.DUMMYFUNCTION("IMPORTXML(AI301, ""//li[strong[text()='Initial Investment:']]"")"),"Loading...")</f>
        <v>Loading...</v>
      </c>
      <c r="K301" s="24"/>
      <c r="L301" s="20" t="str">
        <f ca="1">IFERROR(__xludf.DUMMYFUNCTION("IMPORTXML(AI301, ""//li[strong[text()='Category:']]"")"),"Loading...")</f>
        <v>Loading...</v>
      </c>
      <c r="M301" s="24"/>
      <c r="N301" s="19" t="str">
        <f ca="1">IFERROR(__xludf.DUMMYFUNCTION("IMPORTXML(AI301, ""//li[strong[text()='Global Sales:']]"")"),"Loading...")</f>
        <v>Loading...</v>
      </c>
      <c r="O301" s="24"/>
      <c r="P301" s="19" t="str">
        <f t="shared" si="3"/>
        <v/>
      </c>
      <c r="Q301" s="19" t="str">
        <f ca="1">IFERROR(__xludf.DUMMYFUNCTION("IMPORTXML(AI301, ""//li[strong[text()='US Units:']]"")"),"Loading...")</f>
        <v>Loading...</v>
      </c>
      <c r="R301" s="24"/>
      <c r="S301" s="19" t="str">
        <f ca="1">IFERROR(__xludf.DUMMYFUNCTION("IMPORTXML(AI301, ""//li[strong[text()='International Units:']]"")"),"Loading...")</f>
        <v>Loading...</v>
      </c>
      <c r="T301" s="44"/>
      <c r="U301" s="19" t="str">
        <f ca="1">IFERROR(__xludf.DUMMYFUNCTION("IMPORTXML(AI301, ""//li[strong[text()='Percent Franchised:']]"")"),"Loading...")</f>
        <v>Loading...</v>
      </c>
      <c r="V301" s="24"/>
      <c r="W301" s="19" t="str">
        <f ca="1">IFERROR(__xludf.DUMMYFUNCTION("IMPORTXML(AI301, ""//li[strong[text()='% International Units:']]"")"),"Loading...")</f>
        <v>Loading...</v>
      </c>
      <c r="X301" s="24"/>
      <c r="Y301" s="19" t="str">
        <f ca="1">IFERROR(__xludf.DUMMYFUNCTION("IMPORTXML(AI301, ""//li[strong[text()='US Franchised Units:']]"")"),"Loading...")</f>
        <v>Loading...</v>
      </c>
      <c r="Z301" s="24"/>
      <c r="AA301" s="14" t="str">
        <f t="shared" si="4"/>
        <v/>
      </c>
      <c r="AB301" s="19" t="str">
        <f ca="1">IFERROR(__xludf.DUMMYFUNCTION("IMPORTXML(AI301, ""//li[strong[text()='International Franchised Units:']]"")"),"Loading...")</f>
        <v>Loading...</v>
      </c>
      <c r="AC301" s="24"/>
      <c r="AD301" s="14" t="str">
        <f t="shared" si="5"/>
        <v/>
      </c>
      <c r="AE301" s="25" t="str">
        <f ca="1">IFERROR(__xludf.DUMMYFUNCTION("IMPORTXML(AI301, ""//li[strong[text()='Sales Growth %:']]"")"),"Loading...")</f>
        <v>Loading...</v>
      </c>
      <c r="AF301" s="24"/>
      <c r="AG301" s="25" t="str">
        <f ca="1">IFERROR(__xludf.DUMMYFUNCTION("IMPORTXML(AI301, ""//li[strong[text()='Unit Growth %:']]"")"),"Loading...")</f>
        <v>Loading...</v>
      </c>
      <c r="AH301" s="25"/>
      <c r="AI301" s="48" t="s">
        <v>307</v>
      </c>
      <c r="AJ301" s="27"/>
      <c r="AK301" s="27"/>
      <c r="AL301" s="27"/>
      <c r="AM301" s="27"/>
      <c r="AN301" s="27"/>
      <c r="AO301" s="27"/>
      <c r="AP301" s="27"/>
      <c r="AQ301" s="27"/>
    </row>
    <row r="302" spans="1:43" ht="14.25" customHeight="1">
      <c r="A302" s="42">
        <v>24.300999999999998</v>
      </c>
      <c r="B302" s="14">
        <v>2024</v>
      </c>
      <c r="C302" s="32">
        <v>301</v>
      </c>
      <c r="D302" s="16" t="str">
        <f ca="1">IFERROR(__xludf.DUMMYFUNCTION("IMPORTXML(AI302, ""//h1[@itemprop='headline']/span"")"),"301. CMIT Solutions")</f>
        <v>301. CMIT Solutions</v>
      </c>
      <c r="E302" s="17" t="str">
        <f ca="1">IFERROR(__xludf.DUMMYFUNCTION("REGEXEXTRACT(D302, ""\.\s*(.+)"")"),"CMIT Solutions")</f>
        <v>CMIT Solutions</v>
      </c>
      <c r="F302" s="18" t="str">
        <f ca="1">IFERROR(__xludf.DUMMYFUNCTION("IMPORTXML(AI302, ""//li[strong[text()='Investment Range:']]"")"),"Loading...")</f>
        <v>Loading...</v>
      </c>
      <c r="G302" s="43"/>
      <c r="H302" s="18" t="str">
        <f ca="1">IFERROR(__xludf.DUMMYFUNCTION("SUBSTITUTE(REGEXEXTRACT(G302, ""\$(\d{1,3}(?:,\d{3})*)""), "","", ""."")
"),"#N/A")</f>
        <v>#N/A</v>
      </c>
      <c r="I302" s="19" t="str">
        <f ca="1">IFERROR(__xludf.DUMMYFUNCTION("SUBSTITUTE(REGEXEXTRACT(G302, ""-\s*\$(\d{1,3}(?:,\d{3})*)""), "","", ""."")
"),"#N/A")</f>
        <v>#N/A</v>
      </c>
      <c r="J302" s="19" t="str">
        <f ca="1">IFERROR(__xludf.DUMMYFUNCTION("IMPORTXML(AI302, ""//li[strong[text()='Initial Investment:']]"")"),"Loading...")</f>
        <v>Loading...</v>
      </c>
      <c r="K302" s="24"/>
      <c r="L302" s="20" t="str">
        <f ca="1">IFERROR(__xludf.DUMMYFUNCTION("IMPORTXML(AI302, ""//li[strong[text()='Category:']]"")"),"Loading...")</f>
        <v>Loading...</v>
      </c>
      <c r="M302" s="24"/>
      <c r="N302" s="19" t="str">
        <f ca="1">IFERROR(__xludf.DUMMYFUNCTION("IMPORTXML(AI302, ""//li[strong[text()='Global Sales:']]"")"),"Loading...")</f>
        <v>Loading...</v>
      </c>
      <c r="O302" s="24"/>
      <c r="P302" s="19" t="str">
        <f t="shared" si="3"/>
        <v/>
      </c>
      <c r="Q302" s="19" t="str">
        <f ca="1">IFERROR(__xludf.DUMMYFUNCTION("IMPORTXML(AI302, ""//li[strong[text()='US Units:']]"")"),"Loading...")</f>
        <v>Loading...</v>
      </c>
      <c r="R302" s="24"/>
      <c r="S302" s="19" t="str">
        <f ca="1">IFERROR(__xludf.DUMMYFUNCTION("IMPORTXML(AI302, ""//li[strong[text()='International Units:']]"")"),"Loading...")</f>
        <v>Loading...</v>
      </c>
      <c r="T302" s="44"/>
      <c r="U302" s="19" t="str">
        <f ca="1">IFERROR(__xludf.DUMMYFUNCTION("IMPORTXML(AI302, ""//li[strong[text()='Percent Franchised:']]"")"),"Loading...")</f>
        <v>Loading...</v>
      </c>
      <c r="V302" s="24"/>
      <c r="W302" s="19" t="str">
        <f ca="1">IFERROR(__xludf.DUMMYFUNCTION("IMPORTXML(AI302, ""//li[strong[text()='% International Units:']]"")"),"Loading...")</f>
        <v>Loading...</v>
      </c>
      <c r="X302" s="24"/>
      <c r="Y302" s="19" t="str">
        <f ca="1">IFERROR(__xludf.DUMMYFUNCTION("IMPORTXML(AI302, ""//li[strong[text()='US Franchised Units:']]"")"),"Loading...")</f>
        <v>Loading...</v>
      </c>
      <c r="Z302" s="24"/>
      <c r="AA302" s="14" t="str">
        <f t="shared" si="4"/>
        <v/>
      </c>
      <c r="AB302" s="19" t="str">
        <f ca="1">IFERROR(__xludf.DUMMYFUNCTION("IMPORTXML(AI302, ""//li[strong[text()='International Franchised Units:']]"")"),"Loading...")</f>
        <v>Loading...</v>
      </c>
      <c r="AC302" s="24"/>
      <c r="AD302" s="14" t="str">
        <f t="shared" si="5"/>
        <v/>
      </c>
      <c r="AE302" s="25" t="str">
        <f ca="1">IFERROR(__xludf.DUMMYFUNCTION("IMPORTXML(AI302, ""//li[strong[text()='Sales Growth %:']]"")"),"Loading...")</f>
        <v>Loading...</v>
      </c>
      <c r="AF302" s="24"/>
      <c r="AG302" s="25" t="str">
        <f ca="1">IFERROR(__xludf.DUMMYFUNCTION("IMPORTXML(AI302, ""//li[strong[text()='Unit Growth %:']]"")"),"Loading...")</f>
        <v>Loading...</v>
      </c>
      <c r="AH302" s="25"/>
      <c r="AI302" s="48" t="s">
        <v>308</v>
      </c>
      <c r="AJ302" s="27"/>
      <c r="AK302" s="27"/>
      <c r="AL302" s="27"/>
      <c r="AM302" s="27"/>
      <c r="AN302" s="27"/>
      <c r="AO302" s="27"/>
      <c r="AP302" s="27"/>
      <c r="AQ302" s="27"/>
    </row>
    <row r="303" spans="1:43" ht="14.25" customHeight="1">
      <c r="A303" s="42">
        <v>24.302000000000099</v>
      </c>
      <c r="B303" s="14">
        <v>2024</v>
      </c>
      <c r="C303" s="36">
        <v>302</v>
      </c>
      <c r="D303" s="16" t="str">
        <f ca="1">IFERROR(__xludf.DUMMYFUNCTION("IMPORTXML(AI303, ""//h1[@itemprop='headline']/span"")"),"302. The Grounds Guys")</f>
        <v>302. The Grounds Guys</v>
      </c>
      <c r="E303" s="17" t="str">
        <f ca="1">IFERROR(__xludf.DUMMYFUNCTION("REGEXEXTRACT(D303, ""\.\s*(.+)"")"),"The Grounds Guys")</f>
        <v>The Grounds Guys</v>
      </c>
      <c r="F303" s="18" t="str">
        <f ca="1">IFERROR(__xludf.DUMMYFUNCTION("IMPORTXML(AI303, ""//li[strong[text()='Investment Range:']]"")"),"Investment Range:")</f>
        <v>Investment Range:</v>
      </c>
      <c r="G303" s="43" t="str">
        <f ca="1">IFERROR(__xludf.DUMMYFUNCTION("""COMPUTED_VALUE""")," $88,820 - $234,570")</f>
        <v xml:space="preserve"> $88,820 - $234,570</v>
      </c>
      <c r="H303" s="18" t="str">
        <f ca="1">IFERROR(__xludf.DUMMYFUNCTION("SUBSTITUTE(REGEXEXTRACT(G303, ""\$(\d{1,3}(?:,\d{3})*)""), "","", ""."")
"),"88.820")</f>
        <v>88.820</v>
      </c>
      <c r="I303" s="19" t="str">
        <f ca="1">IFERROR(__xludf.DUMMYFUNCTION("SUBSTITUTE(REGEXEXTRACT(G303, ""-\s*\$(\d{1,3}(?:,\d{3})*)""), "","", ""."")
"),"234.570")</f>
        <v>234.570</v>
      </c>
      <c r="J303" s="19" t="str">
        <f ca="1">IFERROR(__xludf.DUMMYFUNCTION("IMPORTXML(AI303, ""//li[strong[text()='Initial Investment:']]"")"),"Loading...")</f>
        <v>Loading...</v>
      </c>
      <c r="K303" s="24"/>
      <c r="L303" s="20" t="str">
        <f ca="1">IFERROR(__xludf.DUMMYFUNCTION("IMPORTXML(AI303, ""//li[strong[text()='Category:']]"")"),"Loading...")</f>
        <v>Loading...</v>
      </c>
      <c r="M303" s="24"/>
      <c r="N303" s="19" t="str">
        <f ca="1">IFERROR(__xludf.DUMMYFUNCTION("IMPORTXML(AI303, ""//li[strong[text()='Global Sales:']]"")"),"Loading...")</f>
        <v>Loading...</v>
      </c>
      <c r="O303" s="24"/>
      <c r="P303" s="19" t="str">
        <f t="shared" si="3"/>
        <v/>
      </c>
      <c r="Q303" s="19" t="str">
        <f ca="1">IFERROR(__xludf.DUMMYFUNCTION("IMPORTXML(AI303, ""//li[strong[text()='US Units:']]"")"),"Loading...")</f>
        <v>Loading...</v>
      </c>
      <c r="R303" s="24"/>
      <c r="S303" s="19" t="str">
        <f ca="1">IFERROR(__xludf.DUMMYFUNCTION("IMPORTXML(AI303, ""//li[strong[text()='International Units:']]"")"),"Loading...")</f>
        <v>Loading...</v>
      </c>
      <c r="T303" s="44"/>
      <c r="U303" s="19" t="str">
        <f ca="1">IFERROR(__xludf.DUMMYFUNCTION("IMPORTXML(AI303, ""//li[strong[text()='Percent Franchised:']]"")"),"Loading...")</f>
        <v>Loading...</v>
      </c>
      <c r="V303" s="24"/>
      <c r="W303" s="19" t="str">
        <f ca="1">IFERROR(__xludf.DUMMYFUNCTION("IMPORTXML(AI303, ""//li[strong[text()='% International Units:']]"")"),"Loading...")</f>
        <v>Loading...</v>
      </c>
      <c r="X303" s="24"/>
      <c r="Y303" s="19" t="str">
        <f ca="1">IFERROR(__xludf.DUMMYFUNCTION("IMPORTXML(AI303, ""//li[strong[text()='US Franchised Units:']]"")"),"Loading...")</f>
        <v>Loading...</v>
      </c>
      <c r="Z303" s="24"/>
      <c r="AA303" s="14" t="str">
        <f t="shared" si="4"/>
        <v/>
      </c>
      <c r="AB303" s="19" t="str">
        <f ca="1">IFERROR(__xludf.DUMMYFUNCTION("IMPORTXML(AI303, ""//li[strong[text()='International Franchised Units:']]"")"),"Loading...")</f>
        <v>Loading...</v>
      </c>
      <c r="AC303" s="24"/>
      <c r="AD303" s="14" t="str">
        <f t="shared" si="5"/>
        <v/>
      </c>
      <c r="AE303" s="25" t="str">
        <f ca="1">IFERROR(__xludf.DUMMYFUNCTION("IMPORTXML(AI303, ""//li[strong[text()='Sales Growth %:']]"")"),"Loading...")</f>
        <v>Loading...</v>
      </c>
      <c r="AF303" s="24"/>
      <c r="AG303" s="25" t="str">
        <f ca="1">IFERROR(__xludf.DUMMYFUNCTION("IMPORTXML(AI303, ""//li[strong[text()='Unit Growth %:']]"")"),"Loading...")</f>
        <v>Loading...</v>
      </c>
      <c r="AH303" s="25"/>
      <c r="AI303" s="48" t="s">
        <v>309</v>
      </c>
      <c r="AJ303" s="27"/>
      <c r="AK303" s="27"/>
      <c r="AL303" s="27"/>
      <c r="AM303" s="27"/>
      <c r="AN303" s="27"/>
      <c r="AO303" s="27"/>
      <c r="AP303" s="27"/>
      <c r="AQ303" s="27"/>
    </row>
    <row r="304" spans="1:43" ht="14.25" customHeight="1">
      <c r="A304" s="42">
        <v>24.3030000000001</v>
      </c>
      <c r="B304" s="14">
        <v>2024</v>
      </c>
      <c r="C304" s="36">
        <v>303</v>
      </c>
      <c r="D304" s="16" t="str">
        <f ca="1">IFERROR(__xludf.DUMMYFUNCTION("IMPORTXML(AI304, ""//h1[@itemprop='headline']/span"")"),"303. Brightway Insurance")</f>
        <v>303. Brightway Insurance</v>
      </c>
      <c r="E304" s="17" t="str">
        <f ca="1">IFERROR(__xludf.DUMMYFUNCTION("REGEXEXTRACT(D304, ""\.\s*(.+)"")"),"Brightway Insurance")</f>
        <v>Brightway Insurance</v>
      </c>
      <c r="F304" s="18" t="str">
        <f ca="1">IFERROR(__xludf.DUMMYFUNCTION("IMPORTXML(AI304, ""//li[strong[text()='Investment Range:']]"")"),"Investment Range:")</f>
        <v>Investment Range:</v>
      </c>
      <c r="G304" s="43" t="str">
        <f ca="1">IFERROR(__xludf.DUMMYFUNCTION("""COMPUTED_VALUE""")," $52,900 - $173,500")</f>
        <v xml:space="preserve"> $52,900 - $173,500</v>
      </c>
      <c r="H304" s="18" t="str">
        <f ca="1">IFERROR(__xludf.DUMMYFUNCTION("SUBSTITUTE(REGEXEXTRACT(G304, ""\$(\d{1,3}(?:,\d{3})*)""), "","", ""."")
"),"52.900")</f>
        <v>52.900</v>
      </c>
      <c r="I304" s="19" t="str">
        <f ca="1">IFERROR(__xludf.DUMMYFUNCTION("SUBSTITUTE(REGEXEXTRACT(G304, ""-\s*\$(\d{1,3}(?:,\d{3})*)""), "","", ""."")
"),"173.500")</f>
        <v>173.500</v>
      </c>
      <c r="J304" s="19" t="str">
        <f ca="1">IFERROR(__xludf.DUMMYFUNCTION("IMPORTXML(AI304, ""//li[strong[text()='Initial Investment:']]"")"),"Loading...")</f>
        <v>Loading...</v>
      </c>
      <c r="K304" s="24"/>
      <c r="L304" s="20" t="str">
        <f ca="1">IFERROR(__xludf.DUMMYFUNCTION("IMPORTXML(AI304, ""//li[strong[text()='Category:']]"")"),"Loading...")</f>
        <v>Loading...</v>
      </c>
      <c r="M304" s="24"/>
      <c r="N304" s="19" t="str">
        <f ca="1">IFERROR(__xludf.DUMMYFUNCTION("IMPORTXML(AI304, ""//li[strong[text()='Global Sales:']]"")"),"Global Sales:")</f>
        <v>Global Sales:</v>
      </c>
      <c r="O304" s="24" t="str">
        <f ca="1">IFERROR(__xludf.DUMMYFUNCTION("""COMPUTED_VALUE""")," $124,000,000")</f>
        <v xml:space="preserve"> $124,000,000</v>
      </c>
      <c r="P304" s="19" t="str">
        <f t="shared" ca="1" si="3"/>
        <v xml:space="preserve"> 124.000.000</v>
      </c>
      <c r="Q304" s="19" t="str">
        <f ca="1">IFERROR(__xludf.DUMMYFUNCTION("IMPORTXML(AI304, ""//li[strong[text()='US Units:']]"")"),"Loading...")</f>
        <v>Loading...</v>
      </c>
      <c r="R304" s="24"/>
      <c r="S304" s="19" t="str">
        <f ca="1">IFERROR(__xludf.DUMMYFUNCTION("IMPORTXML(AI304, ""//li[strong[text()='International Units:']]"")"),"Loading...")</f>
        <v>Loading...</v>
      </c>
      <c r="T304" s="44"/>
      <c r="U304" s="19" t="str">
        <f ca="1">IFERROR(__xludf.DUMMYFUNCTION("IMPORTXML(AI304, ""//li[strong[text()='Percent Franchised:']]"")"),"Loading...")</f>
        <v>Loading...</v>
      </c>
      <c r="V304" s="24"/>
      <c r="W304" s="19" t="str">
        <f ca="1">IFERROR(__xludf.DUMMYFUNCTION("IMPORTXML(AI304, ""//li[strong[text()='% International Units:']]"")"),"Loading...")</f>
        <v>Loading...</v>
      </c>
      <c r="X304" s="24"/>
      <c r="Y304" s="19" t="str">
        <f ca="1">IFERROR(__xludf.DUMMYFUNCTION("IMPORTXML(AI304, ""//li[strong[text()='US Franchised Units:']]"")"),"Loading...")</f>
        <v>Loading...</v>
      </c>
      <c r="Z304" s="24"/>
      <c r="AA304" s="14" t="str">
        <f t="shared" si="4"/>
        <v/>
      </c>
      <c r="AB304" s="19" t="str">
        <f ca="1">IFERROR(__xludf.DUMMYFUNCTION("IMPORTXML(AI304, ""//li[strong[text()='International Franchised Units:']]"")"),"Loading...")</f>
        <v>Loading...</v>
      </c>
      <c r="AC304" s="24"/>
      <c r="AD304" s="14" t="str">
        <f t="shared" si="5"/>
        <v/>
      </c>
      <c r="AE304" s="25" t="str">
        <f ca="1">IFERROR(__xludf.DUMMYFUNCTION("IMPORTXML(AI304, ""//li[strong[text()='Sales Growth %:']]"")"),"Loading...")</f>
        <v>Loading...</v>
      </c>
      <c r="AF304" s="24"/>
      <c r="AG304" s="25" t="str">
        <f ca="1">IFERROR(__xludf.DUMMYFUNCTION("IMPORTXML(AI304, ""//li[strong[text()='Unit Growth %:']]"")"),"Loading...")</f>
        <v>Loading...</v>
      </c>
      <c r="AH304" s="25"/>
      <c r="AI304" s="48" t="s">
        <v>310</v>
      </c>
      <c r="AJ304" s="27"/>
      <c r="AK304" s="27"/>
      <c r="AL304" s="27"/>
      <c r="AM304" s="27"/>
      <c r="AN304" s="27"/>
      <c r="AO304" s="27"/>
      <c r="AP304" s="27"/>
      <c r="AQ304" s="27"/>
    </row>
    <row r="305" spans="1:43" ht="14.25" customHeight="1">
      <c r="A305" s="42">
        <v>24.303999999999998</v>
      </c>
      <c r="B305" s="14">
        <v>2024</v>
      </c>
      <c r="C305" s="15">
        <v>304</v>
      </c>
      <c r="D305" s="16" t="str">
        <f ca="1">IFERROR(__xludf.DUMMYFUNCTION("IMPORTXML(AI305, ""//h1[@itemprop='headline']/span"")"),"304. Mr. Gatti's")</f>
        <v>304. Mr. Gatti's</v>
      </c>
      <c r="E305" s="17" t="str">
        <f ca="1">IFERROR(__xludf.DUMMYFUNCTION("REGEXEXTRACT(D305, ""\.\s*(.+)"")"),"Mr. Gatti's")</f>
        <v>Mr. Gatti's</v>
      </c>
      <c r="F305" s="18" t="str">
        <f ca="1">IFERROR(__xludf.DUMMYFUNCTION("IMPORTXML(AI305, ""//li[strong[text()='Investment Range:']]"")"),"Investment Range:")</f>
        <v>Investment Range:</v>
      </c>
      <c r="G305" s="43" t="str">
        <f ca="1">IFERROR(__xludf.DUMMYFUNCTION("""COMPUTED_VALUE""")," $2,033,733 - $3,608,900")</f>
        <v xml:space="preserve"> $2,033,733 - $3,608,900</v>
      </c>
      <c r="H305" s="18" t="str">
        <f ca="1">IFERROR(__xludf.DUMMYFUNCTION("SUBSTITUTE(REGEXEXTRACT(G305, ""\$(\d{1,3}(?:,\d{3})*)""), "","", ""."")
"),"2.033.733")</f>
        <v>2.033.733</v>
      </c>
      <c r="I305" s="19" t="str">
        <f ca="1">IFERROR(__xludf.DUMMYFUNCTION("SUBSTITUTE(REGEXEXTRACT(G305, ""-\s*\$(\d{1,3}(?:,\d{3})*)""), "","", ""."")
"),"3.608.900")</f>
        <v>3.608.900</v>
      </c>
      <c r="J305" s="19" t="str">
        <f ca="1">IFERROR(__xludf.DUMMYFUNCTION("IMPORTXML(AI305, ""//li[strong[text()='Initial Investment:']]"")"),"Loading...")</f>
        <v>Loading...</v>
      </c>
      <c r="K305" s="24"/>
      <c r="L305" s="20" t="str">
        <f ca="1">IFERROR(__xludf.DUMMYFUNCTION("IMPORTXML(AI305, ""//li[strong[text()='Category:']]"")"),"Loading...")</f>
        <v>Loading...</v>
      </c>
      <c r="M305" s="24"/>
      <c r="N305" s="19" t="str">
        <f ca="1">IFERROR(__xludf.DUMMYFUNCTION("IMPORTXML(AI305, ""//li[strong[text()='Global Sales:']]"")"),"Loading...")</f>
        <v>Loading...</v>
      </c>
      <c r="O305" s="24"/>
      <c r="P305" s="19" t="str">
        <f t="shared" si="3"/>
        <v/>
      </c>
      <c r="Q305" s="19" t="str">
        <f ca="1">IFERROR(__xludf.DUMMYFUNCTION("IMPORTXML(AI305, ""//li[strong[text()='US Units:']]"")"),"Loading...")</f>
        <v>Loading...</v>
      </c>
      <c r="R305" s="24"/>
      <c r="S305" s="19" t="str">
        <f ca="1">IFERROR(__xludf.DUMMYFUNCTION("IMPORTXML(AI305, ""//li[strong[text()='International Units:']]"")"),"#N/A")</f>
        <v>#N/A</v>
      </c>
      <c r="T305" s="44"/>
      <c r="U305" s="19" t="str">
        <f ca="1">IFERROR(__xludf.DUMMYFUNCTION("IMPORTXML(AI305, ""//li[strong[text()='Percent Franchised:']]"")"),"Loading...")</f>
        <v>Loading...</v>
      </c>
      <c r="V305" s="24"/>
      <c r="W305" s="19" t="str">
        <f ca="1">IFERROR(__xludf.DUMMYFUNCTION("IMPORTXML(AI305, ""//li[strong[text()='% International Units:']]"")"),"Loading...")</f>
        <v>Loading...</v>
      </c>
      <c r="X305" s="24"/>
      <c r="Y305" s="19" t="str">
        <f ca="1">IFERROR(__xludf.DUMMYFUNCTION("IMPORTXML(AI305, ""//li[strong[text()='US Franchised Units:']]"")"),"Loading...")</f>
        <v>Loading...</v>
      </c>
      <c r="Z305" s="24"/>
      <c r="AA305" s="14" t="str">
        <f t="shared" si="4"/>
        <v/>
      </c>
      <c r="AB305" s="19" t="str">
        <f ca="1">IFERROR(__xludf.DUMMYFUNCTION("IMPORTXML(AI305, ""//li[strong[text()='International Franchised Units:']]"")"),"Loading...")</f>
        <v>Loading...</v>
      </c>
      <c r="AC305" s="24"/>
      <c r="AD305" s="14" t="str">
        <f t="shared" si="5"/>
        <v/>
      </c>
      <c r="AE305" s="25" t="str">
        <f ca="1">IFERROR(__xludf.DUMMYFUNCTION("IMPORTXML(AI305, ""//li[strong[text()='Sales Growth %:']]"")"),"Loading...")</f>
        <v>Loading...</v>
      </c>
      <c r="AF305" s="24"/>
      <c r="AG305" s="25" t="str">
        <f ca="1">IFERROR(__xludf.DUMMYFUNCTION("IMPORTXML(AI305, ""//li[strong[text()='Unit Growth %:']]"")"),"Loading...")</f>
        <v>Loading...</v>
      </c>
      <c r="AH305" s="25"/>
      <c r="AI305" s="48" t="s">
        <v>311</v>
      </c>
      <c r="AJ305" s="27"/>
      <c r="AK305" s="27"/>
      <c r="AL305" s="27"/>
      <c r="AM305" s="27"/>
      <c r="AN305" s="27"/>
      <c r="AO305" s="27"/>
      <c r="AP305" s="27"/>
      <c r="AQ305" s="27"/>
    </row>
    <row r="306" spans="1:43" ht="14.25" customHeight="1">
      <c r="A306" s="42">
        <v>24.305000000000099</v>
      </c>
      <c r="B306" s="14">
        <v>2024</v>
      </c>
      <c r="C306" s="32">
        <v>305</v>
      </c>
      <c r="D306" s="16" t="str">
        <f ca="1">IFERROR(__xludf.DUMMYFUNCTION("IMPORTXML(AI306, ""//h1[@itemprop='headline']/span"")"),"305. Cheba Hut ""Toasted"" Subs")</f>
        <v>305. Cheba Hut "Toasted" Subs</v>
      </c>
      <c r="E306" s="17" t="str">
        <f ca="1">IFERROR(__xludf.DUMMYFUNCTION("REGEXEXTRACT(D306, ""\.\s*(.+)"")"),"Cheba Hut ""Toasted"" Subs")</f>
        <v>Cheba Hut "Toasted" Subs</v>
      </c>
      <c r="F306" s="18" t="str">
        <f ca="1">IFERROR(__xludf.DUMMYFUNCTION("IMPORTXML(AI306, ""//li[strong[text()='Investment Range:']]"")"),"Investment Range:")</f>
        <v>Investment Range:</v>
      </c>
      <c r="G306" s="43" t="str">
        <f ca="1">IFERROR(__xludf.DUMMYFUNCTION("""COMPUTED_VALUE""")," $631,150 - $2,171,900")</f>
        <v xml:space="preserve"> $631,150 - $2,171,900</v>
      </c>
      <c r="H306" s="18" t="str">
        <f ca="1">IFERROR(__xludf.DUMMYFUNCTION("SUBSTITUTE(REGEXEXTRACT(G306, ""\$(\d{1,3}(?:,\d{3})*)""), "","", ""."")
"),"631.150")</f>
        <v>631.150</v>
      </c>
      <c r="I306" s="19" t="str">
        <f ca="1">IFERROR(__xludf.DUMMYFUNCTION("SUBSTITUTE(REGEXEXTRACT(G306, ""-\s*\$(\d{1,3}(?:,\d{3})*)""), "","", ""."")
"),"2.171.900")</f>
        <v>2.171.900</v>
      </c>
      <c r="J306" s="19" t="str">
        <f ca="1">IFERROR(__xludf.DUMMYFUNCTION("IMPORTXML(AI306, ""//li[strong[text()='Initial Investment:']]"")"),"Loading...")</f>
        <v>Loading...</v>
      </c>
      <c r="K306" s="24"/>
      <c r="L306" s="20" t="str">
        <f ca="1">IFERROR(__xludf.DUMMYFUNCTION("IMPORTXML(AI306, ""//li[strong[text()='Category:']]"")"),"Loading...")</f>
        <v>Loading...</v>
      </c>
      <c r="M306" s="24"/>
      <c r="N306" s="19" t="str">
        <f ca="1">IFERROR(__xludf.DUMMYFUNCTION("IMPORTXML(AI306, ""//li[strong[text()='Global Sales:']]"")"),"Loading...")</f>
        <v>Loading...</v>
      </c>
      <c r="O306" s="24"/>
      <c r="P306" s="19" t="str">
        <f t="shared" si="3"/>
        <v/>
      </c>
      <c r="Q306" s="19" t="str">
        <f ca="1">IFERROR(__xludf.DUMMYFUNCTION("IMPORTXML(AI306, ""//li[strong[text()='US Units:']]"")"),"Loading...")</f>
        <v>Loading...</v>
      </c>
      <c r="R306" s="24"/>
      <c r="S306" s="19" t="str">
        <f ca="1">IFERROR(__xludf.DUMMYFUNCTION("IMPORTXML(AI306, ""//li[strong[text()='International Units:']]"")"),"Loading...")</f>
        <v>Loading...</v>
      </c>
      <c r="T306" s="44"/>
      <c r="U306" s="19" t="str">
        <f ca="1">IFERROR(__xludf.DUMMYFUNCTION("IMPORTXML(AI306, ""//li[strong[text()='Percent Franchised:']]"")"),"Loading...")</f>
        <v>Loading...</v>
      </c>
      <c r="V306" s="24"/>
      <c r="W306" s="19" t="str">
        <f ca="1">IFERROR(__xludf.DUMMYFUNCTION("IMPORTXML(AI306, ""//li[strong[text()='% International Units:']]"")"),"Loading...")</f>
        <v>Loading...</v>
      </c>
      <c r="X306" s="24"/>
      <c r="Y306" s="19" t="str">
        <f ca="1">IFERROR(__xludf.DUMMYFUNCTION("IMPORTXML(AI306, ""//li[strong[text()='US Franchised Units:']]"")"),"Loading...")</f>
        <v>Loading...</v>
      </c>
      <c r="Z306" s="24"/>
      <c r="AA306" s="14" t="str">
        <f t="shared" si="4"/>
        <v/>
      </c>
      <c r="AB306" s="19" t="str">
        <f ca="1">IFERROR(__xludf.DUMMYFUNCTION("IMPORTXML(AI306, ""//li[strong[text()='International Franchised Units:']]"")"),"Loading...")</f>
        <v>Loading...</v>
      </c>
      <c r="AC306" s="24"/>
      <c r="AD306" s="14" t="str">
        <f t="shared" si="5"/>
        <v/>
      </c>
      <c r="AE306" s="25" t="str">
        <f ca="1">IFERROR(__xludf.DUMMYFUNCTION("IMPORTXML(AI306, ""//li[strong[text()='Sales Growth %:']]"")"),"Loading...")</f>
        <v>Loading...</v>
      </c>
      <c r="AF306" s="24"/>
      <c r="AG306" s="25" t="str">
        <f ca="1">IFERROR(__xludf.DUMMYFUNCTION("IMPORTXML(AI306, ""//li[strong[text()='Unit Growth %:']]"")"),"Loading...")</f>
        <v>Loading...</v>
      </c>
      <c r="AH306" s="25"/>
      <c r="AI306" s="48" t="s">
        <v>312</v>
      </c>
      <c r="AJ306" s="27"/>
      <c r="AK306" s="27"/>
      <c r="AL306" s="27"/>
      <c r="AM306" s="27"/>
      <c r="AN306" s="27"/>
      <c r="AO306" s="27"/>
      <c r="AP306" s="27"/>
      <c r="AQ306" s="27"/>
    </row>
    <row r="307" spans="1:43" ht="14.25" customHeight="1">
      <c r="A307" s="42">
        <v>24.3060000000001</v>
      </c>
      <c r="B307" s="14">
        <v>2024</v>
      </c>
      <c r="C307" s="36">
        <v>306</v>
      </c>
      <c r="D307" s="16" t="str">
        <f ca="1">IFERROR(__xludf.DUMMYFUNCTION("IMPORTXML(AI307, ""//h1[@itemprop='headline']/span"")"),"306. MY SALON Suite")</f>
        <v>306. MY SALON Suite</v>
      </c>
      <c r="E307" s="17" t="str">
        <f ca="1">IFERROR(__xludf.DUMMYFUNCTION("REGEXEXTRACT(D307, ""\.\s*(.+)"")"),"MY SALON Suite")</f>
        <v>MY SALON Suite</v>
      </c>
      <c r="F307" s="18" t="str">
        <f ca="1">IFERROR(__xludf.DUMMYFUNCTION("IMPORTXML(AI307, ""//li[strong[text()='Investment Range:']]"")"),"Investment Range:")</f>
        <v>Investment Range:</v>
      </c>
      <c r="G307" s="43" t="str">
        <f ca="1">IFERROR(__xludf.DUMMYFUNCTION("""COMPUTED_VALUE""")," $984,999 – $1,577,236")</f>
        <v xml:space="preserve"> $984,999 – $1,577,236</v>
      </c>
      <c r="H307" s="18" t="str">
        <f ca="1">IFERROR(__xludf.DUMMYFUNCTION("SUBSTITUTE(REGEXEXTRACT(G307, ""\$(\d{1,3}(?:,\d{3})*)""), "","", ""."")
"),"984.999")</f>
        <v>984.999</v>
      </c>
      <c r="I307" s="19" t="str">
        <f ca="1">IFERROR(__xludf.DUMMYFUNCTION("SUBSTITUTE(REGEXEXTRACT(G307, ""-\s*\$(\d{1,3}(?:,\d{3})*)""), "","", ""."")
"),"#N/A")</f>
        <v>#N/A</v>
      </c>
      <c r="J307" s="19" t="str">
        <f ca="1">IFERROR(__xludf.DUMMYFUNCTION("IMPORTXML(AI307, ""//li[strong[text()='Initial Investment:']]"")"),"Loading...")</f>
        <v>Loading...</v>
      </c>
      <c r="K307" s="24"/>
      <c r="L307" s="20" t="str">
        <f ca="1">IFERROR(__xludf.DUMMYFUNCTION("IMPORTXML(AI307, ""//li[strong[text()='Category:']]"")"),"Loading...")</f>
        <v>Loading...</v>
      </c>
      <c r="M307" s="24"/>
      <c r="N307" s="19" t="str">
        <f ca="1">IFERROR(__xludf.DUMMYFUNCTION("IMPORTXML(AI307, ""//li[strong[text()='Global Sales:']]"")"),"Loading...")</f>
        <v>Loading...</v>
      </c>
      <c r="O307" s="24"/>
      <c r="P307" s="19" t="str">
        <f t="shared" si="3"/>
        <v/>
      </c>
      <c r="Q307" s="19" t="str">
        <f ca="1">IFERROR(__xludf.DUMMYFUNCTION("IMPORTXML(AI307, ""//li[strong[text()='US Units:']]"")"),"Loading...")</f>
        <v>Loading...</v>
      </c>
      <c r="R307" s="24"/>
      <c r="S307" s="19" t="str">
        <f ca="1">IFERROR(__xludf.DUMMYFUNCTION("IMPORTXML(AI307, ""//li[strong[text()='International Units:']]"")"),"Loading...")</f>
        <v>Loading...</v>
      </c>
      <c r="T307" s="44"/>
      <c r="U307" s="19" t="str">
        <f ca="1">IFERROR(__xludf.DUMMYFUNCTION("IMPORTXML(AI307, ""//li[strong[text()='Percent Franchised:']]"")"),"Loading...")</f>
        <v>Loading...</v>
      </c>
      <c r="V307" s="24"/>
      <c r="W307" s="19" t="str">
        <f ca="1">IFERROR(__xludf.DUMMYFUNCTION("IMPORTXML(AI307, ""//li[strong[text()='% International Units:']]"")"),"Loading...")</f>
        <v>Loading...</v>
      </c>
      <c r="X307" s="24"/>
      <c r="Y307" s="19" t="str">
        <f ca="1">IFERROR(__xludf.DUMMYFUNCTION("IMPORTXML(AI307, ""//li[strong[text()='US Franchised Units:']]"")"),"Loading...")</f>
        <v>Loading...</v>
      </c>
      <c r="Z307" s="24"/>
      <c r="AA307" s="14" t="str">
        <f t="shared" si="4"/>
        <v/>
      </c>
      <c r="AB307" s="19" t="str">
        <f ca="1">IFERROR(__xludf.DUMMYFUNCTION("IMPORTXML(AI307, ""//li[strong[text()='International Franchised Units:']]"")"),"Loading...")</f>
        <v>Loading...</v>
      </c>
      <c r="AC307" s="24"/>
      <c r="AD307" s="14" t="str">
        <f t="shared" si="5"/>
        <v/>
      </c>
      <c r="AE307" s="25" t="str">
        <f ca="1">IFERROR(__xludf.DUMMYFUNCTION("IMPORTXML(AI307, ""//li[strong[text()='Sales Growth %:']]"")"),"Loading...")</f>
        <v>Loading...</v>
      </c>
      <c r="AF307" s="24"/>
      <c r="AG307" s="25" t="str">
        <f ca="1">IFERROR(__xludf.DUMMYFUNCTION("IMPORTXML(AI307, ""//li[strong[text()='Unit Growth %:']]"")"),"Loading...")</f>
        <v>Loading...</v>
      </c>
      <c r="AH307" s="25"/>
      <c r="AI307" s="48" t="s">
        <v>313</v>
      </c>
      <c r="AJ307" s="27"/>
      <c r="AK307" s="27"/>
      <c r="AL307" s="27"/>
      <c r="AM307" s="27"/>
      <c r="AN307" s="27"/>
      <c r="AO307" s="27"/>
      <c r="AP307" s="27"/>
      <c r="AQ307" s="27"/>
    </row>
    <row r="308" spans="1:43" ht="14.25" customHeight="1">
      <c r="A308" s="42">
        <v>24.307000000000102</v>
      </c>
      <c r="B308" s="14">
        <v>2024</v>
      </c>
      <c r="C308" s="36">
        <v>307</v>
      </c>
      <c r="D308" s="16" t="str">
        <f ca="1">IFERROR(__xludf.DUMMYFUNCTION("IMPORTXML(AI308, ""//h1[@itemprop='headline']/span"")"),"307. Nekter Juice Bar")</f>
        <v>307. Nekter Juice Bar</v>
      </c>
      <c r="E308" s="17" t="str">
        <f ca="1">IFERROR(__xludf.DUMMYFUNCTION("REGEXEXTRACT(D308, ""\.\s*(.+)"")"),"Nekter Juice Bar")</f>
        <v>Nekter Juice Bar</v>
      </c>
      <c r="F308" s="18" t="str">
        <f ca="1">IFERROR(__xludf.DUMMYFUNCTION("IMPORTXML(AI308, ""//li[strong[text()='Investment Range:']]"")"),"Investment Range:")</f>
        <v>Investment Range:</v>
      </c>
      <c r="G308" s="43" t="str">
        <f ca="1">IFERROR(__xludf.DUMMYFUNCTION("""COMPUTED_VALUE""")," $246,578 - $640,838")</f>
        <v xml:space="preserve"> $246,578 - $640,838</v>
      </c>
      <c r="H308" s="18" t="str">
        <f ca="1">IFERROR(__xludf.DUMMYFUNCTION("SUBSTITUTE(REGEXEXTRACT(G308, ""\$(\d{1,3}(?:,\d{3})*)""), "","", ""."")
"),"246.578")</f>
        <v>246.578</v>
      </c>
      <c r="I308" s="19" t="str">
        <f ca="1">IFERROR(__xludf.DUMMYFUNCTION("SUBSTITUTE(REGEXEXTRACT(G308, ""-\s*\$(\d{1,3}(?:,\d{3})*)""), "","", ""."")
"),"640.838")</f>
        <v>640.838</v>
      </c>
      <c r="J308" s="19" t="str">
        <f ca="1">IFERROR(__xludf.DUMMYFUNCTION("IMPORTXML(AI308, ""//li[strong[text()='Initial Investment:']]"")"),"Loading...")</f>
        <v>Loading...</v>
      </c>
      <c r="K308" s="24"/>
      <c r="L308" s="20" t="str">
        <f ca="1">IFERROR(__xludf.DUMMYFUNCTION("IMPORTXML(AI308, ""//li[strong[text()='Category:']]"")"),"Loading...")</f>
        <v>Loading...</v>
      </c>
      <c r="M308" s="24"/>
      <c r="N308" s="19" t="str">
        <f ca="1">IFERROR(__xludf.DUMMYFUNCTION("IMPORTXML(AI308, ""//li[strong[text()='Global Sales:']]"")"),"Loading...")</f>
        <v>Loading...</v>
      </c>
      <c r="O308" s="24"/>
      <c r="P308" s="19" t="str">
        <f t="shared" si="3"/>
        <v/>
      </c>
      <c r="Q308" s="19" t="str">
        <f ca="1">IFERROR(__xludf.DUMMYFUNCTION("IMPORTXML(AI308, ""//li[strong[text()='US Units:']]"")"),"Loading...")</f>
        <v>Loading...</v>
      </c>
      <c r="R308" s="24"/>
      <c r="S308" s="19" t="str">
        <f ca="1">IFERROR(__xludf.DUMMYFUNCTION("IMPORTXML(AI308, ""//li[strong[text()='International Units:']]"")"),"Loading...")</f>
        <v>Loading...</v>
      </c>
      <c r="T308" s="44"/>
      <c r="U308" s="19" t="str">
        <f ca="1">IFERROR(__xludf.DUMMYFUNCTION("IMPORTXML(AI308, ""//li[strong[text()='Percent Franchised:']]"")"),"Loading...")</f>
        <v>Loading...</v>
      </c>
      <c r="V308" s="24"/>
      <c r="W308" s="19" t="str">
        <f ca="1">IFERROR(__xludf.DUMMYFUNCTION("IMPORTXML(AI308, ""//li[strong[text()='% International Units:']]"")"),"Loading...")</f>
        <v>Loading...</v>
      </c>
      <c r="X308" s="24"/>
      <c r="Y308" s="19" t="str">
        <f ca="1">IFERROR(__xludf.DUMMYFUNCTION("IMPORTXML(AI308, ""//li[strong[text()='US Franchised Units:']]"")"),"Loading...")</f>
        <v>Loading...</v>
      </c>
      <c r="Z308" s="24"/>
      <c r="AA308" s="14" t="str">
        <f t="shared" si="4"/>
        <v/>
      </c>
      <c r="AB308" s="19" t="str">
        <f ca="1">IFERROR(__xludf.DUMMYFUNCTION("IMPORTXML(AI308, ""//li[strong[text()='International Franchised Units:']]"")"),"Loading...")</f>
        <v>Loading...</v>
      </c>
      <c r="AC308" s="24"/>
      <c r="AD308" s="14" t="str">
        <f t="shared" si="5"/>
        <v/>
      </c>
      <c r="AE308" s="25" t="str">
        <f ca="1">IFERROR(__xludf.DUMMYFUNCTION("IMPORTXML(AI308, ""//li[strong[text()='Sales Growth %:']]"")"),"Loading...")</f>
        <v>Loading...</v>
      </c>
      <c r="AF308" s="24"/>
      <c r="AG308" s="25" t="str">
        <f ca="1">IFERROR(__xludf.DUMMYFUNCTION("IMPORTXML(AI308, ""//li[strong[text()='Unit Growth %:']]"")"),"Loading...")</f>
        <v>Loading...</v>
      </c>
      <c r="AH308" s="25"/>
      <c r="AI308" s="48" t="s">
        <v>314</v>
      </c>
      <c r="AJ308" s="27"/>
      <c r="AK308" s="27"/>
      <c r="AL308" s="27"/>
      <c r="AM308" s="27"/>
      <c r="AN308" s="27"/>
      <c r="AO308" s="27"/>
      <c r="AP308" s="27"/>
      <c r="AQ308" s="27"/>
    </row>
    <row r="309" spans="1:43" ht="14.25" customHeight="1">
      <c r="A309" s="42">
        <v>24.308000000000099</v>
      </c>
      <c r="B309" s="14">
        <v>2024</v>
      </c>
      <c r="C309" s="15">
        <v>308</v>
      </c>
      <c r="D309" s="16" t="str">
        <f ca="1">IFERROR(__xludf.DUMMYFUNCTION("IMPORTXML(AI309, ""//h1[@itemprop='headline']/span"")"),"308. Massage Heights")</f>
        <v>308. Massage Heights</v>
      </c>
      <c r="E309" s="17" t="str">
        <f ca="1">IFERROR(__xludf.DUMMYFUNCTION("REGEXEXTRACT(D309, ""\.\s*(.+)"")"),"Massage Heights")</f>
        <v>Massage Heights</v>
      </c>
      <c r="F309" s="18" t="str">
        <f ca="1">IFERROR(__xludf.DUMMYFUNCTION("IMPORTXML(AI309, ""//li[strong[text()='Investment Range:']]"")"),"Investment Range:")</f>
        <v>Investment Range:</v>
      </c>
      <c r="G309" s="43" t="str">
        <f ca="1">IFERROR(__xludf.DUMMYFUNCTION("""COMPUTED_VALUE""")," $472,199 - $551,771")</f>
        <v xml:space="preserve"> $472,199 - $551,771</v>
      </c>
      <c r="H309" s="18" t="str">
        <f ca="1">IFERROR(__xludf.DUMMYFUNCTION("SUBSTITUTE(REGEXEXTRACT(G309, ""\$(\d{1,3}(?:,\d{3})*)""), "","", ""."")
"),"472.199")</f>
        <v>472.199</v>
      </c>
      <c r="I309" s="19" t="str">
        <f ca="1">IFERROR(__xludf.DUMMYFUNCTION("SUBSTITUTE(REGEXEXTRACT(G309, ""-\s*\$(\d{1,3}(?:,\d{3})*)""), "","", ""."")
"),"551.771")</f>
        <v>551.771</v>
      </c>
      <c r="J309" s="19" t="str">
        <f ca="1">IFERROR(__xludf.DUMMYFUNCTION("IMPORTXML(AI309, ""//li[strong[text()='Initial Investment:']]"")"),"Loading...")</f>
        <v>Loading...</v>
      </c>
      <c r="K309" s="24"/>
      <c r="L309" s="20" t="str">
        <f ca="1">IFERROR(__xludf.DUMMYFUNCTION("IMPORTXML(AI309, ""//li[strong[text()='Category:']]"")"),"Loading...")</f>
        <v>Loading...</v>
      </c>
      <c r="M309" s="24"/>
      <c r="N309" s="19" t="str">
        <f ca="1">IFERROR(__xludf.DUMMYFUNCTION("IMPORTXML(AI309, ""//li[strong[text()='Global Sales:']]"")"),"Global Sales:")</f>
        <v>Global Sales:</v>
      </c>
      <c r="O309" s="24" t="str">
        <f ca="1">IFERROR(__xludf.DUMMYFUNCTION("""COMPUTED_VALUE""")," $120,000,000")</f>
        <v xml:space="preserve"> $120,000,000</v>
      </c>
      <c r="P309" s="19" t="str">
        <f t="shared" ca="1" si="3"/>
        <v xml:space="preserve"> 120.000.000</v>
      </c>
      <c r="Q309" s="19" t="str">
        <f ca="1">IFERROR(__xludf.DUMMYFUNCTION("IMPORTXML(AI309, ""//li[strong[text()='US Units:']]"")"),"Loading...")</f>
        <v>Loading...</v>
      </c>
      <c r="R309" s="24"/>
      <c r="S309" s="19" t="str">
        <f ca="1">IFERROR(__xludf.DUMMYFUNCTION("IMPORTXML(AI309, ""//li[strong[text()='International Units:']]"")"),"Loading...")</f>
        <v>Loading...</v>
      </c>
      <c r="T309" s="44"/>
      <c r="U309" s="19" t="str">
        <f ca="1">IFERROR(__xludf.DUMMYFUNCTION("IMPORTXML(AI309, ""//li[strong[text()='Percent Franchised:']]"")"),"Loading...")</f>
        <v>Loading...</v>
      </c>
      <c r="V309" s="24"/>
      <c r="W309" s="19" t="str">
        <f ca="1">IFERROR(__xludf.DUMMYFUNCTION("IMPORTXML(AI309, ""//li[strong[text()='% International Units:']]"")"),"% International Units:")</f>
        <v>% International Units:</v>
      </c>
      <c r="X309" s="45">
        <f ca="1">IFERROR(__xludf.DUMMYFUNCTION("""COMPUTED_VALUE"""),0.1)</f>
        <v>0.1</v>
      </c>
      <c r="Y309" s="19" t="str">
        <f ca="1">IFERROR(__xludf.DUMMYFUNCTION("IMPORTXML(AI309, ""//li[strong[text()='US Franchised Units:']]"")"),"Loading...")</f>
        <v>Loading...</v>
      </c>
      <c r="Z309" s="24"/>
      <c r="AA309" s="14" t="str">
        <f t="shared" si="4"/>
        <v/>
      </c>
      <c r="AB309" s="19" t="str">
        <f ca="1">IFERROR(__xludf.DUMMYFUNCTION("IMPORTXML(AI309, ""//li[strong[text()='International Franchised Units:']]"")"),"Loading...")</f>
        <v>Loading...</v>
      </c>
      <c r="AC309" s="24"/>
      <c r="AD309" s="14" t="str">
        <f t="shared" si="5"/>
        <v/>
      </c>
      <c r="AE309" s="25" t="str">
        <f ca="1">IFERROR(__xludf.DUMMYFUNCTION("IMPORTXML(AI309, ""//li[strong[text()='Sales Growth %:']]"")"),"Loading...")</f>
        <v>Loading...</v>
      </c>
      <c r="AF309" s="24"/>
      <c r="AG309" s="25" t="str">
        <f ca="1">IFERROR(__xludf.DUMMYFUNCTION("IMPORTXML(AI309, ""//li[strong[text()='Unit Growth %:']]"")"),"Loading...")</f>
        <v>Loading...</v>
      </c>
      <c r="AH309" s="25"/>
      <c r="AI309" s="48" t="s">
        <v>315</v>
      </c>
      <c r="AJ309" s="27"/>
      <c r="AK309" s="27"/>
      <c r="AL309" s="27"/>
      <c r="AM309" s="27"/>
      <c r="AN309" s="27"/>
      <c r="AO309" s="27"/>
      <c r="AP309" s="27"/>
      <c r="AQ309" s="27"/>
    </row>
    <row r="310" spans="1:43" ht="14.25" customHeight="1">
      <c r="A310" s="42">
        <v>24.309000000000101</v>
      </c>
      <c r="B310" s="14">
        <v>2024</v>
      </c>
      <c r="C310" s="32">
        <v>309</v>
      </c>
      <c r="D310" s="16" t="str">
        <f ca="1">IFERROR(__xludf.DUMMYFUNCTION("IMPORTXML(AI310, ""//h1[@itemprop='headline']/span"")"),"309. Hawaiian Bros Island Grill")</f>
        <v>309. Hawaiian Bros Island Grill</v>
      </c>
      <c r="E310" s="17" t="str">
        <f ca="1">IFERROR(__xludf.DUMMYFUNCTION("REGEXEXTRACT(D310, ""\.\s*(.+)"")"),"Hawaiian Bros Island Grill")</f>
        <v>Hawaiian Bros Island Grill</v>
      </c>
      <c r="F310" s="18" t="str">
        <f ca="1">IFERROR(__xludf.DUMMYFUNCTION("IMPORTXML(AI310, ""//li[strong[text()='Investment Range:']]"")"),"#REF!")</f>
        <v>#REF!</v>
      </c>
      <c r="G310" s="43"/>
      <c r="H310" s="18" t="str">
        <f ca="1">IFERROR(__xludf.DUMMYFUNCTION("SUBSTITUTE(REGEXEXTRACT(G310, ""\$(\d{1,3}(?:,\d{3})*)""), "","", ""."")
"),"#N/A")</f>
        <v>#N/A</v>
      </c>
      <c r="I310" s="19" t="str">
        <f ca="1">IFERROR(__xludf.DUMMYFUNCTION("SUBSTITUTE(REGEXEXTRACT(G310, ""-\s*\$(\d{1,3}(?:,\d{3})*)""), "","", ""."")
"),"#N/A")</f>
        <v>#N/A</v>
      </c>
      <c r="J310" s="19" t="str">
        <f ca="1">IFERROR(__xludf.DUMMYFUNCTION("IMPORTXML(AI310, ""//li[strong[text()='Initial Investment:']]"")"),"Loading...")</f>
        <v>Loading...</v>
      </c>
      <c r="K310" s="24"/>
      <c r="L310" s="20" t="str">
        <f ca="1">IFERROR(__xludf.DUMMYFUNCTION("IMPORTXML(AI310, ""//li[strong[text()='Category:']]"")"),"Loading...")</f>
        <v>Loading...</v>
      </c>
      <c r="M310" s="24"/>
      <c r="N310" s="19" t="str">
        <f ca="1">IFERROR(__xludf.DUMMYFUNCTION("IMPORTXML(AI310, ""//li[strong[text()='Global Sales:']]"")"),"Loading...")</f>
        <v>Loading...</v>
      </c>
      <c r="O310" s="24"/>
      <c r="P310" s="19" t="str">
        <f t="shared" si="3"/>
        <v/>
      </c>
      <c r="Q310" s="19" t="str">
        <f ca="1">IFERROR(__xludf.DUMMYFUNCTION("IMPORTXML(AI310, ""//li[strong[text()='US Units:']]"")"),"Loading...")</f>
        <v>Loading...</v>
      </c>
      <c r="R310" s="24"/>
      <c r="S310" s="19" t="str">
        <f ca="1">IFERROR(__xludf.DUMMYFUNCTION("IMPORTXML(AI310, ""//li[strong[text()='International Units:']]"")"),"Loading...")</f>
        <v>Loading...</v>
      </c>
      <c r="T310" s="44"/>
      <c r="U310" s="19" t="str">
        <f ca="1">IFERROR(__xludf.DUMMYFUNCTION("IMPORTXML(AI310, ""//li[strong[text()='Percent Franchised:']]"")"),"Loading...")</f>
        <v>Loading...</v>
      </c>
      <c r="V310" s="24"/>
      <c r="W310" s="19" t="str">
        <f ca="1">IFERROR(__xludf.DUMMYFUNCTION("IMPORTXML(AI310, ""//li[strong[text()='% International Units:']]"")"),"Loading...")</f>
        <v>Loading...</v>
      </c>
      <c r="X310" s="24"/>
      <c r="Y310" s="19" t="str">
        <f ca="1">IFERROR(__xludf.DUMMYFUNCTION("IMPORTXML(AI310, ""//li[strong[text()='US Franchised Units:']]"")"),"Loading...")</f>
        <v>Loading...</v>
      </c>
      <c r="Z310" s="24"/>
      <c r="AA310" s="14" t="str">
        <f t="shared" si="4"/>
        <v/>
      </c>
      <c r="AB310" s="19" t="str">
        <f ca="1">IFERROR(__xludf.DUMMYFUNCTION("IMPORTXML(AI310, ""//li[strong[text()='International Franchised Units:']]"")"),"Loading...")</f>
        <v>Loading...</v>
      </c>
      <c r="AC310" s="24"/>
      <c r="AD310" s="14" t="str">
        <f t="shared" si="5"/>
        <v/>
      </c>
      <c r="AE310" s="25" t="str">
        <f ca="1">IFERROR(__xludf.DUMMYFUNCTION("IMPORTXML(AI310, ""//li[strong[text()='Sales Growth %:']]"")"),"Loading...")</f>
        <v>Loading...</v>
      </c>
      <c r="AF310" s="24"/>
      <c r="AG310" s="25" t="str">
        <f ca="1">IFERROR(__xludf.DUMMYFUNCTION("IMPORTXML(AI310, ""//li[strong[text()='Unit Growth %:']]"")"),"Loading...")</f>
        <v>Loading...</v>
      </c>
      <c r="AH310" s="25"/>
      <c r="AI310" s="48" t="s">
        <v>316</v>
      </c>
      <c r="AJ310" s="27"/>
      <c r="AK310" s="27"/>
      <c r="AL310" s="27"/>
      <c r="AM310" s="27"/>
      <c r="AN310" s="27"/>
      <c r="AO310" s="27"/>
      <c r="AP310" s="27"/>
      <c r="AQ310" s="27"/>
    </row>
    <row r="311" spans="1:43" ht="14.25" customHeight="1">
      <c r="A311" s="42">
        <v>24.310000000000102</v>
      </c>
      <c r="B311" s="14">
        <v>2024</v>
      </c>
      <c r="C311" s="36">
        <v>310</v>
      </c>
      <c r="D311" s="16" t="str">
        <f ca="1">IFERROR(__xludf.DUMMYFUNCTION("IMPORTXML(AI311, ""//h1[@itemprop='headline']/span"")"),"402. Mosquito Authority")</f>
        <v>402. Mosquito Authority</v>
      </c>
      <c r="E311" s="17" t="str">
        <f ca="1">IFERROR(__xludf.DUMMYFUNCTION("REGEXEXTRACT(D311, ""\.\s*(.+)"")"),"Mosquito Authority")</f>
        <v>Mosquito Authority</v>
      </c>
      <c r="F311" s="18" t="str">
        <f ca="1">IFERROR(__xludf.DUMMYFUNCTION("IMPORTXML(AI311, ""//li[strong[text()='Investment Range:']]"")"),"Loading...")</f>
        <v>Loading...</v>
      </c>
      <c r="G311" s="43"/>
      <c r="H311" s="18" t="str">
        <f ca="1">IFERROR(__xludf.DUMMYFUNCTION("SUBSTITUTE(REGEXEXTRACT(G311, ""\$(\d{1,3}(?:,\d{3})*)""), "","", ""."")
"),"#N/A")</f>
        <v>#N/A</v>
      </c>
      <c r="I311" s="19" t="str">
        <f ca="1">IFERROR(__xludf.DUMMYFUNCTION("SUBSTITUTE(REGEXEXTRACT(G311, ""-\s*\$(\d{1,3}(?:,\d{3})*)""), "","", ""."")
"),"#N/A")</f>
        <v>#N/A</v>
      </c>
      <c r="J311" s="19" t="str">
        <f ca="1">IFERROR(__xludf.DUMMYFUNCTION("IMPORTXML(AI311, ""//li[strong[text()='Initial Investment:']]"")"),"Loading...")</f>
        <v>Loading...</v>
      </c>
      <c r="K311" s="24"/>
      <c r="L311" s="20" t="str">
        <f ca="1">IFERROR(__xludf.DUMMYFUNCTION("IMPORTXML(AI311, ""//li[strong[text()='Category:']]"")"),"Loading...")</f>
        <v>Loading...</v>
      </c>
      <c r="M311" s="24"/>
      <c r="N311" s="19" t="str">
        <f ca="1">IFERROR(__xludf.DUMMYFUNCTION("IMPORTXML(AI311, ""//li[strong[text()='Global Sales:']]"")"),"Loading...")</f>
        <v>Loading...</v>
      </c>
      <c r="O311" s="24"/>
      <c r="P311" s="19" t="str">
        <f t="shared" si="3"/>
        <v/>
      </c>
      <c r="Q311" s="19" t="str">
        <f ca="1">IFERROR(__xludf.DUMMYFUNCTION("IMPORTXML(AI311, ""//li[strong[text()='US Units:']]"")"),"Loading...")</f>
        <v>Loading...</v>
      </c>
      <c r="R311" s="24"/>
      <c r="S311" s="19" t="str">
        <f ca="1">IFERROR(__xludf.DUMMYFUNCTION("IMPORTXML(AI311, ""//li[strong[text()='International Units:']]"")"),"Loading...")</f>
        <v>Loading...</v>
      </c>
      <c r="T311" s="44"/>
      <c r="U311" s="19" t="str">
        <f ca="1">IFERROR(__xludf.DUMMYFUNCTION("IMPORTXML(AI311, ""//li[strong[text()='Percent Franchised:']]"")"),"Loading...")</f>
        <v>Loading...</v>
      </c>
      <c r="V311" s="24"/>
      <c r="W311" s="19" t="str">
        <f ca="1">IFERROR(__xludf.DUMMYFUNCTION("IMPORTXML(AI311, ""//li[strong[text()='% International Units:']]"")"),"Loading...")</f>
        <v>Loading...</v>
      </c>
      <c r="X311" s="24"/>
      <c r="Y311" s="19" t="str">
        <f ca="1">IFERROR(__xludf.DUMMYFUNCTION("IMPORTXML(AI311, ""//li[strong[text()='US Franchised Units:']]"")"),"Loading...")</f>
        <v>Loading...</v>
      </c>
      <c r="Z311" s="24"/>
      <c r="AA311" s="14" t="str">
        <f t="shared" si="4"/>
        <v/>
      </c>
      <c r="AB311" s="19" t="str">
        <f ca="1">IFERROR(__xludf.DUMMYFUNCTION("IMPORTXML(AI311, ""//li[strong[text()='International Franchised Units:']]"")"),"Loading...")</f>
        <v>Loading...</v>
      </c>
      <c r="AC311" s="24"/>
      <c r="AD311" s="14" t="str">
        <f t="shared" si="5"/>
        <v/>
      </c>
      <c r="AE311" s="25" t="str">
        <f ca="1">IFERROR(__xludf.DUMMYFUNCTION("IMPORTXML(AI311, ""//li[strong[text()='Sales Growth %:']]"")"),"Loading...")</f>
        <v>Loading...</v>
      </c>
      <c r="AF311" s="24"/>
      <c r="AG311" s="25" t="str">
        <f ca="1">IFERROR(__xludf.DUMMYFUNCTION("IMPORTXML(AI311, ""//li[strong[text()='Unit Growth %:']]"")"),"Loading...")</f>
        <v>Loading...</v>
      </c>
      <c r="AH311" s="25"/>
      <c r="AI311" s="48" t="s">
        <v>317</v>
      </c>
      <c r="AJ311" s="27"/>
      <c r="AK311" s="27"/>
      <c r="AL311" s="27"/>
      <c r="AM311" s="27"/>
      <c r="AN311" s="27"/>
      <c r="AO311" s="27"/>
      <c r="AP311" s="27"/>
      <c r="AQ311" s="27"/>
    </row>
    <row r="312" spans="1:43" ht="14.25" customHeight="1">
      <c r="A312" s="42">
        <v>24.311000000000099</v>
      </c>
      <c r="B312" s="14">
        <v>2024</v>
      </c>
      <c r="C312" s="36">
        <v>311</v>
      </c>
      <c r="D312" s="16" t="str">
        <f ca="1">IFERROR(__xludf.DUMMYFUNCTION("IMPORTXML(AI312, ""//h1[@itemprop='headline']/span"")"),"311. Wings Etc.")</f>
        <v>311. Wings Etc.</v>
      </c>
      <c r="E312" s="17" t="str">
        <f ca="1">IFERROR(__xludf.DUMMYFUNCTION("REGEXEXTRACT(D312, ""\.\s*(.+)"")"),"Wings Etc.")</f>
        <v>Wings Etc.</v>
      </c>
      <c r="F312" s="18" t="str">
        <f ca="1">IFERROR(__xludf.DUMMYFUNCTION("IMPORTXML(AI312, ""//li[strong[text()='Investment Range:']]"")"),"#N/A")</f>
        <v>#N/A</v>
      </c>
      <c r="G312" s="43"/>
      <c r="H312" s="18" t="str">
        <f ca="1">IFERROR(__xludf.DUMMYFUNCTION("SUBSTITUTE(REGEXEXTRACT(G312, ""\$(\d{1,3}(?:,\d{3})*)""), "","", ""."")
"),"#N/A")</f>
        <v>#N/A</v>
      </c>
      <c r="I312" s="19" t="str">
        <f ca="1">IFERROR(__xludf.DUMMYFUNCTION("SUBSTITUTE(REGEXEXTRACT(G312, ""-\s*\$(\d{1,3}(?:,\d{3})*)""), "","", ""."")
"),"#N/A")</f>
        <v>#N/A</v>
      </c>
      <c r="J312" s="19" t="str">
        <f ca="1">IFERROR(__xludf.DUMMYFUNCTION("IMPORTXML(AI312, ""//li[strong[text()='Initial Investment:']]"")"),"Loading...")</f>
        <v>Loading...</v>
      </c>
      <c r="K312" s="24"/>
      <c r="L312" s="20" t="str">
        <f ca="1">IFERROR(__xludf.DUMMYFUNCTION("IMPORTXML(AI312, ""//li[strong[text()='Category:']]"")"),"Loading...")</f>
        <v>Loading...</v>
      </c>
      <c r="M312" s="24"/>
      <c r="N312" s="19" t="str">
        <f ca="1">IFERROR(__xludf.DUMMYFUNCTION("IMPORTXML(AI312, ""//li[strong[text()='Global Sales:']]"")"),"Loading...")</f>
        <v>Loading...</v>
      </c>
      <c r="O312" s="24"/>
      <c r="P312" s="19" t="str">
        <f t="shared" si="3"/>
        <v/>
      </c>
      <c r="Q312" s="19" t="str">
        <f ca="1">IFERROR(__xludf.DUMMYFUNCTION("IMPORTXML(AI312, ""//li[strong[text()='US Units:']]"")"),"Loading...")</f>
        <v>Loading...</v>
      </c>
      <c r="R312" s="24"/>
      <c r="S312" s="19" t="str">
        <f ca="1">IFERROR(__xludf.DUMMYFUNCTION("IMPORTXML(AI312, ""//li[strong[text()='International Units:']]"")"),"Loading...")</f>
        <v>Loading...</v>
      </c>
      <c r="T312" s="44"/>
      <c r="U312" s="19" t="str">
        <f ca="1">IFERROR(__xludf.DUMMYFUNCTION("IMPORTXML(AI312, ""//li[strong[text()='Percent Franchised:']]"")"),"Loading...")</f>
        <v>Loading...</v>
      </c>
      <c r="V312" s="24"/>
      <c r="W312" s="19" t="str">
        <f ca="1">IFERROR(__xludf.DUMMYFUNCTION("IMPORTXML(AI312, ""//li[strong[text()='% International Units:']]"")"),"Loading...")</f>
        <v>Loading...</v>
      </c>
      <c r="X312" s="24"/>
      <c r="Y312" s="19" t="str">
        <f ca="1">IFERROR(__xludf.DUMMYFUNCTION("IMPORTXML(AI312, ""//li[strong[text()='US Franchised Units:']]"")"),"Loading...")</f>
        <v>Loading...</v>
      </c>
      <c r="Z312" s="24"/>
      <c r="AA312" s="14" t="str">
        <f t="shared" si="4"/>
        <v/>
      </c>
      <c r="AB312" s="19" t="str">
        <f ca="1">IFERROR(__xludf.DUMMYFUNCTION("IMPORTXML(AI312, ""//li[strong[text()='International Franchised Units:']]"")"),"Loading...")</f>
        <v>Loading...</v>
      </c>
      <c r="AC312" s="24"/>
      <c r="AD312" s="14" t="str">
        <f t="shared" si="5"/>
        <v/>
      </c>
      <c r="AE312" s="25" t="str">
        <f ca="1">IFERROR(__xludf.DUMMYFUNCTION("IMPORTXML(AI312, ""//li[strong[text()='Sales Growth %:']]"")"),"Loading...")</f>
        <v>Loading...</v>
      </c>
      <c r="AF312" s="24"/>
      <c r="AG312" s="25" t="str">
        <f ca="1">IFERROR(__xludf.DUMMYFUNCTION("IMPORTXML(AI312, ""//li[strong[text()='Unit Growth %:']]"")"),"Loading...")</f>
        <v>Loading...</v>
      </c>
      <c r="AH312" s="25"/>
      <c r="AI312" s="48" t="s">
        <v>318</v>
      </c>
      <c r="AJ312" s="27"/>
      <c r="AK312" s="27"/>
      <c r="AL312" s="27"/>
      <c r="AM312" s="27"/>
      <c r="AN312" s="27"/>
      <c r="AO312" s="27"/>
      <c r="AP312" s="27"/>
      <c r="AQ312" s="27"/>
    </row>
    <row r="313" spans="1:43" ht="14.25" customHeight="1">
      <c r="A313" s="42">
        <v>24.312000000000101</v>
      </c>
      <c r="B313" s="14">
        <v>2024</v>
      </c>
      <c r="C313" s="15">
        <v>312</v>
      </c>
      <c r="D313" s="16" t="str">
        <f ca="1">IFERROR(__xludf.DUMMYFUNCTION("IMPORTXML(AI313, ""//h1[@itemprop='headline']/span"")"),"312. Salata")</f>
        <v>312. Salata</v>
      </c>
      <c r="E313" s="17" t="str">
        <f ca="1">IFERROR(__xludf.DUMMYFUNCTION("REGEXEXTRACT(D313, ""\.\s*(.+)"")"),"Salata")</f>
        <v>Salata</v>
      </c>
      <c r="F313" s="18" t="str">
        <f ca="1">IFERROR(__xludf.DUMMYFUNCTION("IMPORTXML(AI313, ""//li[strong[text()='Investment Range:']]"")"),"Investment Range:")</f>
        <v>Investment Range:</v>
      </c>
      <c r="G313" s="43" t="str">
        <f ca="1">IFERROR(__xludf.DUMMYFUNCTION("""COMPUTED_VALUE""")," $776,000 - $1,163,000")</f>
        <v xml:space="preserve"> $776,000 - $1,163,000</v>
      </c>
      <c r="H313" s="18" t="str">
        <f ca="1">IFERROR(__xludf.DUMMYFUNCTION("SUBSTITUTE(REGEXEXTRACT(G313, ""\$(\d{1,3}(?:,\d{3})*)""), "","", ""."")
"),"776.000")</f>
        <v>776.000</v>
      </c>
      <c r="I313" s="19" t="str">
        <f ca="1">IFERROR(__xludf.DUMMYFUNCTION("SUBSTITUTE(REGEXEXTRACT(G313, ""-\s*\$(\d{1,3}(?:,\d{3})*)""), "","", ""."")
"),"1.163.000")</f>
        <v>1.163.000</v>
      </c>
      <c r="J313" s="19" t="str">
        <f ca="1">IFERROR(__xludf.DUMMYFUNCTION("IMPORTXML(AI313, ""//li[strong[text()='Initial Investment:']]"")"),"Loading...")</f>
        <v>Loading...</v>
      </c>
      <c r="K313" s="24"/>
      <c r="L313" s="20" t="str">
        <f ca="1">IFERROR(__xludf.DUMMYFUNCTION("IMPORTXML(AI313, ""//li[strong[text()='Category:']]"")"),"Loading...")</f>
        <v>Loading...</v>
      </c>
      <c r="M313" s="24"/>
      <c r="N313" s="19" t="str">
        <f ca="1">IFERROR(__xludf.DUMMYFUNCTION("IMPORTXML(AI313, ""//li[strong[text()='Global Sales:']]"")"),"Loading...")</f>
        <v>Loading...</v>
      </c>
      <c r="O313" s="24"/>
      <c r="P313" s="19" t="str">
        <f t="shared" si="3"/>
        <v/>
      </c>
      <c r="Q313" s="19" t="str">
        <f ca="1">IFERROR(__xludf.DUMMYFUNCTION("IMPORTXML(AI313, ""//li[strong[text()='US Units:']]"")"),"Loading...")</f>
        <v>Loading...</v>
      </c>
      <c r="R313" s="24"/>
      <c r="S313" s="19" t="str">
        <f ca="1">IFERROR(__xludf.DUMMYFUNCTION("IMPORTXML(AI313, ""//li[strong[text()='International Units:']]"")"),"Loading...")</f>
        <v>Loading...</v>
      </c>
      <c r="T313" s="44"/>
      <c r="U313" s="19" t="str">
        <f ca="1">IFERROR(__xludf.DUMMYFUNCTION("IMPORTXML(AI313, ""//li[strong[text()='Percent Franchised:']]"")"),"Loading...")</f>
        <v>Loading...</v>
      </c>
      <c r="V313" s="24"/>
      <c r="W313" s="19" t="str">
        <f ca="1">IFERROR(__xludf.DUMMYFUNCTION("IMPORTXML(AI313, ""//li[strong[text()='% International Units:']]"")"),"Loading...")</f>
        <v>Loading...</v>
      </c>
      <c r="X313" s="24"/>
      <c r="Y313" s="19" t="str">
        <f ca="1">IFERROR(__xludf.DUMMYFUNCTION("IMPORTXML(AI313, ""//li[strong[text()='US Franchised Units:']]"")"),"Loading...")</f>
        <v>Loading...</v>
      </c>
      <c r="Z313" s="24"/>
      <c r="AA313" s="14" t="str">
        <f t="shared" si="4"/>
        <v/>
      </c>
      <c r="AB313" s="19" t="str">
        <f ca="1">IFERROR(__xludf.DUMMYFUNCTION("IMPORTXML(AI313, ""//li[strong[text()='International Franchised Units:']]"")"),"Loading...")</f>
        <v>Loading...</v>
      </c>
      <c r="AC313" s="24"/>
      <c r="AD313" s="14" t="str">
        <f t="shared" si="5"/>
        <v/>
      </c>
      <c r="AE313" s="25" t="str">
        <f ca="1">IFERROR(__xludf.DUMMYFUNCTION("IMPORTXML(AI313, ""//li[strong[text()='Sales Growth %:']]"")"),"Loading...")</f>
        <v>Loading...</v>
      </c>
      <c r="AF313" s="24"/>
      <c r="AG313" s="25" t="str">
        <f ca="1">IFERROR(__xludf.DUMMYFUNCTION("IMPORTXML(AI313, ""//li[strong[text()='Unit Growth %:']]"")"),"Loading...")</f>
        <v>Loading...</v>
      </c>
      <c r="AH313" s="25"/>
      <c r="AI313" s="48" t="s">
        <v>319</v>
      </c>
      <c r="AJ313" s="27"/>
      <c r="AK313" s="27"/>
      <c r="AL313" s="27"/>
      <c r="AM313" s="27"/>
      <c r="AN313" s="27"/>
      <c r="AO313" s="27"/>
      <c r="AP313" s="27"/>
      <c r="AQ313" s="27"/>
    </row>
    <row r="314" spans="1:43" ht="14.25" customHeight="1">
      <c r="A314" s="42">
        <v>24.313000000000098</v>
      </c>
      <c r="B314" s="14">
        <v>2024</v>
      </c>
      <c r="C314" s="32">
        <v>313</v>
      </c>
      <c r="D314" s="16" t="str">
        <f ca="1">IFERROR(__xludf.DUMMYFUNCTION("IMPORTXML(AI314, ""//h1[@itemprop='headline']/span"")"),"313. Strickland Brothers Oil Change")</f>
        <v>313. Strickland Brothers Oil Change</v>
      </c>
      <c r="E314" s="17" t="str">
        <f ca="1">IFERROR(__xludf.DUMMYFUNCTION("REGEXEXTRACT(D314, ""\.\s*(.+)"")"),"Strickland Brothers Oil Change")</f>
        <v>Strickland Brothers Oil Change</v>
      </c>
      <c r="F314" s="18" t="str">
        <f ca="1">IFERROR(__xludf.DUMMYFUNCTION("IMPORTXML(AI314, ""//li[strong[text()='Investment Range:']]"")"),"Investment Range:")</f>
        <v>Investment Range:</v>
      </c>
      <c r="G314" s="43" t="str">
        <f ca="1">IFERROR(__xludf.DUMMYFUNCTION("""COMPUTED_VALUE""")," $247,900 - $391,900")</f>
        <v xml:space="preserve"> $247,900 - $391,900</v>
      </c>
      <c r="H314" s="18" t="str">
        <f ca="1">IFERROR(__xludf.DUMMYFUNCTION("SUBSTITUTE(REGEXEXTRACT(G314, ""\$(\d{1,3}(?:,\d{3})*)""), "","", ""."")
"),"247.900")</f>
        <v>247.900</v>
      </c>
      <c r="I314" s="19" t="str">
        <f ca="1">IFERROR(__xludf.DUMMYFUNCTION("SUBSTITUTE(REGEXEXTRACT(G314, ""-\s*\$(\d{1,3}(?:,\d{3})*)""), "","", ""."")
"),"391.900")</f>
        <v>391.900</v>
      </c>
      <c r="J314" s="19" t="str">
        <f ca="1">IFERROR(__xludf.DUMMYFUNCTION("IMPORTXML(AI314, ""//li[strong[text()='Initial Investment:']]"")"),"Loading...")</f>
        <v>Loading...</v>
      </c>
      <c r="K314" s="24"/>
      <c r="L314" s="20" t="str">
        <f ca="1">IFERROR(__xludf.DUMMYFUNCTION("IMPORTXML(AI314, ""//li[strong[text()='Category:']]"")"),"Loading...")</f>
        <v>Loading...</v>
      </c>
      <c r="M314" s="24"/>
      <c r="N314" s="19" t="str">
        <f ca="1">IFERROR(__xludf.DUMMYFUNCTION("IMPORTXML(AI314, ""//li[strong[text()='Global Sales:']]"")"),"Loading...")</f>
        <v>Loading...</v>
      </c>
      <c r="O314" s="24"/>
      <c r="P314" s="19" t="str">
        <f t="shared" si="3"/>
        <v/>
      </c>
      <c r="Q314" s="19" t="str">
        <f ca="1">IFERROR(__xludf.DUMMYFUNCTION("IMPORTXML(AI314, ""//li[strong[text()='US Units:']]"")"),"Loading...")</f>
        <v>Loading...</v>
      </c>
      <c r="R314" s="24"/>
      <c r="S314" s="19" t="str">
        <f ca="1">IFERROR(__xludf.DUMMYFUNCTION("IMPORTXML(AI314, ""//li[strong[text()='International Units:']]"")"),"Loading...")</f>
        <v>Loading...</v>
      </c>
      <c r="T314" s="44"/>
      <c r="U314" s="19" t="str">
        <f ca="1">IFERROR(__xludf.DUMMYFUNCTION("IMPORTXML(AI314, ""//li[strong[text()='Percent Franchised:']]"")"),"Loading...")</f>
        <v>Loading...</v>
      </c>
      <c r="V314" s="24"/>
      <c r="W314" s="19" t="str">
        <f ca="1">IFERROR(__xludf.DUMMYFUNCTION("IMPORTXML(AI314, ""//li[strong[text()='% International Units:']]"")"),"Loading...")</f>
        <v>Loading...</v>
      </c>
      <c r="X314" s="24"/>
      <c r="Y314" s="19" t="str">
        <f ca="1">IFERROR(__xludf.DUMMYFUNCTION("IMPORTXML(AI314, ""//li[strong[text()='US Franchised Units:']]"")"),"Loading...")</f>
        <v>Loading...</v>
      </c>
      <c r="Z314" s="24"/>
      <c r="AA314" s="14" t="str">
        <f t="shared" si="4"/>
        <v/>
      </c>
      <c r="AB314" s="19" t="str">
        <f ca="1">IFERROR(__xludf.DUMMYFUNCTION("IMPORTXML(AI314, ""//li[strong[text()='International Franchised Units:']]"")"),"Loading...")</f>
        <v>Loading...</v>
      </c>
      <c r="AC314" s="24"/>
      <c r="AD314" s="14" t="str">
        <f t="shared" si="5"/>
        <v/>
      </c>
      <c r="AE314" s="25" t="str">
        <f ca="1">IFERROR(__xludf.DUMMYFUNCTION("IMPORTXML(AI314, ""//li[strong[text()='Sales Growth %:']]"")"),"Loading...")</f>
        <v>Loading...</v>
      </c>
      <c r="AF314" s="24"/>
      <c r="AG314" s="25" t="str">
        <f ca="1">IFERROR(__xludf.DUMMYFUNCTION("IMPORTXML(AI314, ""//li[strong[text()='Unit Growth %:']]"")"),"Loading...")</f>
        <v>Loading...</v>
      </c>
      <c r="AH314" s="25"/>
      <c r="AI314" s="48" t="s">
        <v>320</v>
      </c>
      <c r="AJ314" s="27"/>
      <c r="AK314" s="27"/>
      <c r="AL314" s="27"/>
      <c r="AM314" s="27"/>
      <c r="AN314" s="27"/>
      <c r="AO314" s="27"/>
      <c r="AP314" s="27"/>
      <c r="AQ314" s="27"/>
    </row>
    <row r="315" spans="1:43" ht="14.25" customHeight="1">
      <c r="A315" s="42">
        <v>24.3140000000001</v>
      </c>
      <c r="B315" s="14">
        <v>2024</v>
      </c>
      <c r="C315" s="36">
        <v>314</v>
      </c>
      <c r="D315" s="16" t="str">
        <f ca="1">IFERROR(__xludf.DUMMYFUNCTION("IMPORTXML(AI315, ""//h1[@itemprop='headline']/span"")"),"314. Pizza Inn")</f>
        <v>314. Pizza Inn</v>
      </c>
      <c r="E315" s="17" t="str">
        <f ca="1">IFERROR(__xludf.DUMMYFUNCTION("REGEXEXTRACT(D315, ""\.\s*(.+)"")"),"Pizza Inn")</f>
        <v>Pizza Inn</v>
      </c>
      <c r="F315" s="18" t="str">
        <f ca="1">IFERROR(__xludf.DUMMYFUNCTION("IMPORTXML(AI315, ""//li[strong[text()='Investment Range:']]"")"),"Investment Range:")</f>
        <v>Investment Range:</v>
      </c>
      <c r="G315" s="43" t="str">
        <f ca="1">IFERROR(__xludf.DUMMYFUNCTION("""COMPUTED_VALUE""")," $412,000 - $1,445,000")</f>
        <v xml:space="preserve"> $412,000 - $1,445,000</v>
      </c>
      <c r="H315" s="18" t="str">
        <f ca="1">IFERROR(__xludf.DUMMYFUNCTION("SUBSTITUTE(REGEXEXTRACT(G315, ""\$(\d{1,3}(?:,\d{3})*)""), "","", ""."")
"),"412.000")</f>
        <v>412.000</v>
      </c>
      <c r="I315" s="19" t="str">
        <f ca="1">IFERROR(__xludf.DUMMYFUNCTION("SUBSTITUTE(REGEXEXTRACT(G315, ""-\s*\$(\d{1,3}(?:,\d{3})*)""), "","", ""."")
"),"1.445.000")</f>
        <v>1.445.000</v>
      </c>
      <c r="J315" s="19" t="str">
        <f ca="1">IFERROR(__xludf.DUMMYFUNCTION("IMPORTXML(AI315, ""//li[strong[text()='Initial Investment:']]"")"),"Loading...")</f>
        <v>Loading...</v>
      </c>
      <c r="K315" s="24"/>
      <c r="L315" s="20" t="str">
        <f ca="1">IFERROR(__xludf.DUMMYFUNCTION("IMPORTXML(AI315, ""//li[strong[text()='Category:']]"")"),"Loading...")</f>
        <v>Loading...</v>
      </c>
      <c r="M315" s="24"/>
      <c r="N315" s="19" t="str">
        <f ca="1">IFERROR(__xludf.DUMMYFUNCTION("IMPORTXML(AI315, ""//li[strong[text()='Global Sales:']]"")"),"Loading...")</f>
        <v>Loading...</v>
      </c>
      <c r="O315" s="24"/>
      <c r="P315" s="19" t="str">
        <f t="shared" si="3"/>
        <v/>
      </c>
      <c r="Q315" s="19" t="str">
        <f ca="1">IFERROR(__xludf.DUMMYFUNCTION("IMPORTXML(AI315, ""//li[strong[text()='US Units:']]"")"),"Loading...")</f>
        <v>Loading...</v>
      </c>
      <c r="R315" s="24"/>
      <c r="S315" s="19" t="str">
        <f ca="1">IFERROR(__xludf.DUMMYFUNCTION("IMPORTXML(AI315, ""//li[strong[text()='International Units:']]"")"),"Loading...")</f>
        <v>Loading...</v>
      </c>
      <c r="T315" s="44"/>
      <c r="U315" s="19" t="str">
        <f ca="1">IFERROR(__xludf.DUMMYFUNCTION("IMPORTXML(AI315, ""//li[strong[text()='Percent Franchised:']]"")"),"Loading...")</f>
        <v>Loading...</v>
      </c>
      <c r="V315" s="24"/>
      <c r="W315" s="19" t="str">
        <f ca="1">IFERROR(__xludf.DUMMYFUNCTION("IMPORTXML(AI315, ""//li[strong[text()='% International Units:']]"")"),"Loading...")</f>
        <v>Loading...</v>
      </c>
      <c r="X315" s="24"/>
      <c r="Y315" s="19" t="str">
        <f ca="1">IFERROR(__xludf.DUMMYFUNCTION("IMPORTXML(AI315, ""//li[strong[text()='US Franchised Units:']]"")"),"Loading...")</f>
        <v>Loading...</v>
      </c>
      <c r="Z315" s="24"/>
      <c r="AA315" s="14" t="str">
        <f t="shared" si="4"/>
        <v/>
      </c>
      <c r="AB315" s="19" t="str">
        <f ca="1">IFERROR(__xludf.DUMMYFUNCTION("IMPORTXML(AI315, ""//li[strong[text()='International Franchised Units:']]"")"),"Loading...")</f>
        <v>Loading...</v>
      </c>
      <c r="AC315" s="24"/>
      <c r="AD315" s="14" t="str">
        <f t="shared" si="5"/>
        <v/>
      </c>
      <c r="AE315" s="25" t="str">
        <f ca="1">IFERROR(__xludf.DUMMYFUNCTION("IMPORTXML(AI315, ""//li[strong[text()='Sales Growth %:']]"")"),"Loading...")</f>
        <v>Loading...</v>
      </c>
      <c r="AF315" s="24"/>
      <c r="AG315" s="25" t="str">
        <f ca="1">IFERROR(__xludf.DUMMYFUNCTION("IMPORTXML(AI315, ""//li[strong[text()='Unit Growth %:']]"")"),"Loading...")</f>
        <v>Loading...</v>
      </c>
      <c r="AH315" s="25"/>
      <c r="AI315" s="48" t="s">
        <v>321</v>
      </c>
      <c r="AJ315" s="27"/>
      <c r="AK315" s="27"/>
      <c r="AL315" s="27"/>
      <c r="AM315" s="27"/>
      <c r="AN315" s="27"/>
      <c r="AO315" s="27"/>
      <c r="AP315" s="27"/>
      <c r="AQ315" s="27"/>
    </row>
    <row r="316" spans="1:43" ht="14.25" customHeight="1">
      <c r="A316" s="42">
        <v>24.315000000000101</v>
      </c>
      <c r="B316" s="14">
        <v>2024</v>
      </c>
      <c r="C316" s="36">
        <v>315</v>
      </c>
      <c r="D316" s="16" t="str">
        <f ca="1">IFERROR(__xludf.DUMMYFUNCTION("IMPORTXML(AI316, ""//h1[@itemprop='headline']/span"")"),"315. DryBar")</f>
        <v>315. DryBar</v>
      </c>
      <c r="E316" s="17" t="str">
        <f ca="1">IFERROR(__xludf.DUMMYFUNCTION("REGEXEXTRACT(D316, ""\.\s*(.+)"")"),"DryBar")</f>
        <v>DryBar</v>
      </c>
      <c r="F316" s="18" t="str">
        <f ca="1">IFERROR(__xludf.DUMMYFUNCTION("IMPORTXML(AI316, ""//li[strong[text()='Investment Range:']]"")"),"#N/A")</f>
        <v>#N/A</v>
      </c>
      <c r="G316" s="43"/>
      <c r="H316" s="18" t="str">
        <f ca="1">IFERROR(__xludf.DUMMYFUNCTION("SUBSTITUTE(REGEXEXTRACT(G316, ""\$(\d{1,3}(?:,\d{3})*)""), "","", ""."")
"),"#N/A")</f>
        <v>#N/A</v>
      </c>
      <c r="I316" s="19" t="str">
        <f ca="1">IFERROR(__xludf.DUMMYFUNCTION("SUBSTITUTE(REGEXEXTRACT(G316, ""-\s*\$(\d{1,3}(?:,\d{3})*)""), "","", ""."")
"),"#N/A")</f>
        <v>#N/A</v>
      </c>
      <c r="J316" s="19" t="str">
        <f ca="1">IFERROR(__xludf.DUMMYFUNCTION("IMPORTXML(AI316, ""//li[strong[text()='Initial Investment:']]"")"),"Loading...")</f>
        <v>Loading...</v>
      </c>
      <c r="K316" s="24"/>
      <c r="L316" s="20" t="str">
        <f ca="1">IFERROR(__xludf.DUMMYFUNCTION("IMPORTXML(AI316, ""//li[strong[text()='Category:']]"")"),"Loading...")</f>
        <v>Loading...</v>
      </c>
      <c r="M316" s="24"/>
      <c r="N316" s="19" t="str">
        <f ca="1">IFERROR(__xludf.DUMMYFUNCTION("IMPORTXML(AI316, ""//li[strong[text()='Global Sales:']]"")"),"Loading...")</f>
        <v>Loading...</v>
      </c>
      <c r="O316" s="24"/>
      <c r="P316" s="19" t="str">
        <f t="shared" si="3"/>
        <v/>
      </c>
      <c r="Q316" s="19" t="str">
        <f ca="1">IFERROR(__xludf.DUMMYFUNCTION("IMPORTXML(AI316, ""//li[strong[text()='US Units:']]"")"),"Loading...")</f>
        <v>Loading...</v>
      </c>
      <c r="R316" s="24"/>
      <c r="S316" s="19" t="str">
        <f ca="1">IFERROR(__xludf.DUMMYFUNCTION("IMPORTXML(AI316, ""//li[strong[text()='International Units:']]"")"),"Loading...")</f>
        <v>Loading...</v>
      </c>
      <c r="T316" s="44"/>
      <c r="U316" s="19" t="str">
        <f ca="1">IFERROR(__xludf.DUMMYFUNCTION("IMPORTXML(AI316, ""//li[strong[text()='Percent Franchised:']]"")"),"Loading...")</f>
        <v>Loading...</v>
      </c>
      <c r="V316" s="24"/>
      <c r="W316" s="19" t="str">
        <f ca="1">IFERROR(__xludf.DUMMYFUNCTION("IMPORTXML(AI316, ""//li[strong[text()='% International Units:']]"")"),"Loading...")</f>
        <v>Loading...</v>
      </c>
      <c r="X316" s="24"/>
      <c r="Y316" s="19" t="str">
        <f ca="1">IFERROR(__xludf.DUMMYFUNCTION("IMPORTXML(AI316, ""//li[strong[text()='US Franchised Units:']]"")"),"Loading...")</f>
        <v>Loading...</v>
      </c>
      <c r="Z316" s="24"/>
      <c r="AA316" s="14" t="str">
        <f t="shared" si="4"/>
        <v/>
      </c>
      <c r="AB316" s="19" t="str">
        <f ca="1">IFERROR(__xludf.DUMMYFUNCTION("IMPORTXML(AI316, ""//li[strong[text()='International Franchised Units:']]"")"),"Loading...")</f>
        <v>Loading...</v>
      </c>
      <c r="AC316" s="24"/>
      <c r="AD316" s="14" t="str">
        <f t="shared" si="5"/>
        <v/>
      </c>
      <c r="AE316" s="25" t="str">
        <f ca="1">IFERROR(__xludf.DUMMYFUNCTION("IMPORTXML(AI316, ""//li[strong[text()='Sales Growth %:']]"")"),"Loading...")</f>
        <v>Loading...</v>
      </c>
      <c r="AF316" s="24"/>
      <c r="AG316" s="25" t="str">
        <f ca="1">IFERROR(__xludf.DUMMYFUNCTION("IMPORTXML(AI316, ""//li[strong[text()='Unit Growth %:']]"")"),"Loading...")</f>
        <v>Loading...</v>
      </c>
      <c r="AH316" s="25"/>
      <c r="AI316" s="48" t="s">
        <v>322</v>
      </c>
      <c r="AJ316" s="27"/>
      <c r="AK316" s="27"/>
      <c r="AL316" s="27"/>
      <c r="AM316" s="27"/>
      <c r="AN316" s="27"/>
      <c r="AO316" s="27"/>
      <c r="AP316" s="27"/>
      <c r="AQ316" s="27"/>
    </row>
    <row r="317" spans="1:43" ht="14.25" customHeight="1">
      <c r="A317" s="42">
        <v>24.316000000000098</v>
      </c>
      <c r="B317" s="14">
        <v>2024</v>
      </c>
      <c r="C317" s="15">
        <v>316</v>
      </c>
      <c r="D317" s="16" t="str">
        <f ca="1">IFERROR(__xludf.DUMMYFUNCTION("IMPORTXML(AI317, ""//h1[@itemprop='headline']/span"")"),"316. Kitchen Tune-Up")</f>
        <v>316. Kitchen Tune-Up</v>
      </c>
      <c r="E317" s="17" t="str">
        <f ca="1">IFERROR(__xludf.DUMMYFUNCTION("REGEXEXTRACT(D317, ""\.\s*(.+)"")"),"Kitchen Tune-Up")</f>
        <v>Kitchen Tune-Up</v>
      </c>
      <c r="F317" s="18" t="str">
        <f ca="1">IFERROR(__xludf.DUMMYFUNCTION("IMPORTXML(AI317, ""//li[strong[text()='Investment Range:']]"")"),"#N/A")</f>
        <v>#N/A</v>
      </c>
      <c r="G317" s="43"/>
      <c r="H317" s="18" t="str">
        <f ca="1">IFERROR(__xludf.DUMMYFUNCTION("SUBSTITUTE(REGEXEXTRACT(G317, ""\$(\d{1,3}(?:,\d{3})*)""), "","", ""."")
"),"#N/A")</f>
        <v>#N/A</v>
      </c>
      <c r="I317" s="19" t="str">
        <f ca="1">IFERROR(__xludf.DUMMYFUNCTION("SUBSTITUTE(REGEXEXTRACT(G317, ""-\s*\$(\d{1,3}(?:,\d{3})*)""), "","", ""."")
"),"#N/A")</f>
        <v>#N/A</v>
      </c>
      <c r="J317" s="19" t="str">
        <f ca="1">IFERROR(__xludf.DUMMYFUNCTION("IMPORTXML(AI317, ""//li[strong[text()='Initial Investment:']]"")"),"Loading...")</f>
        <v>Loading...</v>
      </c>
      <c r="K317" s="24"/>
      <c r="L317" s="20" t="str">
        <f ca="1">IFERROR(__xludf.DUMMYFUNCTION("IMPORTXML(AI317, ""//li[strong[text()='Category:']]"")"),"#N/A")</f>
        <v>#N/A</v>
      </c>
      <c r="M317" s="24"/>
      <c r="N317" s="19" t="str">
        <f ca="1">IFERROR(__xludf.DUMMYFUNCTION("IMPORTXML(AI317, ""//li[strong[text()='Global Sales:']]"")"),"Loading...")</f>
        <v>Loading...</v>
      </c>
      <c r="O317" s="24"/>
      <c r="P317" s="19" t="str">
        <f t="shared" si="3"/>
        <v/>
      </c>
      <c r="Q317" s="19" t="str">
        <f ca="1">IFERROR(__xludf.DUMMYFUNCTION("IMPORTXML(AI317, ""//li[strong[text()='US Units:']]"")"),"Loading...")</f>
        <v>Loading...</v>
      </c>
      <c r="R317" s="24"/>
      <c r="S317" s="19" t="str">
        <f ca="1">IFERROR(__xludf.DUMMYFUNCTION("IMPORTXML(AI317, ""//li[strong[text()='International Units:']]"")"),"Loading...")</f>
        <v>Loading...</v>
      </c>
      <c r="T317" s="44"/>
      <c r="U317" s="19" t="str">
        <f ca="1">IFERROR(__xludf.DUMMYFUNCTION("IMPORTXML(AI317, ""//li[strong[text()='Percent Franchised:']]"")"),"Loading...")</f>
        <v>Loading...</v>
      </c>
      <c r="V317" s="24"/>
      <c r="W317" s="19" t="str">
        <f ca="1">IFERROR(__xludf.DUMMYFUNCTION("IMPORTXML(AI317, ""//li[strong[text()='% International Units:']]"")"),"Loading...")</f>
        <v>Loading...</v>
      </c>
      <c r="X317" s="24"/>
      <c r="Y317" s="19" t="str">
        <f ca="1">IFERROR(__xludf.DUMMYFUNCTION("IMPORTXML(AI317, ""//li[strong[text()='US Franchised Units:']]"")"),"Loading...")</f>
        <v>Loading...</v>
      </c>
      <c r="Z317" s="24"/>
      <c r="AA317" s="14" t="str">
        <f t="shared" si="4"/>
        <v/>
      </c>
      <c r="AB317" s="19" t="str">
        <f ca="1">IFERROR(__xludf.DUMMYFUNCTION("IMPORTXML(AI317, ""//li[strong[text()='International Franchised Units:']]"")"),"Loading...")</f>
        <v>Loading...</v>
      </c>
      <c r="AC317" s="24"/>
      <c r="AD317" s="14" t="str">
        <f t="shared" si="5"/>
        <v/>
      </c>
      <c r="AE317" s="25" t="str">
        <f ca="1">IFERROR(__xludf.DUMMYFUNCTION("IMPORTXML(AI317, ""//li[strong[text()='Sales Growth %:']]"")"),"Loading...")</f>
        <v>Loading...</v>
      </c>
      <c r="AF317" s="24"/>
      <c r="AG317" s="25" t="str">
        <f ca="1">IFERROR(__xludf.DUMMYFUNCTION("IMPORTXML(AI317, ""//li[strong[text()='Unit Growth %:']]"")"),"Loading...")</f>
        <v>Loading...</v>
      </c>
      <c r="AH317" s="25"/>
      <c r="AI317" s="48" t="s">
        <v>323</v>
      </c>
      <c r="AJ317" s="27"/>
      <c r="AK317" s="27"/>
      <c r="AL317" s="27"/>
      <c r="AM317" s="27"/>
      <c r="AN317" s="27"/>
      <c r="AO317" s="27"/>
      <c r="AP317" s="27"/>
      <c r="AQ317" s="27"/>
    </row>
    <row r="318" spans="1:43" ht="14.25" customHeight="1">
      <c r="A318" s="42">
        <v>24.3170000000001</v>
      </c>
      <c r="B318" s="14">
        <v>2024</v>
      </c>
      <c r="C318" s="32">
        <v>317</v>
      </c>
      <c r="D318" s="16" t="str">
        <f ca="1">IFERROR(__xludf.DUMMYFUNCTION("IMPORTXML(AI318, ""//h1[@itemprop='headline']/span"")"),"317. Stretch Zone")</f>
        <v>317. Stretch Zone</v>
      </c>
      <c r="E318" s="17" t="str">
        <f ca="1">IFERROR(__xludf.DUMMYFUNCTION("REGEXEXTRACT(D318, ""\.\s*(.+)"")"),"Stretch Zone")</f>
        <v>Stretch Zone</v>
      </c>
      <c r="F318" s="18" t="str">
        <f ca="1">IFERROR(__xludf.DUMMYFUNCTION("IMPORTXML(AI318, ""//li[strong[text()='Investment Range:']]"")"),"#N/A")</f>
        <v>#N/A</v>
      </c>
      <c r="G318" s="43"/>
      <c r="H318" s="18" t="str">
        <f ca="1">IFERROR(__xludf.DUMMYFUNCTION("SUBSTITUTE(REGEXEXTRACT(G318, ""\$(\d{1,3}(?:,\d{3})*)""), "","", ""."")
"),"#N/A")</f>
        <v>#N/A</v>
      </c>
      <c r="I318" s="19" t="str">
        <f ca="1">IFERROR(__xludf.DUMMYFUNCTION("SUBSTITUTE(REGEXEXTRACT(G318, ""-\s*\$(\d{1,3}(?:,\d{3})*)""), "","", ""."")
"),"#N/A")</f>
        <v>#N/A</v>
      </c>
      <c r="J318" s="19" t="str">
        <f ca="1">IFERROR(__xludf.DUMMYFUNCTION("IMPORTXML(AI318, ""//li[strong[text()='Initial Investment:']]"")"),"Loading...")</f>
        <v>Loading...</v>
      </c>
      <c r="K318" s="24"/>
      <c r="L318" s="20" t="str">
        <f ca="1">IFERROR(__xludf.DUMMYFUNCTION("IMPORTXML(AI318, ""//li[strong[text()='Category:']]"")"),"Loading...")</f>
        <v>Loading...</v>
      </c>
      <c r="M318" s="24"/>
      <c r="N318" s="19" t="str">
        <f ca="1">IFERROR(__xludf.DUMMYFUNCTION("IMPORTXML(AI318, ""//li[strong[text()='Global Sales:']]"")"),"Loading...")</f>
        <v>Loading...</v>
      </c>
      <c r="O318" s="24"/>
      <c r="P318" s="19" t="str">
        <f t="shared" si="3"/>
        <v/>
      </c>
      <c r="Q318" s="19" t="str">
        <f ca="1">IFERROR(__xludf.DUMMYFUNCTION("IMPORTXML(AI318, ""//li[strong[text()='US Units:']]"")"),"Loading...")</f>
        <v>Loading...</v>
      </c>
      <c r="R318" s="24"/>
      <c r="S318" s="19" t="str">
        <f ca="1">IFERROR(__xludf.DUMMYFUNCTION("IMPORTXML(AI318, ""//li[strong[text()='International Units:']]"")"),"Loading...")</f>
        <v>Loading...</v>
      </c>
      <c r="T318" s="44"/>
      <c r="U318" s="19" t="str">
        <f ca="1">IFERROR(__xludf.DUMMYFUNCTION("IMPORTXML(AI318, ""//li[strong[text()='Percent Franchised:']]"")"),"Loading...")</f>
        <v>Loading...</v>
      </c>
      <c r="V318" s="24"/>
      <c r="W318" s="19" t="str">
        <f ca="1">IFERROR(__xludf.DUMMYFUNCTION("IMPORTXML(AI318, ""//li[strong[text()='% International Units:']]"")"),"Loading...")</f>
        <v>Loading...</v>
      </c>
      <c r="X318" s="24"/>
      <c r="Y318" s="19" t="str">
        <f ca="1">IFERROR(__xludf.DUMMYFUNCTION("IMPORTXML(AI318, ""//li[strong[text()='US Franchised Units:']]"")"),"Loading...")</f>
        <v>Loading...</v>
      </c>
      <c r="Z318" s="24"/>
      <c r="AA318" s="14" t="str">
        <f t="shared" si="4"/>
        <v/>
      </c>
      <c r="AB318" s="19" t="str">
        <f ca="1">IFERROR(__xludf.DUMMYFUNCTION("IMPORTXML(AI318, ""//li[strong[text()='International Franchised Units:']]"")"),"Loading...")</f>
        <v>Loading...</v>
      </c>
      <c r="AC318" s="24"/>
      <c r="AD318" s="14" t="str">
        <f t="shared" si="5"/>
        <v/>
      </c>
      <c r="AE318" s="25" t="str">
        <f ca="1">IFERROR(__xludf.DUMMYFUNCTION("IMPORTXML(AI318, ""//li[strong[text()='Sales Growth %:']]"")"),"Loading...")</f>
        <v>Loading...</v>
      </c>
      <c r="AF318" s="24"/>
      <c r="AG318" s="25" t="str">
        <f ca="1">IFERROR(__xludf.DUMMYFUNCTION("IMPORTXML(AI318, ""//li[strong[text()='Unit Growth %:']]"")"),"Loading...")</f>
        <v>Loading...</v>
      </c>
      <c r="AH318" s="25"/>
      <c r="AI318" s="48" t="s">
        <v>324</v>
      </c>
      <c r="AJ318" s="27"/>
      <c r="AK318" s="27"/>
      <c r="AL318" s="27"/>
      <c r="AM318" s="27"/>
      <c r="AN318" s="27"/>
      <c r="AO318" s="27"/>
      <c r="AP318" s="27"/>
      <c r="AQ318" s="27"/>
    </row>
    <row r="319" spans="1:43" ht="14.25" customHeight="1">
      <c r="A319" s="42">
        <v>24.318000000000101</v>
      </c>
      <c r="B319" s="14">
        <v>2024</v>
      </c>
      <c r="C319" s="36">
        <v>318</v>
      </c>
      <c r="D319" s="16" t="str">
        <f ca="1">IFERROR(__xludf.DUMMYFUNCTION("IMPORTXML(AI319, ""//h1[@itemprop='headline']/span"")"),"318. Woof Gang Bakery")</f>
        <v>318. Woof Gang Bakery</v>
      </c>
      <c r="E319" s="17" t="str">
        <f ca="1">IFERROR(__xludf.DUMMYFUNCTION("REGEXEXTRACT(D319, ""\.\s*(.+)"")"),"Woof Gang Bakery")</f>
        <v>Woof Gang Bakery</v>
      </c>
      <c r="F319" s="18" t="str">
        <f ca="1">IFERROR(__xludf.DUMMYFUNCTION("IMPORTXML(AI319, ""//li[strong[text()='Investment Range:']]"")"),"Investment Range:")</f>
        <v>Investment Range:</v>
      </c>
      <c r="G319" s="43" t="str">
        <f ca="1">IFERROR(__xludf.DUMMYFUNCTION("""COMPUTED_VALUE""")," $179,200 - $419,300")</f>
        <v xml:space="preserve"> $179,200 - $419,300</v>
      </c>
      <c r="H319" s="18" t="str">
        <f ca="1">IFERROR(__xludf.DUMMYFUNCTION("SUBSTITUTE(REGEXEXTRACT(G319, ""\$(\d{1,3}(?:,\d{3})*)""), "","", ""."")
"),"179.200")</f>
        <v>179.200</v>
      </c>
      <c r="I319" s="19" t="str">
        <f ca="1">IFERROR(__xludf.DUMMYFUNCTION("SUBSTITUTE(REGEXEXTRACT(G319, ""-\s*\$(\d{1,3}(?:,\d{3})*)""), "","", ""."")
"),"419.300")</f>
        <v>419.300</v>
      </c>
      <c r="J319" s="19" t="str">
        <f ca="1">IFERROR(__xludf.DUMMYFUNCTION("IMPORTXML(AI319, ""//li[strong[text()='Initial Investment:']]"")"),"Initial Investment:")</f>
        <v>Initial Investment:</v>
      </c>
      <c r="K319" s="24" t="str">
        <f ca="1">IFERROR(__xludf.DUMMYFUNCTION("""COMPUTED_VALUE""")," $49,900")</f>
        <v xml:space="preserve"> $49,900</v>
      </c>
      <c r="L319" s="20" t="str">
        <f ca="1">IFERROR(__xludf.DUMMYFUNCTION("IMPORTXML(AI319, ""//li[strong[text()='Category:']]"")"),"Loading...")</f>
        <v>Loading...</v>
      </c>
      <c r="M319" s="24"/>
      <c r="N319" s="19" t="str">
        <f ca="1">IFERROR(__xludf.DUMMYFUNCTION("IMPORTXML(AI319, ""//li[strong[text()='Global Sales:']]"")"),"Loading...")</f>
        <v>Loading...</v>
      </c>
      <c r="O319" s="24"/>
      <c r="P319" s="19" t="str">
        <f t="shared" si="3"/>
        <v/>
      </c>
      <c r="Q319" s="19" t="str">
        <f ca="1">IFERROR(__xludf.DUMMYFUNCTION("IMPORTXML(AI319, ""//li[strong[text()='US Units:']]"")"),"Loading...")</f>
        <v>Loading...</v>
      </c>
      <c r="R319" s="24"/>
      <c r="S319" s="19" t="str">
        <f ca="1">IFERROR(__xludf.DUMMYFUNCTION("IMPORTXML(AI319, ""//li[strong[text()='International Units:']]"")"),"Loading...")</f>
        <v>Loading...</v>
      </c>
      <c r="T319" s="44"/>
      <c r="U319" s="19" t="str">
        <f ca="1">IFERROR(__xludf.DUMMYFUNCTION("IMPORTXML(AI319, ""//li[strong[text()='Percent Franchised:']]"")"),"Loading...")</f>
        <v>Loading...</v>
      </c>
      <c r="V319" s="24"/>
      <c r="W319" s="19" t="str">
        <f ca="1">IFERROR(__xludf.DUMMYFUNCTION("IMPORTXML(AI319, ""//li[strong[text()='% International Units:']]"")"),"Loading...")</f>
        <v>Loading...</v>
      </c>
      <c r="X319" s="24"/>
      <c r="Y319" s="19" t="str">
        <f ca="1">IFERROR(__xludf.DUMMYFUNCTION("IMPORTXML(AI319, ""//li[strong[text()='US Franchised Units:']]"")"),"Loading...")</f>
        <v>Loading...</v>
      </c>
      <c r="Z319" s="24"/>
      <c r="AA319" s="14" t="str">
        <f t="shared" si="4"/>
        <v/>
      </c>
      <c r="AB319" s="19" t="str">
        <f ca="1">IFERROR(__xludf.DUMMYFUNCTION("IMPORTXML(AI319, ""//li[strong[text()='International Franchised Units:']]"")"),"Loading...")</f>
        <v>Loading...</v>
      </c>
      <c r="AC319" s="24"/>
      <c r="AD319" s="14" t="str">
        <f t="shared" si="5"/>
        <v/>
      </c>
      <c r="AE319" s="25" t="str">
        <f ca="1">IFERROR(__xludf.DUMMYFUNCTION("IMPORTXML(AI319, ""//li[strong[text()='Sales Growth %:']]"")"),"Loading...")</f>
        <v>Loading...</v>
      </c>
      <c r="AF319" s="24"/>
      <c r="AG319" s="25" t="str">
        <f ca="1">IFERROR(__xludf.DUMMYFUNCTION("IMPORTXML(AI319, ""//li[strong[text()='Unit Growth %:']]"")"),"Loading...")</f>
        <v>Loading...</v>
      </c>
      <c r="AH319" s="25"/>
      <c r="AI319" s="48" t="s">
        <v>325</v>
      </c>
      <c r="AJ319" s="27"/>
      <c r="AK319" s="27"/>
      <c r="AL319" s="27"/>
      <c r="AM319" s="27"/>
      <c r="AN319" s="27"/>
      <c r="AO319" s="27"/>
      <c r="AP319" s="27"/>
      <c r="AQ319" s="27"/>
    </row>
    <row r="320" spans="1:43" ht="14.25" customHeight="1">
      <c r="A320" s="42">
        <v>24.319000000000099</v>
      </c>
      <c r="B320" s="14">
        <v>2024</v>
      </c>
      <c r="C320" s="36">
        <v>319</v>
      </c>
      <c r="D320" s="16" t="str">
        <f ca="1">IFERROR(__xludf.DUMMYFUNCTION("IMPORTXML(AI320, ""//h1[@itemprop='headline']/span"")"),"319. Fully Promoted")</f>
        <v>319. Fully Promoted</v>
      </c>
      <c r="E320" s="17" t="str">
        <f ca="1">IFERROR(__xludf.DUMMYFUNCTION("REGEXEXTRACT(D320, ""\.\s*(.+)"")"),"Fully Promoted")</f>
        <v>Fully Promoted</v>
      </c>
      <c r="F320" s="18" t="str">
        <f ca="1">IFERROR(__xludf.DUMMYFUNCTION("IMPORTXML(AI320, ""//li[strong[text()='Investment Range:']]"")"),"Investment Range:")</f>
        <v>Investment Range:</v>
      </c>
      <c r="G320" s="43" t="str">
        <f ca="1">IFERROR(__xludf.DUMMYFUNCTION("""COMPUTED_VALUE""")," $120,005 - $354,287")</f>
        <v xml:space="preserve"> $120,005 - $354,287</v>
      </c>
      <c r="H320" s="18" t="str">
        <f ca="1">IFERROR(__xludf.DUMMYFUNCTION("SUBSTITUTE(REGEXEXTRACT(G320, ""\$(\d{1,3}(?:,\d{3})*)""), "","", ""."")
"),"120.005")</f>
        <v>120.005</v>
      </c>
      <c r="I320" s="19" t="str">
        <f ca="1">IFERROR(__xludf.DUMMYFUNCTION("SUBSTITUTE(REGEXEXTRACT(G320, ""-\s*\$(\d{1,3}(?:,\d{3})*)""), "","", ""."")
"),"354.287")</f>
        <v>354.287</v>
      </c>
      <c r="J320" s="19" t="str">
        <f ca="1">IFERROR(__xludf.DUMMYFUNCTION("IMPORTXML(AI320, ""//li[strong[text()='Initial Investment:']]"")"),"Loading...")</f>
        <v>Loading...</v>
      </c>
      <c r="K320" s="24"/>
      <c r="L320" s="20" t="str">
        <f ca="1">IFERROR(__xludf.DUMMYFUNCTION("IMPORTXML(AI320, ""//li[strong[text()='Category:']]"")"),"Loading...")</f>
        <v>Loading...</v>
      </c>
      <c r="M320" s="24"/>
      <c r="N320" s="19" t="str">
        <f ca="1">IFERROR(__xludf.DUMMYFUNCTION("IMPORTXML(AI320, ""//li[strong[text()='Global Sales:']]"")"),"Loading...")</f>
        <v>Loading...</v>
      </c>
      <c r="O320" s="24"/>
      <c r="P320" s="19" t="str">
        <f t="shared" si="3"/>
        <v/>
      </c>
      <c r="Q320" s="19" t="str">
        <f ca="1">IFERROR(__xludf.DUMMYFUNCTION("IMPORTXML(AI320, ""//li[strong[text()='US Units:']]"")"),"Loading...")</f>
        <v>Loading...</v>
      </c>
      <c r="R320" s="24"/>
      <c r="S320" s="19" t="str">
        <f ca="1">IFERROR(__xludf.DUMMYFUNCTION("IMPORTXML(AI320, ""//li[strong[text()='International Units:']]"")"),"Loading...")</f>
        <v>Loading...</v>
      </c>
      <c r="T320" s="44"/>
      <c r="U320" s="19" t="str">
        <f ca="1">IFERROR(__xludf.DUMMYFUNCTION("IMPORTXML(AI320, ""//li[strong[text()='Percent Franchised:']]"")"),"Loading...")</f>
        <v>Loading...</v>
      </c>
      <c r="V320" s="24"/>
      <c r="W320" s="19" t="str">
        <f ca="1">IFERROR(__xludf.DUMMYFUNCTION("IMPORTXML(AI320, ""//li[strong[text()='% International Units:']]"")"),"Loading...")</f>
        <v>Loading...</v>
      </c>
      <c r="X320" s="24"/>
      <c r="Y320" s="19" t="str">
        <f ca="1">IFERROR(__xludf.DUMMYFUNCTION("IMPORTXML(AI320, ""//li[strong[text()='US Franchised Units:']]"")"),"Loading...")</f>
        <v>Loading...</v>
      </c>
      <c r="Z320" s="24"/>
      <c r="AA320" s="14" t="str">
        <f t="shared" si="4"/>
        <v/>
      </c>
      <c r="AB320" s="19" t="str">
        <f ca="1">IFERROR(__xludf.DUMMYFUNCTION("IMPORTXML(AI320, ""//li[strong[text()='International Franchised Units:']]"")"),"Loading...")</f>
        <v>Loading...</v>
      </c>
      <c r="AC320" s="24"/>
      <c r="AD320" s="14" t="str">
        <f t="shared" si="5"/>
        <v/>
      </c>
      <c r="AE320" s="25" t="str">
        <f ca="1">IFERROR(__xludf.DUMMYFUNCTION("IMPORTXML(AI320, ""//li[strong[text()='Sales Growth %:']]"")"),"Sales Growth %:")</f>
        <v>Sales Growth %:</v>
      </c>
      <c r="AF320" s="24" t="str">
        <f ca="1">IFERROR(__xludf.DUMMYFUNCTION("""COMPUTED_VALUE""")," 11.2%")</f>
        <v xml:space="preserve"> 11.2%</v>
      </c>
      <c r="AG320" s="25" t="str">
        <f ca="1">IFERROR(__xludf.DUMMYFUNCTION("IMPORTXML(AI320, ""//li[strong[text()='Unit Growth %:']]"")"),"Loading...")</f>
        <v>Loading...</v>
      </c>
      <c r="AH320" s="25"/>
      <c r="AI320" s="48" t="s">
        <v>326</v>
      </c>
      <c r="AJ320" s="27"/>
      <c r="AK320" s="27"/>
      <c r="AL320" s="27"/>
      <c r="AM320" s="27"/>
      <c r="AN320" s="27"/>
      <c r="AO320" s="27"/>
      <c r="AP320" s="27"/>
      <c r="AQ320" s="27"/>
    </row>
    <row r="321" spans="1:43" ht="14.25" customHeight="1">
      <c r="A321" s="42">
        <v>24.3200000000001</v>
      </c>
      <c r="B321" s="14">
        <v>2024</v>
      </c>
      <c r="C321" s="15">
        <v>320</v>
      </c>
      <c r="D321" s="16" t="str">
        <f ca="1">IFERROR(__xludf.DUMMYFUNCTION("IMPORTXML(AI321, ""//h1[@itemprop='headline']/span"")"),"320. Handel's Ice Cream")</f>
        <v>320. Handel's Ice Cream</v>
      </c>
      <c r="E321" s="17" t="str">
        <f ca="1">IFERROR(__xludf.DUMMYFUNCTION("REGEXEXTRACT(D321, ""\.\s*(.+)"")"),"Handel's Ice Cream")</f>
        <v>Handel's Ice Cream</v>
      </c>
      <c r="F321" s="18" t="str">
        <f ca="1">IFERROR(__xludf.DUMMYFUNCTION("IMPORTXML(AI321, ""//li[strong[text()='Investment Range:']]"")"),"Investment Range:")</f>
        <v>Investment Range:</v>
      </c>
      <c r="G321" s="43" t="str">
        <f ca="1">IFERROR(__xludf.DUMMYFUNCTION("""COMPUTED_VALUE""")," $311,000 - $936,000")</f>
        <v xml:space="preserve"> $311,000 - $936,000</v>
      </c>
      <c r="H321" s="18" t="str">
        <f ca="1">IFERROR(__xludf.DUMMYFUNCTION("SUBSTITUTE(REGEXEXTRACT(G321, ""\$(\d{1,3}(?:,\d{3})*)""), "","", ""."")
"),"311.000")</f>
        <v>311.000</v>
      </c>
      <c r="I321" s="19" t="str">
        <f ca="1">IFERROR(__xludf.DUMMYFUNCTION("SUBSTITUTE(REGEXEXTRACT(G321, ""-\s*\$(\d{1,3}(?:,\d{3})*)""), "","", ""."")
"),"936.000")</f>
        <v>936.000</v>
      </c>
      <c r="J321" s="19" t="str">
        <f ca="1">IFERROR(__xludf.DUMMYFUNCTION("IMPORTXML(AI321, ""//li[strong[text()='Initial Investment:']]"")"),"Loading...")</f>
        <v>Loading...</v>
      </c>
      <c r="K321" s="24"/>
      <c r="L321" s="20" t="str">
        <f ca="1">IFERROR(__xludf.DUMMYFUNCTION("IMPORTXML(AI321, ""//li[strong[text()='Category:']]"")"),"Loading...")</f>
        <v>Loading...</v>
      </c>
      <c r="M321" s="24"/>
      <c r="N321" s="19" t="str">
        <f ca="1">IFERROR(__xludf.DUMMYFUNCTION("IMPORTXML(AI321, ""//li[strong[text()='Global Sales:']]"")"),"Loading...")</f>
        <v>Loading...</v>
      </c>
      <c r="O321" s="24"/>
      <c r="P321" s="19" t="str">
        <f t="shared" si="3"/>
        <v/>
      </c>
      <c r="Q321" s="19" t="str">
        <f ca="1">IFERROR(__xludf.DUMMYFUNCTION("IMPORTXML(AI321, ""//li[strong[text()='US Units:']]"")"),"Loading...")</f>
        <v>Loading...</v>
      </c>
      <c r="R321" s="24"/>
      <c r="S321" s="19" t="str">
        <f ca="1">IFERROR(__xludf.DUMMYFUNCTION("IMPORTXML(AI321, ""//li[strong[text()='International Units:']]"")"),"Loading...")</f>
        <v>Loading...</v>
      </c>
      <c r="T321" s="44"/>
      <c r="U321" s="19" t="str">
        <f ca="1">IFERROR(__xludf.DUMMYFUNCTION("IMPORTXML(AI321, ""//li[strong[text()='Percent Franchised:']]"")"),"Loading...")</f>
        <v>Loading...</v>
      </c>
      <c r="V321" s="24"/>
      <c r="W321" s="19" t="str">
        <f ca="1">IFERROR(__xludf.DUMMYFUNCTION("IMPORTXML(AI321, ""//li[strong[text()='% International Units:']]"")"),"Loading...")</f>
        <v>Loading...</v>
      </c>
      <c r="X321" s="24"/>
      <c r="Y321" s="19" t="str">
        <f ca="1">IFERROR(__xludf.DUMMYFUNCTION("IMPORTXML(AI321, ""//li[strong[text()='US Franchised Units:']]"")"),"Loading...")</f>
        <v>Loading...</v>
      </c>
      <c r="Z321" s="24"/>
      <c r="AA321" s="14" t="str">
        <f t="shared" si="4"/>
        <v/>
      </c>
      <c r="AB321" s="19" t="str">
        <f ca="1">IFERROR(__xludf.DUMMYFUNCTION("IMPORTXML(AI321, ""//li[strong[text()='International Franchised Units:']]"")"),"Loading...")</f>
        <v>Loading...</v>
      </c>
      <c r="AC321" s="24"/>
      <c r="AD321" s="14" t="str">
        <f t="shared" si="5"/>
        <v/>
      </c>
      <c r="AE321" s="25" t="str">
        <f ca="1">IFERROR(__xludf.DUMMYFUNCTION("IMPORTXML(AI321, ""//li[strong[text()='Sales Growth %:']]"")"),"Loading...")</f>
        <v>Loading...</v>
      </c>
      <c r="AF321" s="24"/>
      <c r="AG321" s="25" t="str">
        <f ca="1">IFERROR(__xludf.DUMMYFUNCTION("IMPORTXML(AI321, ""//li[strong[text()='Unit Growth %:']]"")"),"Loading...")</f>
        <v>Loading...</v>
      </c>
      <c r="AH321" s="25"/>
      <c r="AI321" s="48" t="s">
        <v>327</v>
      </c>
      <c r="AJ321" s="27"/>
      <c r="AK321" s="27"/>
      <c r="AL321" s="27"/>
      <c r="AM321" s="27"/>
      <c r="AN321" s="27"/>
      <c r="AO321" s="27"/>
      <c r="AP321" s="27"/>
      <c r="AQ321" s="27"/>
    </row>
    <row r="322" spans="1:43" ht="14.25" customHeight="1">
      <c r="A322" s="42">
        <v>24.321000000000101</v>
      </c>
      <c r="B322" s="14">
        <v>2024</v>
      </c>
      <c r="C322" s="32">
        <v>321</v>
      </c>
      <c r="D322" s="16" t="str">
        <f ca="1">IFERROR(__xludf.DUMMYFUNCTION("IMPORTXML(AI322, ""//h1[@itemprop='headline']/span"")"),"321. SpeedPro")</f>
        <v>321. SpeedPro</v>
      </c>
      <c r="E322" s="17" t="str">
        <f ca="1">IFERROR(__xludf.DUMMYFUNCTION("REGEXEXTRACT(D322, ""\.\s*(.+)"")"),"SpeedPro")</f>
        <v>SpeedPro</v>
      </c>
      <c r="F322" s="18" t="str">
        <f ca="1">IFERROR(__xludf.DUMMYFUNCTION("IMPORTXML(AI322, ""//li[strong[text()='Investment Range:']]"")"),"Investment Range:")</f>
        <v>Investment Range:</v>
      </c>
      <c r="G322" s="43" t="str">
        <f ca="1">IFERROR(__xludf.DUMMYFUNCTION("""COMPUTED_VALUE""")," $233,642 - $350,134")</f>
        <v xml:space="preserve"> $233,642 - $350,134</v>
      </c>
      <c r="H322" s="18" t="str">
        <f ca="1">IFERROR(__xludf.DUMMYFUNCTION("SUBSTITUTE(REGEXEXTRACT(G322, ""\$(\d{1,3}(?:,\d{3})*)""), "","", ""."")
"),"233.642")</f>
        <v>233.642</v>
      </c>
      <c r="I322" s="19" t="str">
        <f ca="1">IFERROR(__xludf.DUMMYFUNCTION("SUBSTITUTE(REGEXEXTRACT(G322, ""-\s*\$(\d{1,3}(?:,\d{3})*)""), "","", ""."")
"),"350.134")</f>
        <v>350.134</v>
      </c>
      <c r="J322" s="19" t="str">
        <f ca="1">IFERROR(__xludf.DUMMYFUNCTION("IMPORTXML(AI322, ""//li[strong[text()='Initial Investment:']]"")"),"Loading...")</f>
        <v>Loading...</v>
      </c>
      <c r="K322" s="24"/>
      <c r="L322" s="20" t="str">
        <f ca="1">IFERROR(__xludf.DUMMYFUNCTION("IMPORTXML(AI322, ""//li[strong[text()='Category:']]"")"),"Loading...")</f>
        <v>Loading...</v>
      </c>
      <c r="M322" s="24"/>
      <c r="N322" s="19" t="str">
        <f ca="1">IFERROR(__xludf.DUMMYFUNCTION("IMPORTXML(AI322, ""//li[strong[text()='Global Sales:']]"")"),"Global Sales:")</f>
        <v>Global Sales:</v>
      </c>
      <c r="O322" s="24" t="str">
        <f ca="1">IFERROR(__xludf.DUMMYFUNCTION("""COMPUTED_VALUE""")," $104,154,020")</f>
        <v xml:space="preserve"> $104,154,020</v>
      </c>
      <c r="P322" s="19" t="str">
        <f t="shared" ca="1" si="3"/>
        <v xml:space="preserve"> 104.154.020</v>
      </c>
      <c r="Q322" s="19" t="str">
        <f ca="1">IFERROR(__xludf.DUMMYFUNCTION("IMPORTXML(AI322, ""//li[strong[text()='US Units:']]"")"),"Loading...")</f>
        <v>Loading...</v>
      </c>
      <c r="R322" s="24"/>
      <c r="S322" s="19" t="str">
        <f ca="1">IFERROR(__xludf.DUMMYFUNCTION("IMPORTXML(AI322, ""//li[strong[text()='International Units:']]"")"),"Loading...")</f>
        <v>Loading...</v>
      </c>
      <c r="T322" s="44"/>
      <c r="U322" s="19" t="str">
        <f ca="1">IFERROR(__xludf.DUMMYFUNCTION("IMPORTXML(AI322, ""//li[strong[text()='Percent Franchised:']]"")"),"Loading...")</f>
        <v>Loading...</v>
      </c>
      <c r="V322" s="24"/>
      <c r="W322" s="19" t="str">
        <f ca="1">IFERROR(__xludf.DUMMYFUNCTION("IMPORTXML(AI322, ""//li[strong[text()='% International Units:']]"")"),"Loading...")</f>
        <v>Loading...</v>
      </c>
      <c r="X322" s="24"/>
      <c r="Y322" s="19" t="str">
        <f ca="1">IFERROR(__xludf.DUMMYFUNCTION("IMPORTXML(AI322, ""//li[strong[text()='US Franchised Units:']]"")"),"Loading...")</f>
        <v>Loading...</v>
      </c>
      <c r="Z322" s="24"/>
      <c r="AA322" s="14" t="str">
        <f t="shared" si="4"/>
        <v/>
      </c>
      <c r="AB322" s="19" t="str">
        <f ca="1">IFERROR(__xludf.DUMMYFUNCTION("IMPORTXML(AI322, ""//li[strong[text()='International Franchised Units:']]"")"),"Loading...")</f>
        <v>Loading...</v>
      </c>
      <c r="AC322" s="24"/>
      <c r="AD322" s="14" t="str">
        <f t="shared" si="5"/>
        <v/>
      </c>
      <c r="AE322" s="25" t="str">
        <f ca="1">IFERROR(__xludf.DUMMYFUNCTION("IMPORTXML(AI322, ""//li[strong[text()='Sales Growth %:']]"")"),"Loading...")</f>
        <v>Loading...</v>
      </c>
      <c r="AF322" s="24"/>
      <c r="AG322" s="25" t="str">
        <f ca="1">IFERROR(__xludf.DUMMYFUNCTION("IMPORTXML(AI322, ""//li[strong[text()='Unit Growth %:']]"")"),"Loading...")</f>
        <v>Loading...</v>
      </c>
      <c r="AH322" s="25"/>
      <c r="AI322" s="48" t="s">
        <v>328</v>
      </c>
      <c r="AJ322" s="27"/>
      <c r="AK322" s="27"/>
      <c r="AL322" s="27"/>
      <c r="AM322" s="27"/>
      <c r="AN322" s="27"/>
      <c r="AO322" s="27"/>
      <c r="AP322" s="27"/>
      <c r="AQ322" s="27"/>
    </row>
    <row r="323" spans="1:43" ht="14.25" customHeight="1">
      <c r="A323" s="42">
        <v>24.322000000000099</v>
      </c>
      <c r="B323" s="14">
        <v>2024</v>
      </c>
      <c r="C323" s="36">
        <v>322</v>
      </c>
      <c r="D323" s="16" t="str">
        <f ca="1">IFERROR(__xludf.DUMMYFUNCTION("IMPORTXML(AI323, ""//h1[@itemprop='headline']/span"")"),"322. Shakey’s Pizza Parlor")</f>
        <v>322. Shakey’s Pizza Parlor</v>
      </c>
      <c r="E323" s="17" t="str">
        <f ca="1">IFERROR(__xludf.DUMMYFUNCTION("REGEXEXTRACT(D323, ""\.\s*(.+)"")"),"Shakey’s Pizza Parlor")</f>
        <v>Shakey’s Pizza Parlor</v>
      </c>
      <c r="F323" s="18" t="str">
        <f ca="1">IFERROR(__xludf.DUMMYFUNCTION("IMPORTXML(AI323, ""//li[strong[text()='Investment Range:']]"")"),"Investment Range:")</f>
        <v>Investment Range:</v>
      </c>
      <c r="G323" s="43" t="str">
        <f ca="1">IFERROR(__xludf.DUMMYFUNCTION("""COMPUTED_VALUE""")," $624,000 - $2,204,500")</f>
        <v xml:space="preserve"> $624,000 - $2,204,500</v>
      </c>
      <c r="H323" s="18" t="str">
        <f ca="1">IFERROR(__xludf.DUMMYFUNCTION("SUBSTITUTE(REGEXEXTRACT(G323, ""\$(\d{1,3}(?:,\d{3})*)""), "","", ""."")
"),"624.000")</f>
        <v>624.000</v>
      </c>
      <c r="I323" s="19" t="str">
        <f ca="1">IFERROR(__xludf.DUMMYFUNCTION("SUBSTITUTE(REGEXEXTRACT(G323, ""-\s*\$(\d{1,3}(?:,\d{3})*)""), "","", ""."")
"),"2.204.500")</f>
        <v>2.204.500</v>
      </c>
      <c r="J323" s="19" t="str">
        <f ca="1">IFERROR(__xludf.DUMMYFUNCTION("IMPORTXML(AI323, ""//li[strong[text()='Initial Investment:']]"")"),"Loading...")</f>
        <v>Loading...</v>
      </c>
      <c r="K323" s="24"/>
      <c r="L323" s="20" t="str">
        <f ca="1">IFERROR(__xludf.DUMMYFUNCTION("IMPORTXML(AI323, ""//li[strong[text()='Category:']]"")"),"Loading...")</f>
        <v>Loading...</v>
      </c>
      <c r="M323" s="24"/>
      <c r="N323" s="19" t="str">
        <f ca="1">IFERROR(__xludf.DUMMYFUNCTION("IMPORTXML(AI323, ""//li[strong[text()='Global Sales:']]"")"),"Loading...")</f>
        <v>Loading...</v>
      </c>
      <c r="O323" s="24"/>
      <c r="P323" s="19" t="str">
        <f t="shared" si="3"/>
        <v/>
      </c>
      <c r="Q323" s="19" t="str">
        <f ca="1">IFERROR(__xludf.DUMMYFUNCTION("IMPORTXML(AI323, ""//li[strong[text()='US Units:']]"")"),"Loading...")</f>
        <v>Loading...</v>
      </c>
      <c r="R323" s="24"/>
      <c r="S323" s="19" t="str">
        <f ca="1">IFERROR(__xludf.DUMMYFUNCTION("IMPORTXML(AI323, ""//li[strong[text()='International Units:']]"")"),"Loading...")</f>
        <v>Loading...</v>
      </c>
      <c r="T323" s="44"/>
      <c r="U323" s="19" t="str">
        <f ca="1">IFERROR(__xludf.DUMMYFUNCTION("IMPORTXML(AI323, ""//li[strong[text()='Percent Franchised:']]"")"),"Loading...")</f>
        <v>Loading...</v>
      </c>
      <c r="V323" s="24"/>
      <c r="W323" s="19" t="str">
        <f ca="1">IFERROR(__xludf.DUMMYFUNCTION("IMPORTXML(AI323, ""//li[strong[text()='% International Units:']]"")"),"Loading...")</f>
        <v>Loading...</v>
      </c>
      <c r="X323" s="24"/>
      <c r="Y323" s="19" t="str">
        <f ca="1">IFERROR(__xludf.DUMMYFUNCTION("IMPORTXML(AI323, ""//li[strong[text()='US Franchised Units:']]"")"),"Loading...")</f>
        <v>Loading...</v>
      </c>
      <c r="Z323" s="24"/>
      <c r="AA323" s="14" t="str">
        <f t="shared" si="4"/>
        <v/>
      </c>
      <c r="AB323" s="19" t="str">
        <f ca="1">IFERROR(__xludf.DUMMYFUNCTION("IMPORTXML(AI323, ""//li[strong[text()='International Franchised Units:']]"")"),"Loading...")</f>
        <v>Loading...</v>
      </c>
      <c r="AC323" s="24"/>
      <c r="AD323" s="14" t="str">
        <f t="shared" si="5"/>
        <v/>
      </c>
      <c r="AE323" s="25" t="str">
        <f ca="1">IFERROR(__xludf.DUMMYFUNCTION("IMPORTXML(AI323, ""//li[strong[text()='Sales Growth %:']]"")"),"Loading...")</f>
        <v>Loading...</v>
      </c>
      <c r="AF323" s="24"/>
      <c r="AG323" s="25" t="str">
        <f ca="1">IFERROR(__xludf.DUMMYFUNCTION("IMPORTXML(AI323, ""//li[strong[text()='Unit Growth %:']]"")"),"Loading...")</f>
        <v>Loading...</v>
      </c>
      <c r="AH323" s="25"/>
      <c r="AI323" s="48" t="s">
        <v>329</v>
      </c>
      <c r="AJ323" s="27"/>
      <c r="AK323" s="27"/>
      <c r="AL323" s="27"/>
      <c r="AM323" s="27"/>
      <c r="AN323" s="27"/>
      <c r="AO323" s="27"/>
      <c r="AP323" s="27"/>
      <c r="AQ323" s="27"/>
    </row>
    <row r="324" spans="1:43" ht="14.25" customHeight="1">
      <c r="A324" s="42">
        <v>24.3230000000001</v>
      </c>
      <c r="B324" s="14">
        <v>2024</v>
      </c>
      <c r="C324" s="36">
        <v>323</v>
      </c>
      <c r="D324" s="16" t="str">
        <f ca="1">IFERROR(__xludf.DUMMYFUNCTION("IMPORTXML(AI324, ""//h1[@itemprop='headline']/span"")"),"323. FRSTeam")</f>
        <v>323. FRSTeam</v>
      </c>
      <c r="E324" s="17" t="str">
        <f ca="1">IFERROR(__xludf.DUMMYFUNCTION("REGEXEXTRACT(D324, ""\.\s*(.+)"")"),"FRSTeam")</f>
        <v>FRSTeam</v>
      </c>
      <c r="F324" s="18" t="str">
        <f ca="1">IFERROR(__xludf.DUMMYFUNCTION("IMPORTXML(AI324, ""//li[strong[text()='Investment Range:']]"")"),"Investment Range:")</f>
        <v>Investment Range:</v>
      </c>
      <c r="G324" s="43" t="str">
        <f ca="1">IFERROR(__xludf.DUMMYFUNCTION("""COMPUTED_VALUE""")," $44,375 - $411,000")</f>
        <v xml:space="preserve"> $44,375 - $411,000</v>
      </c>
      <c r="H324" s="18" t="str">
        <f ca="1">IFERROR(__xludf.DUMMYFUNCTION("SUBSTITUTE(REGEXEXTRACT(G324, ""\$(\d{1,3}(?:,\d{3})*)""), "","", ""."")
"),"44.375")</f>
        <v>44.375</v>
      </c>
      <c r="I324" s="19" t="str">
        <f ca="1">IFERROR(__xludf.DUMMYFUNCTION("SUBSTITUTE(REGEXEXTRACT(G324, ""-\s*\$(\d{1,3}(?:,\d{3})*)""), "","", ""."")
"),"411.000")</f>
        <v>411.000</v>
      </c>
      <c r="J324" s="19" t="str">
        <f ca="1">IFERROR(__xludf.DUMMYFUNCTION("IMPORTXML(AI324, ""//li[strong[text()='Initial Investment:']]"")"),"Loading...")</f>
        <v>Loading...</v>
      </c>
      <c r="K324" s="24"/>
      <c r="L324" s="20" t="str">
        <f ca="1">IFERROR(__xludf.DUMMYFUNCTION("IMPORTXML(AI324, ""//li[strong[text()='Category:']]"")"),"Loading...")</f>
        <v>Loading...</v>
      </c>
      <c r="M324" s="24"/>
      <c r="N324" s="19" t="str">
        <f ca="1">IFERROR(__xludf.DUMMYFUNCTION("IMPORTXML(AI324, ""//li[strong[text()='Global Sales:']]"")"),"Loading...")</f>
        <v>Loading...</v>
      </c>
      <c r="O324" s="24"/>
      <c r="P324" s="19" t="str">
        <f t="shared" si="3"/>
        <v/>
      </c>
      <c r="Q324" s="19" t="str">
        <f ca="1">IFERROR(__xludf.DUMMYFUNCTION("IMPORTXML(AI324, ""//li[strong[text()='US Units:']]"")"),"Loading...")</f>
        <v>Loading...</v>
      </c>
      <c r="R324" s="24"/>
      <c r="S324" s="19" t="str">
        <f ca="1">IFERROR(__xludf.DUMMYFUNCTION("IMPORTXML(AI324, ""//li[strong[text()='International Units:']]"")"),"Loading...")</f>
        <v>Loading...</v>
      </c>
      <c r="T324" s="44"/>
      <c r="U324" s="19" t="str">
        <f ca="1">IFERROR(__xludf.DUMMYFUNCTION("IMPORTXML(AI324, ""//li[strong[text()='Percent Franchised:']]"")"),"Loading...")</f>
        <v>Loading...</v>
      </c>
      <c r="V324" s="24"/>
      <c r="W324" s="19" t="str">
        <f ca="1">IFERROR(__xludf.DUMMYFUNCTION("IMPORTXML(AI324, ""//li[strong[text()='% International Units:']]"")"),"Loading...")</f>
        <v>Loading...</v>
      </c>
      <c r="X324" s="24"/>
      <c r="Y324" s="19" t="str">
        <f ca="1">IFERROR(__xludf.DUMMYFUNCTION("IMPORTXML(AI324, ""//li[strong[text()='US Franchised Units:']]"")"),"Loading...")</f>
        <v>Loading...</v>
      </c>
      <c r="Z324" s="24"/>
      <c r="AA324" s="14" t="str">
        <f t="shared" si="4"/>
        <v/>
      </c>
      <c r="AB324" s="19" t="str">
        <f ca="1">IFERROR(__xludf.DUMMYFUNCTION("IMPORTXML(AI324, ""//li[strong[text()='International Franchised Units:']]"")"),"Loading...")</f>
        <v>Loading...</v>
      </c>
      <c r="AC324" s="24"/>
      <c r="AD324" s="14" t="str">
        <f t="shared" si="5"/>
        <v/>
      </c>
      <c r="AE324" s="25" t="str">
        <f ca="1">IFERROR(__xludf.DUMMYFUNCTION("IMPORTXML(AI324, ""//li[strong[text()='Sales Growth %:']]"")"),"Loading...")</f>
        <v>Loading...</v>
      </c>
      <c r="AF324" s="24"/>
      <c r="AG324" s="25" t="str">
        <f ca="1">IFERROR(__xludf.DUMMYFUNCTION("IMPORTXML(AI324, ""//li[strong[text()='Unit Growth %:']]"")"),"Loading...")</f>
        <v>Loading...</v>
      </c>
      <c r="AH324" s="25"/>
      <c r="AI324" s="48" t="s">
        <v>330</v>
      </c>
      <c r="AJ324" s="27"/>
      <c r="AK324" s="27"/>
      <c r="AL324" s="27"/>
      <c r="AM324" s="27"/>
      <c r="AN324" s="27"/>
      <c r="AO324" s="27"/>
      <c r="AP324" s="27"/>
      <c r="AQ324" s="27"/>
    </row>
    <row r="325" spans="1:43" ht="14.25" customHeight="1">
      <c r="A325" s="42">
        <v>24.324000000000101</v>
      </c>
      <c r="B325" s="14">
        <v>2024</v>
      </c>
      <c r="C325" s="15">
        <v>324</v>
      </c>
      <c r="D325" s="16" t="str">
        <f ca="1">IFERROR(__xludf.DUMMYFUNCTION("IMPORTXML(AI325, ""//h1[@itemprop='headline']/span"")"),"324. America's Swimming Pool Company")</f>
        <v>324. America's Swimming Pool Company</v>
      </c>
      <c r="E325" s="17" t="str">
        <f ca="1">IFERROR(__xludf.DUMMYFUNCTION("REGEXEXTRACT(D325, ""\.\s*(.+)"")"),"America's Swimming Pool Company")</f>
        <v>America's Swimming Pool Company</v>
      </c>
      <c r="F325" s="18" t="str">
        <f ca="1">IFERROR(__xludf.DUMMYFUNCTION("IMPORTXML(AI325, ""//li[strong[text()='Investment Range:']]"")"),"Investment Range:")</f>
        <v>Investment Range:</v>
      </c>
      <c r="G325" s="43" t="str">
        <f ca="1">IFERROR(__xludf.DUMMYFUNCTION("""COMPUTED_VALUE""")," $84,395 - $207,368")</f>
        <v xml:space="preserve"> $84,395 - $207,368</v>
      </c>
      <c r="H325" s="18" t="str">
        <f ca="1">IFERROR(__xludf.DUMMYFUNCTION("SUBSTITUTE(REGEXEXTRACT(G325, ""\$(\d{1,3}(?:,\d{3})*)""), "","", ""."")
"),"84.395")</f>
        <v>84.395</v>
      </c>
      <c r="I325" s="19" t="str">
        <f ca="1">IFERROR(__xludf.DUMMYFUNCTION("SUBSTITUTE(REGEXEXTRACT(G325, ""-\s*\$(\d{1,3}(?:,\d{3})*)""), "","", ""."")
"),"207.368")</f>
        <v>207.368</v>
      </c>
      <c r="J325" s="19" t="str">
        <f ca="1">IFERROR(__xludf.DUMMYFUNCTION("IMPORTXML(AI325, ""//li[strong[text()='Initial Investment:']]"")"),"Loading...")</f>
        <v>Loading...</v>
      </c>
      <c r="K325" s="24"/>
      <c r="L325" s="20" t="str">
        <f ca="1">IFERROR(__xludf.DUMMYFUNCTION("IMPORTXML(AI325, ""//li[strong[text()='Category:']]"")"),"Loading...")</f>
        <v>Loading...</v>
      </c>
      <c r="M325" s="24"/>
      <c r="N325" s="19" t="str">
        <f ca="1">IFERROR(__xludf.DUMMYFUNCTION("IMPORTXML(AI325, ""//li[strong[text()='Global Sales:']]"")"),"Loading...")</f>
        <v>Loading...</v>
      </c>
      <c r="O325" s="24"/>
      <c r="P325" s="19" t="str">
        <f t="shared" si="3"/>
        <v/>
      </c>
      <c r="Q325" s="19" t="str">
        <f ca="1">IFERROR(__xludf.DUMMYFUNCTION("IMPORTXML(AI325, ""//li[strong[text()='US Units:']]"")"),"Loading...")</f>
        <v>Loading...</v>
      </c>
      <c r="R325" s="24"/>
      <c r="S325" s="19" t="str">
        <f ca="1">IFERROR(__xludf.DUMMYFUNCTION("IMPORTXML(AI325, ""//li[strong[text()='International Units:']]"")"),"Loading...")</f>
        <v>Loading...</v>
      </c>
      <c r="T325" s="44"/>
      <c r="U325" s="19" t="str">
        <f ca="1">IFERROR(__xludf.DUMMYFUNCTION("IMPORTXML(AI325, ""//li[strong[text()='Percent Franchised:']]"")"),"Loading...")</f>
        <v>Loading...</v>
      </c>
      <c r="V325" s="24"/>
      <c r="W325" s="19" t="str">
        <f ca="1">IFERROR(__xludf.DUMMYFUNCTION("IMPORTXML(AI325, ""//li[strong[text()='% International Units:']]"")"),"Loading...")</f>
        <v>Loading...</v>
      </c>
      <c r="X325" s="24"/>
      <c r="Y325" s="19" t="str">
        <f ca="1">IFERROR(__xludf.DUMMYFUNCTION("IMPORTXML(AI325, ""//li[strong[text()='US Franchised Units:']]"")"),"US Franchised Units:")</f>
        <v>US Franchised Units:</v>
      </c>
      <c r="Z325" s="24">
        <f ca="1">IFERROR(__xludf.DUMMYFUNCTION("""COMPUTED_VALUE"""),375)</f>
        <v>375</v>
      </c>
      <c r="AA325" s="14" t="str">
        <f t="shared" ca="1" si="4"/>
        <v>375</v>
      </c>
      <c r="AB325" s="19" t="str">
        <f ca="1">IFERROR(__xludf.DUMMYFUNCTION("IMPORTXML(AI325, ""//li[strong[text()='International Franchised Units:']]"")"),"Loading...")</f>
        <v>Loading...</v>
      </c>
      <c r="AC325" s="24"/>
      <c r="AD325" s="14" t="str">
        <f t="shared" si="5"/>
        <v/>
      </c>
      <c r="AE325" s="25" t="str">
        <f ca="1">IFERROR(__xludf.DUMMYFUNCTION("IMPORTXML(AI325, ""//li[strong[text()='Sales Growth %:']]"")"),"Loading...")</f>
        <v>Loading...</v>
      </c>
      <c r="AF325" s="24"/>
      <c r="AG325" s="25" t="str">
        <f ca="1">IFERROR(__xludf.DUMMYFUNCTION("IMPORTXML(AI325, ""//li[strong[text()='Unit Growth %:']]"")"),"Loading...")</f>
        <v>Loading...</v>
      </c>
      <c r="AH325" s="25"/>
      <c r="AI325" s="48" t="s">
        <v>331</v>
      </c>
      <c r="AJ325" s="27"/>
      <c r="AK325" s="27"/>
      <c r="AL325" s="27"/>
      <c r="AM325" s="27"/>
      <c r="AN325" s="27"/>
      <c r="AO325" s="27"/>
      <c r="AP325" s="27"/>
      <c r="AQ325" s="27"/>
    </row>
    <row r="326" spans="1:43" ht="14.25" customHeight="1">
      <c r="A326" s="42">
        <v>24.325000000000099</v>
      </c>
      <c r="B326" s="14">
        <v>2024</v>
      </c>
      <c r="C326" s="32">
        <v>325</v>
      </c>
      <c r="D326" s="16" t="str">
        <f ca="1">IFERROR(__xludf.DUMMYFUNCTION("IMPORTXML(AI326, ""//h1[@itemprop='headline']/span"")"),"325. Stroll")</f>
        <v>325. Stroll</v>
      </c>
      <c r="E326" s="17" t="str">
        <f ca="1">IFERROR(__xludf.DUMMYFUNCTION("REGEXEXTRACT(D326, ""\.\s*(.+)"")"),"Stroll")</f>
        <v>Stroll</v>
      </c>
      <c r="F326" s="18" t="str">
        <f ca="1">IFERROR(__xludf.DUMMYFUNCTION("IMPORTXML(AI326, ""//li[strong[text()='Investment Range:']]"")"),"Investment Range:")</f>
        <v>Investment Range:</v>
      </c>
      <c r="G326" s="43" t="str">
        <f ca="1">IFERROR(__xludf.DUMMYFUNCTION("""COMPUTED_VALUE""")," $2,010 - $12,395")</f>
        <v xml:space="preserve"> $2,010 - $12,395</v>
      </c>
      <c r="H326" s="18" t="str">
        <f ca="1">IFERROR(__xludf.DUMMYFUNCTION("SUBSTITUTE(REGEXEXTRACT(G326, ""\$(\d{1,3}(?:,\d{3})*)""), "","", ""."")
"),"2.010")</f>
        <v>2.010</v>
      </c>
      <c r="I326" s="19" t="str">
        <f ca="1">IFERROR(__xludf.DUMMYFUNCTION("SUBSTITUTE(REGEXEXTRACT(G326, ""-\s*\$(\d{1,3}(?:,\d{3})*)""), "","", ""."")
"),"12.395")</f>
        <v>12.395</v>
      </c>
      <c r="J326" s="19" t="str">
        <f ca="1">IFERROR(__xludf.DUMMYFUNCTION("IMPORTXML(AI326, ""//li[strong[text()='Initial Investment:']]"")"),"Loading...")</f>
        <v>Loading...</v>
      </c>
      <c r="K326" s="24"/>
      <c r="L326" s="20" t="str">
        <f ca="1">IFERROR(__xludf.DUMMYFUNCTION("IMPORTXML(AI326, ""//li[strong[text()='Category:']]"")"),"Loading...")</f>
        <v>Loading...</v>
      </c>
      <c r="M326" s="24"/>
      <c r="N326" s="19" t="str">
        <f ca="1">IFERROR(__xludf.DUMMYFUNCTION("IMPORTXML(AI326, ""//li[strong[text()='Global Sales:']]"")"),"Loading...")</f>
        <v>Loading...</v>
      </c>
      <c r="O326" s="24"/>
      <c r="P326" s="19" t="str">
        <f t="shared" si="3"/>
        <v/>
      </c>
      <c r="Q326" s="19" t="str">
        <f ca="1">IFERROR(__xludf.DUMMYFUNCTION("IMPORTXML(AI326, ""//li[strong[text()='US Units:']]"")"),"Loading...")</f>
        <v>Loading...</v>
      </c>
      <c r="R326" s="24"/>
      <c r="S326" s="19" t="str">
        <f ca="1">IFERROR(__xludf.DUMMYFUNCTION("IMPORTXML(AI326, ""//li[strong[text()='International Units:']]"")"),"Loading...")</f>
        <v>Loading...</v>
      </c>
      <c r="T326" s="44"/>
      <c r="U326" s="19" t="str">
        <f ca="1">IFERROR(__xludf.DUMMYFUNCTION("IMPORTXML(AI326, ""//li[strong[text()='Percent Franchised:']]"")"),"Loading...")</f>
        <v>Loading...</v>
      </c>
      <c r="V326" s="24"/>
      <c r="W326" s="19" t="str">
        <f ca="1">IFERROR(__xludf.DUMMYFUNCTION("IMPORTXML(AI326, ""//li[strong[text()='% International Units:']]"")"),"Loading...")</f>
        <v>Loading...</v>
      </c>
      <c r="X326" s="24"/>
      <c r="Y326" s="19" t="str">
        <f ca="1">IFERROR(__xludf.DUMMYFUNCTION("IMPORTXML(AI326, ""//li[strong[text()='US Franchised Units:']]"")"),"Loading...")</f>
        <v>Loading...</v>
      </c>
      <c r="Z326" s="24"/>
      <c r="AA326" s="14" t="str">
        <f t="shared" si="4"/>
        <v/>
      </c>
      <c r="AB326" s="19" t="str">
        <f ca="1">IFERROR(__xludf.DUMMYFUNCTION("IMPORTXML(AI326, ""//li[strong[text()='International Franchised Units:']]"")"),"Loading...")</f>
        <v>Loading...</v>
      </c>
      <c r="AC326" s="24"/>
      <c r="AD326" s="14" t="str">
        <f t="shared" si="5"/>
        <v/>
      </c>
      <c r="AE326" s="25" t="str">
        <f ca="1">IFERROR(__xludf.DUMMYFUNCTION("IMPORTXML(AI326, ""//li[strong[text()='Sales Growth %:']]"")"),"Loading...")</f>
        <v>Loading...</v>
      </c>
      <c r="AF326" s="24"/>
      <c r="AG326" s="25" t="str">
        <f ca="1">IFERROR(__xludf.DUMMYFUNCTION("IMPORTXML(AI326, ""//li[strong[text()='Unit Growth %:']]"")"),"Loading...")</f>
        <v>Loading...</v>
      </c>
      <c r="AH326" s="25"/>
      <c r="AI326" s="48" t="s">
        <v>332</v>
      </c>
      <c r="AJ326" s="27"/>
      <c r="AK326" s="27"/>
      <c r="AL326" s="27"/>
      <c r="AM326" s="27"/>
      <c r="AN326" s="27"/>
      <c r="AO326" s="27"/>
      <c r="AP326" s="27"/>
      <c r="AQ326" s="27"/>
    </row>
    <row r="327" spans="1:43" ht="14.25" customHeight="1">
      <c r="A327" s="42">
        <v>24.3260000000001</v>
      </c>
      <c r="B327" s="14">
        <v>2024</v>
      </c>
      <c r="C327" s="36">
        <v>326</v>
      </c>
      <c r="D327" s="16" t="str">
        <f ca="1">IFERROR(__xludf.DUMMYFUNCTION("IMPORTXML(AI327, ""//h1[@itemprop='headline']/span"")"),"326. Which Wich")</f>
        <v>326. Which Wich</v>
      </c>
      <c r="E327" s="17" t="str">
        <f ca="1">IFERROR(__xludf.DUMMYFUNCTION("REGEXEXTRACT(D327, ""\.\s*(.+)"")"),"Which Wich")</f>
        <v>Which Wich</v>
      </c>
      <c r="F327" s="18" t="str">
        <f ca="1">IFERROR(__xludf.DUMMYFUNCTION("IMPORTXML(AI327, ""//li[strong[text()='Investment Range:']]"")"),"Investment Range:")</f>
        <v>Investment Range:</v>
      </c>
      <c r="G327" s="43" t="str">
        <f ca="1">IFERROR(__xludf.DUMMYFUNCTION("""COMPUTED_VALUE""")," $253,500 - $822,250")</f>
        <v xml:space="preserve"> $253,500 - $822,250</v>
      </c>
      <c r="H327" s="18" t="str">
        <f ca="1">IFERROR(__xludf.DUMMYFUNCTION("SUBSTITUTE(REGEXEXTRACT(G327, ""\$(\d{1,3}(?:,\d{3})*)""), "","", ""."")
"),"253.500")</f>
        <v>253.500</v>
      </c>
      <c r="I327" s="19" t="str">
        <f ca="1">IFERROR(__xludf.DUMMYFUNCTION("SUBSTITUTE(REGEXEXTRACT(G327, ""-\s*\$(\d{1,3}(?:,\d{3})*)""), "","", ""."")
"),"822.250")</f>
        <v>822.250</v>
      </c>
      <c r="J327" s="19" t="str">
        <f ca="1">IFERROR(__xludf.DUMMYFUNCTION("IMPORTXML(AI327, ""//li[strong[text()='Initial Investment:']]"")"),"Loading...")</f>
        <v>Loading...</v>
      </c>
      <c r="K327" s="24"/>
      <c r="L327" s="20" t="str">
        <f ca="1">IFERROR(__xludf.DUMMYFUNCTION("IMPORTXML(AI327, ""//li[strong[text()='Category:']]"")"),"Loading...")</f>
        <v>Loading...</v>
      </c>
      <c r="M327" s="24"/>
      <c r="N327" s="19" t="str">
        <f ca="1">IFERROR(__xludf.DUMMYFUNCTION("IMPORTXML(AI327, ""//li[strong[text()='Global Sales:']]"")"),"Loading...")</f>
        <v>Loading...</v>
      </c>
      <c r="O327" s="24"/>
      <c r="P327" s="19" t="str">
        <f t="shared" si="3"/>
        <v/>
      </c>
      <c r="Q327" s="19" t="str">
        <f ca="1">IFERROR(__xludf.DUMMYFUNCTION("IMPORTXML(AI327, ""//li[strong[text()='US Units:']]"")"),"Loading...")</f>
        <v>Loading...</v>
      </c>
      <c r="R327" s="24"/>
      <c r="S327" s="19" t="str">
        <f ca="1">IFERROR(__xludf.DUMMYFUNCTION("IMPORTXML(AI327, ""//li[strong[text()='International Units:']]"")"),"Loading...")</f>
        <v>Loading...</v>
      </c>
      <c r="T327" s="44"/>
      <c r="U327" s="19" t="str">
        <f ca="1">IFERROR(__xludf.DUMMYFUNCTION("IMPORTXML(AI327, ""//li[strong[text()='Percent Franchised:']]"")"),"Loading...")</f>
        <v>Loading...</v>
      </c>
      <c r="V327" s="24"/>
      <c r="W327" s="19" t="str">
        <f ca="1">IFERROR(__xludf.DUMMYFUNCTION("IMPORTXML(AI327, ""//li[strong[text()='% International Units:']]"")"),"Loading...")</f>
        <v>Loading...</v>
      </c>
      <c r="X327" s="24"/>
      <c r="Y327" s="19" t="str">
        <f ca="1">IFERROR(__xludf.DUMMYFUNCTION("IMPORTXML(AI327, ""//li[strong[text()='US Franchised Units:']]"")"),"Loading...")</f>
        <v>Loading...</v>
      </c>
      <c r="Z327" s="24"/>
      <c r="AA327" s="14" t="str">
        <f t="shared" si="4"/>
        <v/>
      </c>
      <c r="AB327" s="19" t="str">
        <f ca="1">IFERROR(__xludf.DUMMYFUNCTION("IMPORTXML(AI327, ""//li[strong[text()='International Franchised Units:']]"")"),"Loading...")</f>
        <v>Loading...</v>
      </c>
      <c r="AC327" s="24"/>
      <c r="AD327" s="14" t="str">
        <f t="shared" si="5"/>
        <v/>
      </c>
      <c r="AE327" s="25" t="str">
        <f ca="1">IFERROR(__xludf.DUMMYFUNCTION("IMPORTXML(AI327, ""//li[strong[text()='Sales Growth %:']]"")"),"Loading...")</f>
        <v>Loading...</v>
      </c>
      <c r="AF327" s="24"/>
      <c r="AG327" s="25" t="str">
        <f ca="1">IFERROR(__xludf.DUMMYFUNCTION("IMPORTXML(AI327, ""//li[strong[text()='Unit Growth %:']]"")"),"Loading...")</f>
        <v>Loading...</v>
      </c>
      <c r="AH327" s="25"/>
      <c r="AI327" s="48" t="s">
        <v>333</v>
      </c>
      <c r="AJ327" s="27"/>
      <c r="AK327" s="27"/>
      <c r="AL327" s="27"/>
      <c r="AM327" s="27"/>
      <c r="AN327" s="27"/>
      <c r="AO327" s="27"/>
      <c r="AP327" s="27"/>
      <c r="AQ327" s="27"/>
    </row>
    <row r="328" spans="1:43" ht="14.25" customHeight="1">
      <c r="A328" s="42">
        <v>24.327000000000101</v>
      </c>
      <c r="B328" s="14">
        <v>2024</v>
      </c>
      <c r="C328" s="36">
        <v>327</v>
      </c>
      <c r="D328" s="16" t="str">
        <f ca="1">IFERROR(__xludf.DUMMYFUNCTION("IMPORTXML(AI328, ""//h1[@itemprop='headline']/span"")"),"327. Marble Slab Creamery")</f>
        <v>327. Marble Slab Creamery</v>
      </c>
      <c r="E328" s="17" t="str">
        <f ca="1">IFERROR(__xludf.DUMMYFUNCTION("REGEXEXTRACT(D328, ""\.\s*(.+)"")"),"Marble Slab Creamery")</f>
        <v>Marble Slab Creamery</v>
      </c>
      <c r="F328" s="18" t="str">
        <f ca="1">IFERROR(__xludf.DUMMYFUNCTION("IMPORTXML(AI328, ""//li[strong[text()='Investment Range:']]"")"),"Investment Range:")</f>
        <v>Investment Range:</v>
      </c>
      <c r="G328" s="43" t="str">
        <f ca="1">IFERROR(__xludf.DUMMYFUNCTION("""COMPUTED_VALUE""")," $303,500 - $476,650")</f>
        <v xml:space="preserve"> $303,500 - $476,650</v>
      </c>
      <c r="H328" s="18" t="str">
        <f ca="1">IFERROR(__xludf.DUMMYFUNCTION("SUBSTITUTE(REGEXEXTRACT(G328, ""\$(\d{1,3}(?:,\d{3})*)""), "","", ""."")
"),"303.500")</f>
        <v>303.500</v>
      </c>
      <c r="I328" s="19" t="str">
        <f ca="1">IFERROR(__xludf.DUMMYFUNCTION("SUBSTITUTE(REGEXEXTRACT(G328, ""-\s*\$(\d{1,3}(?:,\d{3})*)""), "","", ""."")
"),"476.650")</f>
        <v>476.650</v>
      </c>
      <c r="J328" s="19" t="str">
        <f ca="1">IFERROR(__xludf.DUMMYFUNCTION("IMPORTXML(AI328, ""//li[strong[text()='Initial Investment:']]"")"),"Loading...")</f>
        <v>Loading...</v>
      </c>
      <c r="K328" s="24"/>
      <c r="L328" s="20" t="str">
        <f ca="1">IFERROR(__xludf.DUMMYFUNCTION("IMPORTXML(AI328, ""//li[strong[text()='Category:']]"")"),"Loading...")</f>
        <v>Loading...</v>
      </c>
      <c r="M328" s="24"/>
      <c r="N328" s="19" t="str">
        <f ca="1">IFERROR(__xludf.DUMMYFUNCTION("IMPORTXML(AI328, ""//li[strong[text()='Global Sales:']]"")"),"Loading...")</f>
        <v>Loading...</v>
      </c>
      <c r="O328" s="24"/>
      <c r="P328" s="19" t="str">
        <f t="shared" si="3"/>
        <v/>
      </c>
      <c r="Q328" s="19" t="str">
        <f ca="1">IFERROR(__xludf.DUMMYFUNCTION("IMPORTXML(AI328, ""//li[strong[text()='US Units:']]"")"),"Loading...")</f>
        <v>Loading...</v>
      </c>
      <c r="R328" s="24"/>
      <c r="S328" s="19" t="str">
        <f ca="1">IFERROR(__xludf.DUMMYFUNCTION("IMPORTXML(AI328, ""//li[strong[text()='International Units:']]"")"),"Loading...")</f>
        <v>Loading...</v>
      </c>
      <c r="T328" s="44"/>
      <c r="U328" s="19" t="str">
        <f ca="1">IFERROR(__xludf.DUMMYFUNCTION("IMPORTXML(AI328, ""//li[strong[text()='Percent Franchised:']]"")"),"Loading...")</f>
        <v>Loading...</v>
      </c>
      <c r="V328" s="24"/>
      <c r="W328" s="19" t="str">
        <f ca="1">IFERROR(__xludf.DUMMYFUNCTION("IMPORTXML(AI328, ""//li[strong[text()='% International Units:']]"")"),"Loading...")</f>
        <v>Loading...</v>
      </c>
      <c r="X328" s="24"/>
      <c r="Y328" s="19" t="str">
        <f ca="1">IFERROR(__xludf.DUMMYFUNCTION("IMPORTXML(AI328, ""//li[strong[text()='US Franchised Units:']]"")"),"Loading...")</f>
        <v>Loading...</v>
      </c>
      <c r="Z328" s="24"/>
      <c r="AA328" s="14" t="str">
        <f t="shared" si="4"/>
        <v/>
      </c>
      <c r="AB328" s="19" t="str">
        <f ca="1">IFERROR(__xludf.DUMMYFUNCTION("IMPORTXML(AI328, ""//li[strong[text()='International Franchised Units:']]"")"),"Loading...")</f>
        <v>Loading...</v>
      </c>
      <c r="AC328" s="24"/>
      <c r="AD328" s="14" t="str">
        <f t="shared" si="5"/>
        <v/>
      </c>
      <c r="AE328" s="25" t="str">
        <f ca="1">IFERROR(__xludf.DUMMYFUNCTION("IMPORTXML(AI328, ""//li[strong[text()='Sales Growth %:']]"")"),"Loading...")</f>
        <v>Loading...</v>
      </c>
      <c r="AF328" s="24"/>
      <c r="AG328" s="25" t="str">
        <f ca="1">IFERROR(__xludf.DUMMYFUNCTION("IMPORTXML(AI328, ""//li[strong[text()='Unit Growth %:']]"")"),"Loading...")</f>
        <v>Loading...</v>
      </c>
      <c r="AH328" s="25"/>
      <c r="AI328" s="48" t="s">
        <v>334</v>
      </c>
      <c r="AJ328" s="27"/>
      <c r="AK328" s="27"/>
      <c r="AL328" s="27"/>
      <c r="AM328" s="27"/>
      <c r="AN328" s="27"/>
      <c r="AO328" s="27"/>
      <c r="AP328" s="27"/>
      <c r="AQ328" s="27"/>
    </row>
    <row r="329" spans="1:43" ht="14.25" customHeight="1">
      <c r="A329" s="42">
        <v>24.328000000000099</v>
      </c>
      <c r="B329" s="14">
        <v>2024</v>
      </c>
      <c r="C329" s="15">
        <v>328</v>
      </c>
      <c r="D329" s="16" t="str">
        <f ca="1">IFERROR(__xludf.DUMMYFUNCTION("IMPORTXML(AI329, ""//h1[@itemprop='headline']/span"")"),"328. Soccer Shots")</f>
        <v>328. Soccer Shots</v>
      </c>
      <c r="E329" s="17" t="str">
        <f ca="1">IFERROR(__xludf.DUMMYFUNCTION("REGEXEXTRACT(D329, ""\.\s*(.+)"")"),"Soccer Shots")</f>
        <v>Soccer Shots</v>
      </c>
      <c r="F329" s="18" t="str">
        <f ca="1">IFERROR(__xludf.DUMMYFUNCTION("IMPORTXML(AI329, ""//li[strong[text()='Investment Range:']]"")"),"Investment Range:")</f>
        <v>Investment Range:</v>
      </c>
      <c r="G329" s="43" t="str">
        <f ca="1">IFERROR(__xludf.DUMMYFUNCTION("""COMPUTED_VALUE""")," $42,950 - $54,300")</f>
        <v xml:space="preserve"> $42,950 - $54,300</v>
      </c>
      <c r="H329" s="18" t="str">
        <f ca="1">IFERROR(__xludf.DUMMYFUNCTION("SUBSTITUTE(REGEXEXTRACT(G329, ""\$(\d{1,3}(?:,\d{3})*)""), "","", ""."")
"),"42.950")</f>
        <v>42.950</v>
      </c>
      <c r="I329" s="19" t="str">
        <f ca="1">IFERROR(__xludf.DUMMYFUNCTION("SUBSTITUTE(REGEXEXTRACT(G329, ""-\s*\$(\d{1,3}(?:,\d{3})*)""), "","", ""."")
"),"54.300")</f>
        <v>54.300</v>
      </c>
      <c r="J329" s="19" t="str">
        <f ca="1">IFERROR(__xludf.DUMMYFUNCTION("IMPORTXML(AI329, ""//li[strong[text()='Initial Investment:']]"")"),"Loading...")</f>
        <v>Loading...</v>
      </c>
      <c r="K329" s="24"/>
      <c r="L329" s="20" t="str">
        <f ca="1">IFERROR(__xludf.DUMMYFUNCTION("IMPORTXML(AI329, ""//li[strong[text()='Category:']]"")"),"Loading...")</f>
        <v>Loading...</v>
      </c>
      <c r="M329" s="24"/>
      <c r="N329" s="19" t="str">
        <f ca="1">IFERROR(__xludf.DUMMYFUNCTION("IMPORTXML(AI329, ""//li[strong[text()='Global Sales:']]"")"),"Loading...")</f>
        <v>Loading...</v>
      </c>
      <c r="O329" s="24"/>
      <c r="P329" s="19" t="str">
        <f t="shared" si="3"/>
        <v/>
      </c>
      <c r="Q329" s="19" t="str">
        <f ca="1">IFERROR(__xludf.DUMMYFUNCTION("IMPORTXML(AI329, ""//li[strong[text()='US Units:']]"")"),"Loading...")</f>
        <v>Loading...</v>
      </c>
      <c r="R329" s="24"/>
      <c r="S329" s="19" t="str">
        <f ca="1">IFERROR(__xludf.DUMMYFUNCTION("IMPORTXML(AI329, ""//li[strong[text()='International Units:']]"")"),"Loading...")</f>
        <v>Loading...</v>
      </c>
      <c r="T329" s="44"/>
      <c r="U329" s="19" t="str">
        <f ca="1">IFERROR(__xludf.DUMMYFUNCTION("IMPORTXML(AI329, ""//li[strong[text()='Percent Franchised:']]"")"),"Loading...")</f>
        <v>Loading...</v>
      </c>
      <c r="V329" s="24"/>
      <c r="W329" s="19" t="str">
        <f ca="1">IFERROR(__xludf.DUMMYFUNCTION("IMPORTXML(AI329, ""//li[strong[text()='% International Units:']]"")"),"% International Units:")</f>
        <v>% International Units:</v>
      </c>
      <c r="X329" s="45">
        <f ca="1">IFERROR(__xludf.DUMMYFUNCTION("""COMPUTED_VALUE"""),0.03)</f>
        <v>0.03</v>
      </c>
      <c r="Y329" s="19" t="str">
        <f ca="1">IFERROR(__xludf.DUMMYFUNCTION("IMPORTXML(AI329, ""//li[strong[text()='US Franchised Units:']]"")"),"Loading...")</f>
        <v>Loading...</v>
      </c>
      <c r="Z329" s="24"/>
      <c r="AA329" s="14" t="str">
        <f t="shared" si="4"/>
        <v/>
      </c>
      <c r="AB329" s="19" t="str">
        <f ca="1">IFERROR(__xludf.DUMMYFUNCTION("IMPORTXML(AI329, ""//li[strong[text()='International Franchised Units:']]"")"),"Loading...")</f>
        <v>Loading...</v>
      </c>
      <c r="AC329" s="24"/>
      <c r="AD329" s="14" t="str">
        <f t="shared" si="5"/>
        <v/>
      </c>
      <c r="AE329" s="25" t="str">
        <f ca="1">IFERROR(__xludf.DUMMYFUNCTION("IMPORTXML(AI329, ""//li[strong[text()='Sales Growth %:']]"")"),"Loading...")</f>
        <v>Loading...</v>
      </c>
      <c r="AF329" s="24"/>
      <c r="AG329" s="25" t="str">
        <f ca="1">IFERROR(__xludf.DUMMYFUNCTION("IMPORTXML(AI329, ""//li[strong[text()='Unit Growth %:']]"")"),"Loading...")</f>
        <v>Loading...</v>
      </c>
      <c r="AH329" s="25"/>
      <c r="AI329" s="48" t="s">
        <v>335</v>
      </c>
      <c r="AJ329" s="27"/>
      <c r="AK329" s="27"/>
      <c r="AL329" s="27"/>
      <c r="AM329" s="27"/>
      <c r="AN329" s="27"/>
      <c r="AO329" s="27"/>
      <c r="AP329" s="27"/>
      <c r="AQ329" s="27"/>
    </row>
    <row r="330" spans="1:43" ht="14.25" customHeight="1">
      <c r="A330" s="42">
        <v>24.3290000000001</v>
      </c>
      <c r="B330" s="14">
        <v>2024</v>
      </c>
      <c r="C330" s="32">
        <v>329</v>
      </c>
      <c r="D330" s="16" t="str">
        <f ca="1">IFERROR(__xludf.DUMMYFUNCTION("IMPORTXML(AI330, ""//h1[@itemprop='headline']/span"")"),"329. Junk King")</f>
        <v>329. Junk King</v>
      </c>
      <c r="E330" s="17" t="str">
        <f ca="1">IFERROR(__xludf.DUMMYFUNCTION("REGEXEXTRACT(D330, ""\.\s*(.+)"")"),"Junk King")</f>
        <v>Junk King</v>
      </c>
      <c r="F330" s="18" t="str">
        <f ca="1">IFERROR(__xludf.DUMMYFUNCTION("IMPORTXML(AI330, ""//li[strong[text()='Investment Range:']]"")"),"Investment Range:")</f>
        <v>Investment Range:</v>
      </c>
      <c r="G330" s="43" t="str">
        <f ca="1">IFERROR(__xludf.DUMMYFUNCTION("""COMPUTED_VALUE""")," $93,300 - $180,000")</f>
        <v xml:space="preserve"> $93,300 - $180,000</v>
      </c>
      <c r="H330" s="18" t="str">
        <f ca="1">IFERROR(__xludf.DUMMYFUNCTION("SUBSTITUTE(REGEXEXTRACT(G330, ""\$(\d{1,3}(?:,\d{3})*)""), "","", ""."")
"),"93.300")</f>
        <v>93.300</v>
      </c>
      <c r="I330" s="19" t="str">
        <f ca="1">IFERROR(__xludf.DUMMYFUNCTION("SUBSTITUTE(REGEXEXTRACT(G330, ""-\s*\$(\d{1,3}(?:,\d{3})*)""), "","", ""."")
"),"180.000")</f>
        <v>180.000</v>
      </c>
      <c r="J330" s="19" t="str">
        <f ca="1">IFERROR(__xludf.DUMMYFUNCTION("IMPORTXML(AI330, ""//li[strong[text()='Initial Investment:']]"")"),"Loading...")</f>
        <v>Loading...</v>
      </c>
      <c r="K330" s="24"/>
      <c r="L330" s="20" t="str">
        <f ca="1">IFERROR(__xludf.DUMMYFUNCTION("IMPORTXML(AI330, ""//li[strong[text()='Category:']]"")"),"Loading...")</f>
        <v>Loading...</v>
      </c>
      <c r="M330" s="24"/>
      <c r="N330" s="19" t="str">
        <f ca="1">IFERROR(__xludf.DUMMYFUNCTION("IMPORTXML(AI330, ""//li[strong[text()='Global Sales:']]"")"),"Loading...")</f>
        <v>Loading...</v>
      </c>
      <c r="O330" s="24"/>
      <c r="P330" s="19" t="str">
        <f t="shared" si="3"/>
        <v/>
      </c>
      <c r="Q330" s="19" t="str">
        <f ca="1">IFERROR(__xludf.DUMMYFUNCTION("IMPORTXML(AI330, ""//li[strong[text()='US Units:']]"")"),"Loading...")</f>
        <v>Loading...</v>
      </c>
      <c r="R330" s="24"/>
      <c r="S330" s="19" t="str">
        <f ca="1">IFERROR(__xludf.DUMMYFUNCTION("IMPORTXML(AI330, ""//li[strong[text()='International Units:']]"")"),"Loading...")</f>
        <v>Loading...</v>
      </c>
      <c r="T330" s="44"/>
      <c r="U330" s="19" t="str">
        <f ca="1">IFERROR(__xludf.DUMMYFUNCTION("IMPORTXML(AI330, ""//li[strong[text()='Percent Franchised:']]"")"),"Loading...")</f>
        <v>Loading...</v>
      </c>
      <c r="V330" s="24"/>
      <c r="W330" s="19" t="str">
        <f ca="1">IFERROR(__xludf.DUMMYFUNCTION("IMPORTXML(AI330, ""//li[strong[text()='% International Units:']]"")"),"Loading...")</f>
        <v>Loading...</v>
      </c>
      <c r="X330" s="24"/>
      <c r="Y330" s="19" t="str">
        <f ca="1">IFERROR(__xludf.DUMMYFUNCTION("IMPORTXML(AI330, ""//li[strong[text()='US Franchised Units:']]"")"),"Loading...")</f>
        <v>Loading...</v>
      </c>
      <c r="Z330" s="24"/>
      <c r="AA330" s="14" t="str">
        <f t="shared" si="4"/>
        <v/>
      </c>
      <c r="AB330" s="19" t="str">
        <f ca="1">IFERROR(__xludf.DUMMYFUNCTION("IMPORTXML(AI330, ""//li[strong[text()='International Franchised Units:']]"")"),"Loading...")</f>
        <v>Loading...</v>
      </c>
      <c r="AC330" s="24"/>
      <c r="AD330" s="14" t="str">
        <f t="shared" si="5"/>
        <v/>
      </c>
      <c r="AE330" s="25" t="str">
        <f ca="1">IFERROR(__xludf.DUMMYFUNCTION("IMPORTXML(AI330, ""//li[strong[text()='Sales Growth %:']]"")"),"Loading...")</f>
        <v>Loading...</v>
      </c>
      <c r="AF330" s="24"/>
      <c r="AG330" s="25" t="str">
        <f ca="1">IFERROR(__xludf.DUMMYFUNCTION("IMPORTXML(AI330, ""//li[strong[text()='Unit Growth %:']]"")"),"Loading...")</f>
        <v>Loading...</v>
      </c>
      <c r="AH330" s="25"/>
      <c r="AI330" s="48" t="s">
        <v>336</v>
      </c>
      <c r="AJ330" s="27"/>
      <c r="AK330" s="27"/>
      <c r="AL330" s="27"/>
      <c r="AM330" s="27"/>
      <c r="AN330" s="27"/>
      <c r="AO330" s="27"/>
      <c r="AP330" s="27"/>
      <c r="AQ330" s="27"/>
    </row>
    <row r="331" spans="1:43" ht="14.25" customHeight="1">
      <c r="A331" s="42">
        <v>24.330000000000101</v>
      </c>
      <c r="B331" s="14">
        <v>2024</v>
      </c>
      <c r="C331" s="36">
        <v>330</v>
      </c>
      <c r="D331" s="16" t="str">
        <f ca="1">IFERROR(__xludf.DUMMYFUNCTION("IMPORTXML(AI331, ""//h1[@itemprop='headline']/span"")"),"330. Mighty Dog Roofing")</f>
        <v>330. Mighty Dog Roofing</v>
      </c>
      <c r="E331" s="17" t="str">
        <f ca="1">IFERROR(__xludf.DUMMYFUNCTION("REGEXEXTRACT(D331, ""\.\s*(.+)"")"),"Mighty Dog Roofing")</f>
        <v>Mighty Dog Roofing</v>
      </c>
      <c r="F331" s="18" t="str">
        <f ca="1">IFERROR(__xludf.DUMMYFUNCTION("IMPORTXML(AI331, ""//li[strong[text()='Investment Range:']]"")"),"Investment Range:")</f>
        <v>Investment Range:</v>
      </c>
      <c r="G331" s="43" t="str">
        <f ca="1">IFERROR(__xludf.DUMMYFUNCTION("""COMPUTED_VALUE""")," $183,904 - $235,904")</f>
        <v xml:space="preserve"> $183,904 - $235,904</v>
      </c>
      <c r="H331" s="18" t="str">
        <f ca="1">IFERROR(__xludf.DUMMYFUNCTION("SUBSTITUTE(REGEXEXTRACT(G331, ""\$(\d{1,3}(?:,\d{3})*)""), "","", ""."")
"),"183.904")</f>
        <v>183.904</v>
      </c>
      <c r="I331" s="19" t="str">
        <f ca="1">IFERROR(__xludf.DUMMYFUNCTION("SUBSTITUTE(REGEXEXTRACT(G331, ""-\s*\$(\d{1,3}(?:,\d{3})*)""), "","", ""."")
"),"235.904")</f>
        <v>235.904</v>
      </c>
      <c r="J331" s="19" t="str">
        <f ca="1">IFERROR(__xludf.DUMMYFUNCTION("IMPORTXML(AI331, ""//li[strong[text()='Initial Investment:']]"")"),"Loading...")</f>
        <v>Loading...</v>
      </c>
      <c r="K331" s="24"/>
      <c r="L331" s="20" t="str">
        <f ca="1">IFERROR(__xludf.DUMMYFUNCTION("IMPORTXML(AI331, ""//li[strong[text()='Category:']]"")"),"Loading...")</f>
        <v>Loading...</v>
      </c>
      <c r="M331" s="24"/>
      <c r="N331" s="19" t="str">
        <f ca="1">IFERROR(__xludf.DUMMYFUNCTION("IMPORTXML(AI331, ""//li[strong[text()='Global Sales:']]"")"),"Loading...")</f>
        <v>Loading...</v>
      </c>
      <c r="O331" s="24"/>
      <c r="P331" s="19" t="str">
        <f t="shared" si="3"/>
        <v/>
      </c>
      <c r="Q331" s="19" t="str">
        <f ca="1">IFERROR(__xludf.DUMMYFUNCTION("IMPORTXML(AI331, ""//li[strong[text()='US Units:']]"")"),"Loading...")</f>
        <v>Loading...</v>
      </c>
      <c r="R331" s="24"/>
      <c r="S331" s="19" t="str">
        <f ca="1">IFERROR(__xludf.DUMMYFUNCTION("IMPORTXML(AI331, ""//li[strong[text()='International Units:']]"")"),"Loading...")</f>
        <v>Loading...</v>
      </c>
      <c r="T331" s="44"/>
      <c r="U331" s="19" t="str">
        <f ca="1">IFERROR(__xludf.DUMMYFUNCTION("IMPORTXML(AI331, ""//li[strong[text()='Percent Franchised:']]"")"),"Loading...")</f>
        <v>Loading...</v>
      </c>
      <c r="V331" s="24"/>
      <c r="W331" s="19" t="str">
        <f ca="1">IFERROR(__xludf.DUMMYFUNCTION("IMPORTXML(AI331, ""//li[strong[text()='% International Units:']]"")"),"Loading...")</f>
        <v>Loading...</v>
      </c>
      <c r="X331" s="24"/>
      <c r="Y331" s="19" t="str">
        <f ca="1">IFERROR(__xludf.DUMMYFUNCTION("IMPORTXML(AI331, ""//li[strong[text()='US Franchised Units:']]"")"),"Loading...")</f>
        <v>Loading...</v>
      </c>
      <c r="Z331" s="24"/>
      <c r="AA331" s="14" t="str">
        <f t="shared" si="4"/>
        <v/>
      </c>
      <c r="AB331" s="19" t="str">
        <f ca="1">IFERROR(__xludf.DUMMYFUNCTION("IMPORTXML(AI331, ""//li[strong[text()='International Franchised Units:']]"")"),"Loading...")</f>
        <v>Loading...</v>
      </c>
      <c r="AC331" s="24"/>
      <c r="AD331" s="14" t="str">
        <f t="shared" si="5"/>
        <v/>
      </c>
      <c r="AE331" s="25" t="str">
        <f ca="1">IFERROR(__xludf.DUMMYFUNCTION("IMPORTXML(AI331, ""//li[strong[text()='Sales Growth %:']]"")"),"Loading...")</f>
        <v>Loading...</v>
      </c>
      <c r="AF331" s="24"/>
      <c r="AG331" s="25" t="str">
        <f ca="1">IFERROR(__xludf.DUMMYFUNCTION("IMPORTXML(AI331, ""//li[strong[text()='Unit Growth %:']]"")"),"Loading...")</f>
        <v>Loading...</v>
      </c>
      <c r="AH331" s="25"/>
      <c r="AI331" s="48" t="s">
        <v>337</v>
      </c>
      <c r="AJ331" s="27"/>
      <c r="AK331" s="27"/>
      <c r="AL331" s="27"/>
      <c r="AM331" s="27"/>
      <c r="AN331" s="27"/>
      <c r="AO331" s="27"/>
      <c r="AP331" s="27"/>
      <c r="AQ331" s="27"/>
    </row>
    <row r="332" spans="1:43" ht="14.25" customHeight="1">
      <c r="A332" s="42">
        <v>24.331000000000099</v>
      </c>
      <c r="B332" s="14">
        <v>2024</v>
      </c>
      <c r="C332" s="36">
        <v>331</v>
      </c>
      <c r="D332" s="16" t="str">
        <f ca="1">IFERROR(__xludf.DUMMYFUNCTION("IMPORTXML(AI332, ""//h1[@itemprop='headline']/span"")"),"331. Broken Yolk Cafe")</f>
        <v>331. Broken Yolk Cafe</v>
      </c>
      <c r="E332" s="17" t="str">
        <f ca="1">IFERROR(__xludf.DUMMYFUNCTION("REGEXEXTRACT(D332, ""\.\s*(.+)"")"),"Broken Yolk Cafe")</f>
        <v>Broken Yolk Cafe</v>
      </c>
      <c r="F332" s="18" t="str">
        <f ca="1">IFERROR(__xludf.DUMMYFUNCTION("IMPORTXML(AI332, ""//li[strong[text()='Investment Range:']]"")"),"#REF!")</f>
        <v>#REF!</v>
      </c>
      <c r="G332" s="43"/>
      <c r="H332" s="18" t="str">
        <f ca="1">IFERROR(__xludf.DUMMYFUNCTION("SUBSTITUTE(REGEXEXTRACT(G332, ""\$(\d{1,3}(?:,\d{3})*)""), "","", ""."")
"),"#N/A")</f>
        <v>#N/A</v>
      </c>
      <c r="I332" s="19" t="str">
        <f ca="1">IFERROR(__xludf.DUMMYFUNCTION("SUBSTITUTE(REGEXEXTRACT(G332, ""-\s*\$(\d{1,3}(?:,\d{3})*)""), "","", ""."")
"),"#N/A")</f>
        <v>#N/A</v>
      </c>
      <c r="J332" s="19" t="str">
        <f ca="1">IFERROR(__xludf.DUMMYFUNCTION("IMPORTXML(AI332, ""//li[strong[text()='Initial Investment:']]"")"),"Loading...")</f>
        <v>Loading...</v>
      </c>
      <c r="K332" s="24"/>
      <c r="L332" s="20" t="str">
        <f ca="1">IFERROR(__xludf.DUMMYFUNCTION("IMPORTXML(AI332, ""//li[strong[text()='Category:']]"")"),"Loading...")</f>
        <v>Loading...</v>
      </c>
      <c r="M332" s="24"/>
      <c r="N332" s="19" t="str">
        <f ca="1">IFERROR(__xludf.DUMMYFUNCTION("IMPORTXML(AI332, ""//li[strong[text()='Global Sales:']]"")"),"Loading...")</f>
        <v>Loading...</v>
      </c>
      <c r="O332" s="24"/>
      <c r="P332" s="19" t="str">
        <f t="shared" si="3"/>
        <v/>
      </c>
      <c r="Q332" s="19" t="str">
        <f ca="1">IFERROR(__xludf.DUMMYFUNCTION("IMPORTXML(AI332, ""//li[strong[text()='US Units:']]"")"),"US Units:")</f>
        <v>US Units:</v>
      </c>
      <c r="R332" s="24">
        <f ca="1">IFERROR(__xludf.DUMMYFUNCTION("""COMPUTED_VALUE"""),37)</f>
        <v>37</v>
      </c>
      <c r="S332" s="19" t="str">
        <f ca="1">IFERROR(__xludf.DUMMYFUNCTION("IMPORTXML(AI332, ""//li[strong[text()='International Units:']]"")"),"Loading...")</f>
        <v>Loading...</v>
      </c>
      <c r="T332" s="44"/>
      <c r="U332" s="19" t="str">
        <f ca="1">IFERROR(__xludf.DUMMYFUNCTION("IMPORTXML(AI332, ""//li[strong[text()='Percent Franchised:']]"")"),"Loading...")</f>
        <v>Loading...</v>
      </c>
      <c r="V332" s="24"/>
      <c r="W332" s="19" t="str">
        <f ca="1">IFERROR(__xludf.DUMMYFUNCTION("IMPORTXML(AI332, ""//li[strong[text()='% International Units:']]"")"),"Loading...")</f>
        <v>Loading...</v>
      </c>
      <c r="X332" s="24"/>
      <c r="Y332" s="19" t="str">
        <f ca="1">IFERROR(__xludf.DUMMYFUNCTION("IMPORTXML(AI332, ""//li[strong[text()='US Franchised Units:']]"")"),"Loading...")</f>
        <v>Loading...</v>
      </c>
      <c r="Z332" s="24"/>
      <c r="AA332" s="14" t="str">
        <f t="shared" si="4"/>
        <v/>
      </c>
      <c r="AB332" s="19" t="str">
        <f ca="1">IFERROR(__xludf.DUMMYFUNCTION("IMPORTXML(AI332, ""//li[strong[text()='International Franchised Units:']]"")"),"Loading...")</f>
        <v>Loading...</v>
      </c>
      <c r="AC332" s="24"/>
      <c r="AD332" s="14" t="str">
        <f t="shared" si="5"/>
        <v/>
      </c>
      <c r="AE332" s="25" t="str">
        <f ca="1">IFERROR(__xludf.DUMMYFUNCTION("IMPORTXML(AI332, ""//li[strong[text()='Sales Growth %:']]"")"),"Loading...")</f>
        <v>Loading...</v>
      </c>
      <c r="AF332" s="24"/>
      <c r="AG332" s="25" t="str">
        <f ca="1">IFERROR(__xludf.DUMMYFUNCTION("IMPORTXML(AI332, ""//li[strong[text()='Unit Growth %:']]"")"),"Loading...")</f>
        <v>Loading...</v>
      </c>
      <c r="AH332" s="25"/>
      <c r="AI332" s="48" t="s">
        <v>338</v>
      </c>
      <c r="AJ332" s="27"/>
      <c r="AK332" s="27"/>
      <c r="AL332" s="27"/>
      <c r="AM332" s="27"/>
      <c r="AN332" s="27"/>
      <c r="AO332" s="27"/>
      <c r="AP332" s="27"/>
      <c r="AQ332" s="27"/>
    </row>
    <row r="333" spans="1:43" ht="14.25" customHeight="1">
      <c r="A333" s="42">
        <v>24.3320000000001</v>
      </c>
      <c r="B333" s="14">
        <v>2024</v>
      </c>
      <c r="C333" s="15">
        <v>332</v>
      </c>
      <c r="D333" s="16" t="str">
        <f ca="1">IFERROR(__xludf.DUMMYFUNCTION("IMPORTXML(AI333, ""//h1[@itemprop='headline']/span"")"),"332. Dream Vacations")</f>
        <v>332. Dream Vacations</v>
      </c>
      <c r="E333" s="17" t="str">
        <f ca="1">IFERROR(__xludf.DUMMYFUNCTION("REGEXEXTRACT(D333, ""\.\s*(.+)"")"),"Dream Vacations")</f>
        <v>Dream Vacations</v>
      </c>
      <c r="F333" s="18" t="str">
        <f ca="1">IFERROR(__xludf.DUMMYFUNCTION("IMPORTXML(AI333, ""//li[strong[text()='Investment Range:']]"")"),"Investment Range:")</f>
        <v>Investment Range:</v>
      </c>
      <c r="G333" s="43" t="str">
        <f ca="1">IFERROR(__xludf.DUMMYFUNCTION("""COMPUTED_VALUE""")," $12,595 - $21,870")</f>
        <v xml:space="preserve"> $12,595 - $21,870</v>
      </c>
      <c r="H333" s="18" t="str">
        <f ca="1">IFERROR(__xludf.DUMMYFUNCTION("SUBSTITUTE(REGEXEXTRACT(G333, ""\$(\d{1,3}(?:,\d{3})*)""), "","", ""."")
"),"12.595")</f>
        <v>12.595</v>
      </c>
      <c r="I333" s="19" t="str">
        <f ca="1">IFERROR(__xludf.DUMMYFUNCTION("SUBSTITUTE(REGEXEXTRACT(G333, ""-\s*\$(\d{1,3}(?:,\d{3})*)""), "","", ""."")
"),"21.870")</f>
        <v>21.870</v>
      </c>
      <c r="J333" s="19" t="str">
        <f ca="1">IFERROR(__xludf.DUMMYFUNCTION("IMPORTXML(AI333, ""//li[strong[text()='Initial Investment:']]"")"),"Loading...")</f>
        <v>Loading...</v>
      </c>
      <c r="K333" s="24"/>
      <c r="L333" s="20" t="str">
        <f ca="1">IFERROR(__xludf.DUMMYFUNCTION("IMPORTXML(AI333, ""//li[strong[text()='Category:']]"")"),"Category:")</f>
        <v>Category:</v>
      </c>
      <c r="M333" s="24" t="str">
        <f ca="1">IFERROR(__xludf.DUMMYFUNCTION("""COMPUTED_VALUE""")," Hotel/Travel")</f>
        <v xml:space="preserve"> Hotel/Travel</v>
      </c>
      <c r="N333" s="19" t="str">
        <f ca="1">IFERROR(__xludf.DUMMYFUNCTION("IMPORTXML(AI333, ""//li[strong[text()='Global Sales:']]"")"),"Loading...")</f>
        <v>Loading...</v>
      </c>
      <c r="O333" s="24"/>
      <c r="P333" s="19" t="str">
        <f t="shared" si="3"/>
        <v/>
      </c>
      <c r="Q333" s="19" t="str">
        <f ca="1">IFERROR(__xludf.DUMMYFUNCTION("IMPORTXML(AI333, ""//li[strong[text()='US Units:']]"")"),"Loading...")</f>
        <v>Loading...</v>
      </c>
      <c r="R333" s="24"/>
      <c r="S333" s="19" t="str">
        <f ca="1">IFERROR(__xludf.DUMMYFUNCTION("IMPORTXML(AI333, ""//li[strong[text()='International Units:']]"")"),"Loading...")</f>
        <v>Loading...</v>
      </c>
      <c r="T333" s="44"/>
      <c r="U333" s="19" t="str">
        <f ca="1">IFERROR(__xludf.DUMMYFUNCTION("IMPORTXML(AI333, ""//li[strong[text()='Percent Franchised:']]"")"),"Loading...")</f>
        <v>Loading...</v>
      </c>
      <c r="V333" s="24"/>
      <c r="W333" s="19" t="str">
        <f ca="1">IFERROR(__xludf.DUMMYFUNCTION("IMPORTXML(AI333, ""//li[strong[text()='% International Units:']]"")"),"Loading...")</f>
        <v>Loading...</v>
      </c>
      <c r="X333" s="24"/>
      <c r="Y333" s="19" t="str">
        <f ca="1">IFERROR(__xludf.DUMMYFUNCTION("IMPORTXML(AI333, ""//li[strong[text()='US Franchised Units:']]"")"),"Loading...")</f>
        <v>Loading...</v>
      </c>
      <c r="Z333" s="24"/>
      <c r="AA333" s="14" t="str">
        <f t="shared" si="4"/>
        <v/>
      </c>
      <c r="AB333" s="19" t="str">
        <f ca="1">IFERROR(__xludf.DUMMYFUNCTION("IMPORTXML(AI333, ""//li[strong[text()='International Franchised Units:']]"")"),"Loading...")</f>
        <v>Loading...</v>
      </c>
      <c r="AC333" s="24"/>
      <c r="AD333" s="14" t="str">
        <f t="shared" si="5"/>
        <v/>
      </c>
      <c r="AE333" s="25" t="str">
        <f ca="1">IFERROR(__xludf.DUMMYFUNCTION("IMPORTXML(AI333, ""//li[strong[text()='Sales Growth %:']]"")"),"Loading...")</f>
        <v>Loading...</v>
      </c>
      <c r="AF333" s="24"/>
      <c r="AG333" s="25" t="str">
        <f ca="1">IFERROR(__xludf.DUMMYFUNCTION("IMPORTXML(AI333, ""//li[strong[text()='Unit Growth %:']]"")"),"Loading...")</f>
        <v>Loading...</v>
      </c>
      <c r="AH333" s="25"/>
      <c r="AI333" s="48" t="s">
        <v>339</v>
      </c>
      <c r="AJ333" s="27"/>
      <c r="AK333" s="27"/>
      <c r="AL333" s="27"/>
      <c r="AM333" s="27"/>
      <c r="AN333" s="27"/>
      <c r="AO333" s="27"/>
      <c r="AP333" s="27"/>
      <c r="AQ333" s="27"/>
    </row>
    <row r="334" spans="1:43" ht="14.25" customHeight="1">
      <c r="A334" s="42">
        <v>24.333000000000101</v>
      </c>
      <c r="B334" s="14">
        <v>2024</v>
      </c>
      <c r="C334" s="32">
        <v>333</v>
      </c>
      <c r="D334" s="16" t="str">
        <f ca="1">IFERROR(__xludf.DUMMYFUNCTION("IMPORTXML(AI334, ""//h1[@itemprop='headline']/span"")"),"333. Retro Fitness")</f>
        <v>333. Retro Fitness</v>
      </c>
      <c r="E334" s="17" t="str">
        <f ca="1">IFERROR(__xludf.DUMMYFUNCTION("REGEXEXTRACT(D334, ""\.\s*(.+)"")"),"Retro Fitness")</f>
        <v>Retro Fitness</v>
      </c>
      <c r="F334" s="18" t="str">
        <f ca="1">IFERROR(__xludf.DUMMYFUNCTION("IMPORTXML(AI334, ""//li[strong[text()='Investment Range:']]"")"),"Investment Range:")</f>
        <v>Investment Range:</v>
      </c>
      <c r="G334" s="43" t="str">
        <f ca="1">IFERROR(__xludf.DUMMYFUNCTION("""COMPUTED_VALUE""")," $1,812,316 - $2,911,991")</f>
        <v xml:space="preserve"> $1,812,316 - $2,911,991</v>
      </c>
      <c r="H334" s="18" t="str">
        <f ca="1">IFERROR(__xludf.DUMMYFUNCTION("SUBSTITUTE(REGEXEXTRACT(G334, ""\$(\d{1,3}(?:,\d{3})*)""), "","", ""."")
"),"1.812.316")</f>
        <v>1.812.316</v>
      </c>
      <c r="I334" s="19" t="str">
        <f ca="1">IFERROR(__xludf.DUMMYFUNCTION("SUBSTITUTE(REGEXEXTRACT(G334, ""-\s*\$(\d{1,3}(?:,\d{3})*)""), "","", ""."")
"),"2.911.991")</f>
        <v>2.911.991</v>
      </c>
      <c r="J334" s="19" t="str">
        <f ca="1">IFERROR(__xludf.DUMMYFUNCTION("IMPORTXML(AI334, ""//li[strong[text()='Initial Investment:']]"")"),"Loading...")</f>
        <v>Loading...</v>
      </c>
      <c r="K334" s="24"/>
      <c r="L334" s="20" t="str">
        <f ca="1">IFERROR(__xludf.DUMMYFUNCTION("IMPORTXML(AI334, ""//li[strong[text()='Category:']]"")"),"Loading...")</f>
        <v>Loading...</v>
      </c>
      <c r="M334" s="24"/>
      <c r="N334" s="19" t="str">
        <f ca="1">IFERROR(__xludf.DUMMYFUNCTION("IMPORTXML(AI334, ""//li[strong[text()='Global Sales:']]"")"),"Loading...")</f>
        <v>Loading...</v>
      </c>
      <c r="O334" s="24"/>
      <c r="P334" s="19" t="str">
        <f t="shared" si="3"/>
        <v/>
      </c>
      <c r="Q334" s="19" t="str">
        <f ca="1">IFERROR(__xludf.DUMMYFUNCTION("IMPORTXML(AI334, ""//li[strong[text()='US Units:']]"")"),"Loading...")</f>
        <v>Loading...</v>
      </c>
      <c r="R334" s="24"/>
      <c r="S334" s="19" t="str">
        <f ca="1">IFERROR(__xludf.DUMMYFUNCTION("IMPORTXML(AI334, ""//li[strong[text()='International Units:']]"")"),"Loading...")</f>
        <v>Loading...</v>
      </c>
      <c r="T334" s="44"/>
      <c r="U334" s="19" t="str">
        <f ca="1">IFERROR(__xludf.DUMMYFUNCTION("IMPORTXML(AI334, ""//li[strong[text()='Percent Franchised:']]"")"),"Loading...")</f>
        <v>Loading...</v>
      </c>
      <c r="V334" s="24"/>
      <c r="W334" s="19" t="str">
        <f ca="1">IFERROR(__xludf.DUMMYFUNCTION("IMPORTXML(AI334, ""//li[strong[text()='% International Units:']]"")"),"Loading...")</f>
        <v>Loading...</v>
      </c>
      <c r="X334" s="24"/>
      <c r="Y334" s="19" t="str">
        <f ca="1">IFERROR(__xludf.DUMMYFUNCTION("IMPORTXML(AI334, ""//li[strong[text()='US Franchised Units:']]"")"),"Loading...")</f>
        <v>Loading...</v>
      </c>
      <c r="Z334" s="24"/>
      <c r="AA334" s="14" t="str">
        <f t="shared" si="4"/>
        <v/>
      </c>
      <c r="AB334" s="19" t="str">
        <f ca="1">IFERROR(__xludf.DUMMYFUNCTION("IMPORTXML(AI334, ""//li[strong[text()='International Franchised Units:']]"")"),"Loading...")</f>
        <v>Loading...</v>
      </c>
      <c r="AC334" s="24"/>
      <c r="AD334" s="14" t="str">
        <f t="shared" si="5"/>
        <v/>
      </c>
      <c r="AE334" s="25" t="str">
        <f ca="1">IFERROR(__xludf.DUMMYFUNCTION("IMPORTXML(AI334, ""//li[strong[text()='Sales Growth %:']]"")"),"#N/A")</f>
        <v>#N/A</v>
      </c>
      <c r="AF334" s="24"/>
      <c r="AG334" s="25" t="str">
        <f ca="1">IFERROR(__xludf.DUMMYFUNCTION("IMPORTXML(AI334, ""//li[strong[text()='Unit Growth %:']]"")"),"Loading...")</f>
        <v>Loading...</v>
      </c>
      <c r="AH334" s="25"/>
      <c r="AI334" s="48" t="s">
        <v>340</v>
      </c>
      <c r="AJ334" s="27"/>
      <c r="AK334" s="27"/>
      <c r="AL334" s="27"/>
      <c r="AM334" s="27"/>
      <c r="AN334" s="27"/>
      <c r="AO334" s="27"/>
      <c r="AP334" s="27"/>
      <c r="AQ334" s="27"/>
    </row>
    <row r="335" spans="1:43" ht="14.25" customHeight="1">
      <c r="A335" s="42">
        <v>24.334000000000099</v>
      </c>
      <c r="B335" s="14">
        <v>2024</v>
      </c>
      <c r="C335" s="36">
        <v>334</v>
      </c>
      <c r="D335" s="16" t="str">
        <f ca="1">IFERROR(__xludf.DUMMYFUNCTION("IMPORTXML(AI335, ""//h1[@itemprop='headline']/span"")"),"334. CycleBar")</f>
        <v>334. CycleBar</v>
      </c>
      <c r="E335" s="17" t="str">
        <f ca="1">IFERROR(__xludf.DUMMYFUNCTION("REGEXEXTRACT(D335, ""\.\s*(.+)"")"),"CycleBar")</f>
        <v>CycleBar</v>
      </c>
      <c r="F335" s="18" t="str">
        <f ca="1">IFERROR(__xludf.DUMMYFUNCTION("IMPORTXML(AI335, ""//li[strong[text()='Investment Range:']]"")"),"Investment Range:")</f>
        <v>Investment Range:</v>
      </c>
      <c r="G335" s="43" t="str">
        <f ca="1">IFERROR(__xludf.DUMMYFUNCTION("""COMPUTED_VALUE""")," $337,720 - $511,455")</f>
        <v xml:space="preserve"> $337,720 - $511,455</v>
      </c>
      <c r="H335" s="18" t="str">
        <f ca="1">IFERROR(__xludf.DUMMYFUNCTION("SUBSTITUTE(REGEXEXTRACT(G335, ""\$(\d{1,3}(?:,\d{3})*)""), "","", ""."")
"),"337.720")</f>
        <v>337.720</v>
      </c>
      <c r="I335" s="19" t="str">
        <f ca="1">IFERROR(__xludf.DUMMYFUNCTION("SUBSTITUTE(REGEXEXTRACT(G335, ""-\s*\$(\d{1,3}(?:,\d{3})*)""), "","", ""."")
"),"511.455")</f>
        <v>511.455</v>
      </c>
      <c r="J335" s="19" t="str">
        <f ca="1">IFERROR(__xludf.DUMMYFUNCTION("IMPORTXML(AI335, ""//li[strong[text()='Initial Investment:']]"")"),"Loading...")</f>
        <v>Loading...</v>
      </c>
      <c r="K335" s="24"/>
      <c r="L335" s="20" t="str">
        <f ca="1">IFERROR(__xludf.DUMMYFUNCTION("IMPORTXML(AI335, ""//li[strong[text()='Category:']]"")"),"Loading...")</f>
        <v>Loading...</v>
      </c>
      <c r="M335" s="24"/>
      <c r="N335" s="19" t="str">
        <f ca="1">IFERROR(__xludf.DUMMYFUNCTION("IMPORTXML(AI335, ""//li[strong[text()='Global Sales:']]"")"),"Loading...")</f>
        <v>Loading...</v>
      </c>
      <c r="O335" s="24"/>
      <c r="P335" s="19" t="str">
        <f t="shared" si="3"/>
        <v/>
      </c>
      <c r="Q335" s="19" t="str">
        <f ca="1">IFERROR(__xludf.DUMMYFUNCTION("IMPORTXML(AI335, ""//li[strong[text()='US Units:']]"")"),"Loading...")</f>
        <v>Loading...</v>
      </c>
      <c r="R335" s="24"/>
      <c r="S335" s="19" t="str">
        <f ca="1">IFERROR(__xludf.DUMMYFUNCTION("IMPORTXML(AI335, ""//li[strong[text()='International Units:']]"")"),"Loading...")</f>
        <v>Loading...</v>
      </c>
      <c r="T335" s="44"/>
      <c r="U335" s="19" t="str">
        <f ca="1">IFERROR(__xludf.DUMMYFUNCTION("IMPORTXML(AI335, ""//li[strong[text()='Percent Franchised:']]"")"),"Loading...")</f>
        <v>Loading...</v>
      </c>
      <c r="V335" s="24"/>
      <c r="W335" s="19" t="str">
        <f ca="1">IFERROR(__xludf.DUMMYFUNCTION("IMPORTXML(AI335, ""//li[strong[text()='% International Units:']]"")"),"Loading...")</f>
        <v>Loading...</v>
      </c>
      <c r="X335" s="24"/>
      <c r="Y335" s="19" t="str">
        <f ca="1">IFERROR(__xludf.DUMMYFUNCTION("IMPORTXML(AI335, ""//li[strong[text()='US Franchised Units:']]"")"),"Loading...")</f>
        <v>Loading...</v>
      </c>
      <c r="Z335" s="24"/>
      <c r="AA335" s="14" t="str">
        <f t="shared" si="4"/>
        <v/>
      </c>
      <c r="AB335" s="19" t="str">
        <f ca="1">IFERROR(__xludf.DUMMYFUNCTION("IMPORTXML(AI335, ""//li[strong[text()='International Franchised Units:']]"")"),"Loading...")</f>
        <v>Loading...</v>
      </c>
      <c r="AC335" s="24"/>
      <c r="AD335" s="14" t="str">
        <f t="shared" si="5"/>
        <v/>
      </c>
      <c r="AE335" s="25" t="str">
        <f ca="1">IFERROR(__xludf.DUMMYFUNCTION("IMPORTXML(AI335, ""//li[strong[text()='Sales Growth %:']]"")"),"Loading...")</f>
        <v>Loading...</v>
      </c>
      <c r="AF335" s="24"/>
      <c r="AG335" s="25" t="str">
        <f ca="1">IFERROR(__xludf.DUMMYFUNCTION("IMPORTXML(AI335, ""//li[strong[text()='Unit Growth %:']]"")"),"Loading...")</f>
        <v>Loading...</v>
      </c>
      <c r="AH335" s="25"/>
      <c r="AI335" s="48" t="s">
        <v>341</v>
      </c>
      <c r="AJ335" s="27"/>
      <c r="AK335" s="27"/>
      <c r="AL335" s="27"/>
      <c r="AM335" s="27"/>
      <c r="AN335" s="27"/>
      <c r="AO335" s="27"/>
      <c r="AP335" s="27"/>
      <c r="AQ335" s="27"/>
    </row>
    <row r="336" spans="1:43" ht="14.25" customHeight="1">
      <c r="A336" s="42">
        <v>24.3350000000001</v>
      </c>
      <c r="B336" s="14">
        <v>2024</v>
      </c>
      <c r="C336" s="36">
        <v>335</v>
      </c>
      <c r="D336" s="16" t="str">
        <f ca="1">IFERROR(__xludf.DUMMYFUNCTION("IMPORTXML(AI336, ""//h1[@itemprop='headline']/span"")"),"335. Bubbakoo’s Burritos")</f>
        <v>335. Bubbakoo’s Burritos</v>
      </c>
      <c r="E336" s="17" t="str">
        <f ca="1">IFERROR(__xludf.DUMMYFUNCTION("REGEXEXTRACT(D336, ""\.\s*(.+)"")"),"Bubbakoo’s Burritos")</f>
        <v>Bubbakoo’s Burritos</v>
      </c>
      <c r="F336" s="18" t="str">
        <f ca="1">IFERROR(__xludf.DUMMYFUNCTION("IMPORTXML(AI336, ""//li[strong[text()='Investment Range:']]"")"),"Investment Range:")</f>
        <v>Investment Range:</v>
      </c>
      <c r="G336" s="43" t="str">
        <f ca="1">IFERROR(__xludf.DUMMYFUNCTION("""COMPUTED_VALUE""")," $356,000 - $757,000")</f>
        <v xml:space="preserve"> $356,000 - $757,000</v>
      </c>
      <c r="H336" s="18" t="str">
        <f ca="1">IFERROR(__xludf.DUMMYFUNCTION("SUBSTITUTE(REGEXEXTRACT(G336, ""\$(\d{1,3}(?:,\d{3})*)""), "","", ""."")
"),"356.000")</f>
        <v>356.000</v>
      </c>
      <c r="I336" s="19" t="str">
        <f ca="1">IFERROR(__xludf.DUMMYFUNCTION("SUBSTITUTE(REGEXEXTRACT(G336, ""-\s*\$(\d{1,3}(?:,\d{3})*)""), "","", ""."")
"),"757.000")</f>
        <v>757.000</v>
      </c>
      <c r="J336" s="19" t="str">
        <f ca="1">IFERROR(__xludf.DUMMYFUNCTION("IMPORTXML(AI336, ""//li[strong[text()='Initial Investment:']]"")"),"Loading...")</f>
        <v>Loading...</v>
      </c>
      <c r="K336" s="24"/>
      <c r="L336" s="20" t="str">
        <f ca="1">IFERROR(__xludf.DUMMYFUNCTION("IMPORTXML(AI336, ""//li[strong[text()='Category:']]"")"),"Loading...")</f>
        <v>Loading...</v>
      </c>
      <c r="M336" s="24"/>
      <c r="N336" s="19" t="str">
        <f ca="1">IFERROR(__xludf.DUMMYFUNCTION("IMPORTXML(AI336, ""//li[strong[text()='Global Sales:']]"")"),"Loading...")</f>
        <v>Loading...</v>
      </c>
      <c r="O336" s="24"/>
      <c r="P336" s="19" t="str">
        <f t="shared" si="3"/>
        <v/>
      </c>
      <c r="Q336" s="19" t="str">
        <f ca="1">IFERROR(__xludf.DUMMYFUNCTION("IMPORTXML(AI336, ""//li[strong[text()='US Units:']]"")"),"Loading...")</f>
        <v>Loading...</v>
      </c>
      <c r="R336" s="24"/>
      <c r="S336" s="19" t="str">
        <f ca="1">IFERROR(__xludf.DUMMYFUNCTION("IMPORTXML(AI336, ""//li[strong[text()='International Units:']]"")"),"Loading...")</f>
        <v>Loading...</v>
      </c>
      <c r="T336" s="44"/>
      <c r="U336" s="19" t="str">
        <f ca="1">IFERROR(__xludf.DUMMYFUNCTION("IMPORTXML(AI336, ""//li[strong[text()='Percent Franchised:']]"")"),"Loading...")</f>
        <v>Loading...</v>
      </c>
      <c r="V336" s="24"/>
      <c r="W336" s="19" t="str">
        <f ca="1">IFERROR(__xludf.DUMMYFUNCTION("IMPORTXML(AI336, ""//li[strong[text()='% International Units:']]"")"),"Loading...")</f>
        <v>Loading...</v>
      </c>
      <c r="X336" s="24"/>
      <c r="Y336" s="19" t="str">
        <f ca="1">IFERROR(__xludf.DUMMYFUNCTION("IMPORTXML(AI336, ""//li[strong[text()='US Franchised Units:']]"")"),"Loading...")</f>
        <v>Loading...</v>
      </c>
      <c r="Z336" s="24"/>
      <c r="AA336" s="14" t="str">
        <f t="shared" si="4"/>
        <v/>
      </c>
      <c r="AB336" s="19" t="str">
        <f ca="1">IFERROR(__xludf.DUMMYFUNCTION("IMPORTXML(AI336, ""//li[strong[text()='International Franchised Units:']]"")"),"Loading...")</f>
        <v>Loading...</v>
      </c>
      <c r="AC336" s="24"/>
      <c r="AD336" s="14" t="str">
        <f t="shared" si="5"/>
        <v/>
      </c>
      <c r="AE336" s="25" t="str">
        <f ca="1">IFERROR(__xludf.DUMMYFUNCTION("IMPORTXML(AI336, ""//li[strong[text()='Sales Growth %:']]"")"),"Loading...")</f>
        <v>Loading...</v>
      </c>
      <c r="AF336" s="24"/>
      <c r="AG336" s="25" t="str">
        <f ca="1">IFERROR(__xludf.DUMMYFUNCTION("IMPORTXML(AI336, ""//li[strong[text()='Unit Growth %:']]"")"),"Unit Growth %:")</f>
        <v>Unit Growth %:</v>
      </c>
      <c r="AH336" s="25" t="str">
        <f ca="1">IFERROR(__xludf.DUMMYFUNCTION("""COMPUTED_VALUE""")," 18.4%")</f>
        <v xml:space="preserve"> 18.4%</v>
      </c>
      <c r="AI336" s="48" t="s">
        <v>342</v>
      </c>
      <c r="AJ336" s="27"/>
      <c r="AK336" s="27"/>
      <c r="AL336" s="27"/>
      <c r="AM336" s="27"/>
      <c r="AN336" s="27"/>
      <c r="AO336" s="27"/>
      <c r="AP336" s="27"/>
      <c r="AQ336" s="27"/>
    </row>
    <row r="337" spans="1:43" ht="14.25" customHeight="1">
      <c r="A337" s="42">
        <v>24.336000000000102</v>
      </c>
      <c r="B337" s="14">
        <v>2024</v>
      </c>
      <c r="C337" s="15">
        <v>336</v>
      </c>
      <c r="D337" s="16" t="str">
        <f ca="1">IFERROR(__xludf.DUMMYFUNCTION("IMPORTXML(AI337, ""//h1[@itemprop='headline']/span"")"),"336. 911 Restoration")</f>
        <v>336. 911 Restoration</v>
      </c>
      <c r="E337" s="17" t="str">
        <f ca="1">IFERROR(__xludf.DUMMYFUNCTION("REGEXEXTRACT(D337, ""\.\s*(.+)"")"),"911 Restoration")</f>
        <v>911 Restoration</v>
      </c>
      <c r="F337" s="18" t="str">
        <f ca="1">IFERROR(__xludf.DUMMYFUNCTION("IMPORTXML(AI337, ""//li[strong[text()='Investment Range:']]"")"),"#N/A")</f>
        <v>#N/A</v>
      </c>
      <c r="G337" s="43"/>
      <c r="H337" s="18" t="str">
        <f ca="1">IFERROR(__xludf.DUMMYFUNCTION("SUBSTITUTE(REGEXEXTRACT(G337, ""\$(\d{1,3}(?:,\d{3})*)""), "","", ""."")
"),"#N/A")</f>
        <v>#N/A</v>
      </c>
      <c r="I337" s="19" t="str">
        <f ca="1">IFERROR(__xludf.DUMMYFUNCTION("SUBSTITUTE(REGEXEXTRACT(G337, ""-\s*\$(\d{1,3}(?:,\d{3})*)""), "","", ""."")
"),"#N/A")</f>
        <v>#N/A</v>
      </c>
      <c r="J337" s="19" t="str">
        <f ca="1">IFERROR(__xludf.DUMMYFUNCTION("IMPORTXML(AI337, ""//li[strong[text()='Initial Investment:']]"")"),"Loading...")</f>
        <v>Loading...</v>
      </c>
      <c r="K337" s="24"/>
      <c r="L337" s="20" t="str">
        <f ca="1">IFERROR(__xludf.DUMMYFUNCTION("IMPORTXML(AI337, ""//li[strong[text()='Category:']]"")"),"Loading...")</f>
        <v>Loading...</v>
      </c>
      <c r="M337" s="24"/>
      <c r="N337" s="19" t="str">
        <f ca="1">IFERROR(__xludf.DUMMYFUNCTION("IMPORTXML(AI337, ""//li[strong[text()='Global Sales:']]"")"),"Loading...")</f>
        <v>Loading...</v>
      </c>
      <c r="O337" s="24"/>
      <c r="P337" s="19" t="str">
        <f t="shared" si="3"/>
        <v/>
      </c>
      <c r="Q337" s="19" t="str">
        <f ca="1">IFERROR(__xludf.DUMMYFUNCTION("IMPORTXML(AI337, ""//li[strong[text()='US Units:']]"")"),"Loading...")</f>
        <v>Loading...</v>
      </c>
      <c r="R337" s="24"/>
      <c r="S337" s="19" t="str">
        <f ca="1">IFERROR(__xludf.DUMMYFUNCTION("IMPORTXML(AI337, ""//li[strong[text()='International Units:']]"")"),"Loading...")</f>
        <v>Loading...</v>
      </c>
      <c r="T337" s="44"/>
      <c r="U337" s="19" t="str">
        <f ca="1">IFERROR(__xludf.DUMMYFUNCTION("IMPORTXML(AI337, ""//li[strong[text()='Percent Franchised:']]"")"),"Loading...")</f>
        <v>Loading...</v>
      </c>
      <c r="V337" s="24"/>
      <c r="W337" s="19" t="str">
        <f ca="1">IFERROR(__xludf.DUMMYFUNCTION("IMPORTXML(AI337, ""//li[strong[text()='% International Units:']]"")"),"Loading...")</f>
        <v>Loading...</v>
      </c>
      <c r="X337" s="24"/>
      <c r="Y337" s="19" t="str">
        <f ca="1">IFERROR(__xludf.DUMMYFUNCTION("IMPORTXML(AI337, ""//li[strong[text()='US Franchised Units:']]"")"),"Loading...")</f>
        <v>Loading...</v>
      </c>
      <c r="Z337" s="24"/>
      <c r="AA337" s="14" t="str">
        <f t="shared" si="4"/>
        <v/>
      </c>
      <c r="AB337" s="19" t="str">
        <f ca="1">IFERROR(__xludf.DUMMYFUNCTION("IMPORTXML(AI337, ""//li[strong[text()='International Franchised Units:']]"")"),"Loading...")</f>
        <v>Loading...</v>
      </c>
      <c r="AC337" s="24"/>
      <c r="AD337" s="14" t="str">
        <f t="shared" si="5"/>
        <v/>
      </c>
      <c r="AE337" s="25" t="str">
        <f ca="1">IFERROR(__xludf.DUMMYFUNCTION("IMPORTXML(AI337, ""//li[strong[text()='Sales Growth %:']]"")"),"Loading...")</f>
        <v>Loading...</v>
      </c>
      <c r="AF337" s="24"/>
      <c r="AG337" s="25" t="str">
        <f ca="1">IFERROR(__xludf.DUMMYFUNCTION("IMPORTXML(AI337, ""//li[strong[text()='Unit Growth %:']]"")"),"Loading...")</f>
        <v>Loading...</v>
      </c>
      <c r="AH337" s="25"/>
      <c r="AI337" s="48" t="s">
        <v>343</v>
      </c>
      <c r="AJ337" s="27"/>
      <c r="AK337" s="27"/>
      <c r="AL337" s="27"/>
      <c r="AM337" s="27"/>
      <c r="AN337" s="27"/>
      <c r="AO337" s="27"/>
      <c r="AP337" s="27"/>
      <c r="AQ337" s="27"/>
    </row>
    <row r="338" spans="1:43" ht="14.25" customHeight="1">
      <c r="A338" s="42">
        <v>24.337000000000099</v>
      </c>
      <c r="B338" s="14">
        <v>2024</v>
      </c>
      <c r="C338" s="32">
        <v>337</v>
      </c>
      <c r="D338" s="16" t="str">
        <f ca="1">IFERROR(__xludf.DUMMYFUNCTION("IMPORTXML(AI338, ""//h1[@itemprop='headline']/span"")"),"337. Miracle Method Surface Refinishing")</f>
        <v>337. Miracle Method Surface Refinishing</v>
      </c>
      <c r="E338" s="17" t="str">
        <f ca="1">IFERROR(__xludf.DUMMYFUNCTION("REGEXEXTRACT(D338, ""\.\s*(.+)"")"),"Miracle Method Surface Refinishing")</f>
        <v>Miracle Method Surface Refinishing</v>
      </c>
      <c r="F338" s="18" t="str">
        <f ca="1">IFERROR(__xludf.DUMMYFUNCTION("IMPORTXML(AI338, ""//li[strong[text()='Investment Range:']]"")"),"Investment Range:")</f>
        <v>Investment Range:</v>
      </c>
      <c r="G338" s="43" t="str">
        <f ca="1">IFERROR(__xludf.DUMMYFUNCTION("""COMPUTED_VALUE""")," $95,650 - $190,050")</f>
        <v xml:space="preserve"> $95,650 - $190,050</v>
      </c>
      <c r="H338" s="18" t="str">
        <f ca="1">IFERROR(__xludf.DUMMYFUNCTION("SUBSTITUTE(REGEXEXTRACT(G338, ""\$(\d{1,3}(?:,\d{3})*)""), "","", ""."")
"),"95.650")</f>
        <v>95.650</v>
      </c>
      <c r="I338" s="19" t="str">
        <f ca="1">IFERROR(__xludf.DUMMYFUNCTION("SUBSTITUTE(REGEXEXTRACT(G338, ""-\s*\$(\d{1,3}(?:,\d{3})*)""), "","", ""."")
"),"190.050")</f>
        <v>190.050</v>
      </c>
      <c r="J338" s="19" t="str">
        <f ca="1">IFERROR(__xludf.DUMMYFUNCTION("IMPORTXML(AI338, ""//li[strong[text()='Initial Investment:']]"")"),"Loading...")</f>
        <v>Loading...</v>
      </c>
      <c r="K338" s="24"/>
      <c r="L338" s="20" t="str">
        <f ca="1">IFERROR(__xludf.DUMMYFUNCTION("IMPORTXML(AI338, ""//li[strong[text()='Category:']]"")"),"Loading...")</f>
        <v>Loading...</v>
      </c>
      <c r="M338" s="24"/>
      <c r="N338" s="19" t="str">
        <f ca="1">IFERROR(__xludf.DUMMYFUNCTION("IMPORTXML(AI338, ""//li[strong[text()='Global Sales:']]"")"),"Loading...")</f>
        <v>Loading...</v>
      </c>
      <c r="O338" s="24"/>
      <c r="P338" s="19" t="str">
        <f t="shared" si="3"/>
        <v/>
      </c>
      <c r="Q338" s="19" t="str">
        <f ca="1">IFERROR(__xludf.DUMMYFUNCTION("IMPORTXML(AI338, ""//li[strong[text()='US Units:']]"")"),"Loading...")</f>
        <v>Loading...</v>
      </c>
      <c r="R338" s="24"/>
      <c r="S338" s="19" t="str">
        <f ca="1">IFERROR(__xludf.DUMMYFUNCTION("IMPORTXML(AI338, ""//li[strong[text()='International Units:']]"")"),"Loading...")</f>
        <v>Loading...</v>
      </c>
      <c r="T338" s="44"/>
      <c r="U338" s="19" t="str">
        <f ca="1">IFERROR(__xludf.DUMMYFUNCTION("IMPORTXML(AI338, ""//li[strong[text()='Percent Franchised:']]"")"),"Loading...")</f>
        <v>Loading...</v>
      </c>
      <c r="V338" s="24"/>
      <c r="W338" s="19" t="str">
        <f ca="1">IFERROR(__xludf.DUMMYFUNCTION("IMPORTXML(AI338, ""//li[strong[text()='% International Units:']]"")"),"Loading...")</f>
        <v>Loading...</v>
      </c>
      <c r="X338" s="24"/>
      <c r="Y338" s="19" t="str">
        <f ca="1">IFERROR(__xludf.DUMMYFUNCTION("IMPORTXML(AI338, ""//li[strong[text()='US Franchised Units:']]"")"),"Loading...")</f>
        <v>Loading...</v>
      </c>
      <c r="Z338" s="24"/>
      <c r="AA338" s="14" t="str">
        <f t="shared" si="4"/>
        <v/>
      </c>
      <c r="AB338" s="19" t="str">
        <f ca="1">IFERROR(__xludf.DUMMYFUNCTION("IMPORTXML(AI338, ""//li[strong[text()='International Franchised Units:']]"")"),"International Franchised Units:")</f>
        <v>International Franchised Units:</v>
      </c>
      <c r="AC338" s="24">
        <f ca="1">IFERROR(__xludf.DUMMYFUNCTION("""COMPUTED_VALUE"""),0)</f>
        <v>0</v>
      </c>
      <c r="AD338" s="14" t="str">
        <f t="shared" ca="1" si="5"/>
        <v>0</v>
      </c>
      <c r="AE338" s="25" t="str">
        <f ca="1">IFERROR(__xludf.DUMMYFUNCTION("IMPORTXML(AI338, ""//li[strong[text()='Sales Growth %:']]"")"),"Sales Growth %:")</f>
        <v>Sales Growth %:</v>
      </c>
      <c r="AF338" s="24" t="str">
        <f ca="1">IFERROR(__xludf.DUMMYFUNCTION("""COMPUTED_VALUE""")," 3.1%")</f>
        <v xml:space="preserve"> 3.1%</v>
      </c>
      <c r="AG338" s="25" t="str">
        <f ca="1">IFERROR(__xludf.DUMMYFUNCTION("IMPORTXML(AI338, ""//li[strong[text()='Unit Growth %:']]"")"),"Loading...")</f>
        <v>Loading...</v>
      </c>
      <c r="AH338" s="25"/>
      <c r="AI338" s="48" t="s">
        <v>344</v>
      </c>
      <c r="AJ338" s="27"/>
      <c r="AK338" s="27"/>
      <c r="AL338" s="27"/>
      <c r="AM338" s="27"/>
      <c r="AN338" s="27"/>
      <c r="AO338" s="27"/>
      <c r="AP338" s="27"/>
      <c r="AQ338" s="27"/>
    </row>
    <row r="339" spans="1:43" ht="14.25" customHeight="1">
      <c r="A339" s="42">
        <v>24.3380000000001</v>
      </c>
      <c r="B339" s="14">
        <v>2024</v>
      </c>
      <c r="C339" s="36">
        <v>338</v>
      </c>
      <c r="D339" s="16" t="str">
        <f ca="1">IFERROR(__xludf.DUMMYFUNCTION("IMPORTXML(AI339, ""//h1[@itemprop='headline']/span"")"),"338. Ace Handyman Services")</f>
        <v>338. Ace Handyman Services</v>
      </c>
      <c r="E339" s="17" t="str">
        <f ca="1">IFERROR(__xludf.DUMMYFUNCTION("REGEXEXTRACT(D339, ""\.\s*(.+)"")"),"Ace Handyman Services")</f>
        <v>Ace Handyman Services</v>
      </c>
      <c r="F339" s="18" t="str">
        <f ca="1">IFERROR(__xludf.DUMMYFUNCTION("IMPORTXML(AI339, ""//li[strong[text()='Investment Range:']]"")"),"Investment Range:")</f>
        <v>Investment Range:</v>
      </c>
      <c r="G339" s="43" t="str">
        <f ca="1">IFERROR(__xludf.DUMMYFUNCTION("""COMPUTED_VALUE""")," $131,077 - $220,297")</f>
        <v xml:space="preserve"> $131,077 - $220,297</v>
      </c>
      <c r="H339" s="18" t="str">
        <f ca="1">IFERROR(__xludf.DUMMYFUNCTION("SUBSTITUTE(REGEXEXTRACT(G339, ""\$(\d{1,3}(?:,\d{3})*)""), "","", ""."")
"),"131.077")</f>
        <v>131.077</v>
      </c>
      <c r="I339" s="19" t="str">
        <f ca="1">IFERROR(__xludf.DUMMYFUNCTION("SUBSTITUTE(REGEXEXTRACT(G339, ""-\s*\$(\d{1,3}(?:,\d{3})*)""), "","", ""."")
"),"220.297")</f>
        <v>220.297</v>
      </c>
      <c r="J339" s="19" t="str">
        <f ca="1">IFERROR(__xludf.DUMMYFUNCTION("IMPORTXML(AI339, ""//li[strong[text()='Initial Investment:']]"")"),"Loading...")</f>
        <v>Loading...</v>
      </c>
      <c r="K339" s="24"/>
      <c r="L339" s="20" t="str">
        <f ca="1">IFERROR(__xludf.DUMMYFUNCTION("IMPORTXML(AI339, ""//li[strong[text()='Category:']]"")"),"Loading...")</f>
        <v>Loading...</v>
      </c>
      <c r="M339" s="24"/>
      <c r="N339" s="19" t="str">
        <f ca="1">IFERROR(__xludf.DUMMYFUNCTION("IMPORTXML(AI339, ""//li[strong[text()='Global Sales:']]"")"),"Global Sales:")</f>
        <v>Global Sales:</v>
      </c>
      <c r="O339" s="24" t="str">
        <f ca="1">IFERROR(__xludf.DUMMYFUNCTION("""COMPUTED_VALUE""")," $92,000,000*")</f>
        <v xml:space="preserve"> $92,000,000*</v>
      </c>
      <c r="P339" s="19" t="str">
        <f t="shared" ca="1" si="3"/>
        <v xml:space="preserve"> 92.000.000*</v>
      </c>
      <c r="Q339" s="19" t="str">
        <f ca="1">IFERROR(__xludf.DUMMYFUNCTION("IMPORTXML(AI339, ""//li[strong[text()='US Units:']]"")"),"Loading...")</f>
        <v>Loading...</v>
      </c>
      <c r="R339" s="24"/>
      <c r="S339" s="19" t="str">
        <f ca="1">IFERROR(__xludf.DUMMYFUNCTION("IMPORTXML(AI339, ""//li[strong[text()='International Units:']]"")"),"Loading...")</f>
        <v>Loading...</v>
      </c>
      <c r="T339" s="44"/>
      <c r="U339" s="19" t="str">
        <f ca="1">IFERROR(__xludf.DUMMYFUNCTION("IMPORTXML(AI339, ""//li[strong[text()='Percent Franchised:']]"")"),"Loading...")</f>
        <v>Loading...</v>
      </c>
      <c r="V339" s="24"/>
      <c r="W339" s="19" t="str">
        <f ca="1">IFERROR(__xludf.DUMMYFUNCTION("IMPORTXML(AI339, ""//li[strong[text()='% International Units:']]"")"),"Loading...")</f>
        <v>Loading...</v>
      </c>
      <c r="X339" s="24"/>
      <c r="Y339" s="19" t="str">
        <f ca="1">IFERROR(__xludf.DUMMYFUNCTION("IMPORTXML(AI339, ""//li[strong[text()='US Franchised Units:']]"")"),"Loading...")</f>
        <v>Loading...</v>
      </c>
      <c r="Z339" s="24"/>
      <c r="AA339" s="14" t="str">
        <f t="shared" si="4"/>
        <v/>
      </c>
      <c r="AB339" s="19" t="str">
        <f ca="1">IFERROR(__xludf.DUMMYFUNCTION("IMPORTXML(AI339, ""//li[strong[text()='International Franchised Units:']]"")"),"Loading...")</f>
        <v>Loading...</v>
      </c>
      <c r="AC339" s="24"/>
      <c r="AD339" s="14" t="str">
        <f t="shared" si="5"/>
        <v/>
      </c>
      <c r="AE339" s="25" t="str">
        <f ca="1">IFERROR(__xludf.DUMMYFUNCTION("IMPORTXML(AI339, ""//li[strong[text()='Sales Growth %:']]"")"),"Sales Growth %:")</f>
        <v>Sales Growth %:</v>
      </c>
      <c r="AF339" s="24" t="str">
        <f ca="1">IFERROR(__xludf.DUMMYFUNCTION("""COMPUTED_VALUE""")," 15.0%")</f>
        <v xml:space="preserve"> 15.0%</v>
      </c>
      <c r="AG339" s="25" t="str">
        <f ca="1">IFERROR(__xludf.DUMMYFUNCTION("IMPORTXML(AI339, ""//li[strong[text()='Unit Growth %:']]"")"),"Loading...")</f>
        <v>Loading...</v>
      </c>
      <c r="AH339" s="25"/>
      <c r="AI339" s="48" t="s">
        <v>345</v>
      </c>
      <c r="AJ339" s="27"/>
      <c r="AK339" s="27"/>
      <c r="AL339" s="27"/>
      <c r="AM339" s="27"/>
      <c r="AN339" s="27"/>
      <c r="AO339" s="27"/>
      <c r="AP339" s="27"/>
      <c r="AQ339" s="27"/>
    </row>
    <row r="340" spans="1:43" ht="14.25" customHeight="1">
      <c r="A340" s="42">
        <v>24.339000000000102</v>
      </c>
      <c r="B340" s="14">
        <v>2024</v>
      </c>
      <c r="C340" s="36">
        <v>339</v>
      </c>
      <c r="D340" s="16" t="str">
        <f ca="1">IFERROR(__xludf.DUMMYFUNCTION("IMPORTXML(AI340, ""//h1[@itemprop='headline']/span"")"),"339. Workout Anytime")</f>
        <v>339. Workout Anytime</v>
      </c>
      <c r="E340" s="17" t="str">
        <f ca="1">IFERROR(__xludf.DUMMYFUNCTION("REGEXEXTRACT(D340, ""\.\s*(.+)"")"),"Workout Anytime")</f>
        <v>Workout Anytime</v>
      </c>
      <c r="F340" s="18" t="str">
        <f ca="1">IFERROR(__xludf.DUMMYFUNCTION("IMPORTXML(AI340, ""//li[strong[text()='Investment Range:']]"")"),"Investment Range:")</f>
        <v>Investment Range:</v>
      </c>
      <c r="G340" s="43" t="str">
        <f ca="1">IFERROR(__xludf.DUMMYFUNCTION("""COMPUTED_VALUE""")," $626,350 - $1,335,550")</f>
        <v xml:space="preserve"> $626,350 - $1,335,550</v>
      </c>
      <c r="H340" s="18" t="str">
        <f ca="1">IFERROR(__xludf.DUMMYFUNCTION("SUBSTITUTE(REGEXEXTRACT(G340, ""\$(\d{1,3}(?:,\d{3})*)""), "","", ""."")
"),"626.350")</f>
        <v>626.350</v>
      </c>
      <c r="I340" s="19" t="str">
        <f ca="1">IFERROR(__xludf.DUMMYFUNCTION("SUBSTITUTE(REGEXEXTRACT(G340, ""-\s*\$(\d{1,3}(?:,\d{3})*)""), "","", ""."")
"),"1.335.550")</f>
        <v>1.335.550</v>
      </c>
      <c r="J340" s="19" t="str">
        <f ca="1">IFERROR(__xludf.DUMMYFUNCTION("IMPORTXML(AI340, ""//li[strong[text()='Initial Investment:']]"")"),"Loading...")</f>
        <v>Loading...</v>
      </c>
      <c r="K340" s="24"/>
      <c r="L340" s="20" t="str">
        <f ca="1">IFERROR(__xludf.DUMMYFUNCTION("IMPORTXML(AI340, ""//li[strong[text()='Category:']]"")"),"Loading...")</f>
        <v>Loading...</v>
      </c>
      <c r="M340" s="24"/>
      <c r="N340" s="19" t="str">
        <f ca="1">IFERROR(__xludf.DUMMYFUNCTION("IMPORTXML(AI340, ""//li[strong[text()='Global Sales:']]"")"),"Loading...")</f>
        <v>Loading...</v>
      </c>
      <c r="O340" s="24"/>
      <c r="P340" s="19" t="str">
        <f t="shared" si="3"/>
        <v/>
      </c>
      <c r="Q340" s="19" t="str">
        <f ca="1">IFERROR(__xludf.DUMMYFUNCTION("IMPORTXML(AI340, ""//li[strong[text()='US Units:']]"")"),"Loading...")</f>
        <v>Loading...</v>
      </c>
      <c r="R340" s="24"/>
      <c r="S340" s="19" t="str">
        <f ca="1">IFERROR(__xludf.DUMMYFUNCTION("IMPORTXML(AI340, ""//li[strong[text()='International Units:']]"")"),"Loading...")</f>
        <v>Loading...</v>
      </c>
      <c r="T340" s="44"/>
      <c r="U340" s="19" t="str">
        <f ca="1">IFERROR(__xludf.DUMMYFUNCTION("IMPORTXML(AI340, ""//li[strong[text()='Percent Franchised:']]"")"),"Loading...")</f>
        <v>Loading...</v>
      </c>
      <c r="V340" s="24"/>
      <c r="W340" s="19" t="str">
        <f ca="1">IFERROR(__xludf.DUMMYFUNCTION("IMPORTXML(AI340, ""//li[strong[text()='% International Units:']]"")"),"Loading...")</f>
        <v>Loading...</v>
      </c>
      <c r="X340" s="24"/>
      <c r="Y340" s="19" t="str">
        <f ca="1">IFERROR(__xludf.DUMMYFUNCTION("IMPORTXML(AI340, ""//li[strong[text()='US Franchised Units:']]"")"),"Loading...")</f>
        <v>Loading...</v>
      </c>
      <c r="Z340" s="24"/>
      <c r="AA340" s="14" t="str">
        <f t="shared" si="4"/>
        <v/>
      </c>
      <c r="AB340" s="19" t="str">
        <f ca="1">IFERROR(__xludf.DUMMYFUNCTION("IMPORTXML(AI340, ""//li[strong[text()='International Franchised Units:']]"")"),"Loading...")</f>
        <v>Loading...</v>
      </c>
      <c r="AC340" s="24"/>
      <c r="AD340" s="14" t="str">
        <f t="shared" si="5"/>
        <v/>
      </c>
      <c r="AE340" s="25" t="str">
        <f ca="1">IFERROR(__xludf.DUMMYFUNCTION("IMPORTXML(AI340, ""//li[strong[text()='Sales Growth %:']]"")"),"Loading...")</f>
        <v>Loading...</v>
      </c>
      <c r="AF340" s="24"/>
      <c r="AG340" s="25" t="str">
        <f ca="1">IFERROR(__xludf.DUMMYFUNCTION("IMPORTXML(AI340, ""//li[strong[text()='Unit Growth %:']]"")"),"Loading...")</f>
        <v>Loading...</v>
      </c>
      <c r="AH340" s="25"/>
      <c r="AI340" s="48" t="s">
        <v>346</v>
      </c>
      <c r="AJ340" s="27"/>
      <c r="AK340" s="27"/>
      <c r="AL340" s="27"/>
      <c r="AM340" s="27"/>
      <c r="AN340" s="27"/>
      <c r="AO340" s="27"/>
      <c r="AP340" s="27"/>
      <c r="AQ340" s="27"/>
    </row>
    <row r="341" spans="1:43" ht="14.25" customHeight="1">
      <c r="A341" s="42">
        <v>24.340000000000099</v>
      </c>
      <c r="B341" s="14">
        <v>2024</v>
      </c>
      <c r="C341" s="15">
        <v>340</v>
      </c>
      <c r="D341" s="16" t="str">
        <f ca="1">IFERROR(__xludf.DUMMYFUNCTION("IMPORTXML(AI341, ""//h1[@itemprop='headline']/span"")"),"340. Sterling Optical")</f>
        <v>340. Sterling Optical</v>
      </c>
      <c r="E341" s="17" t="str">
        <f ca="1">IFERROR(__xludf.DUMMYFUNCTION("REGEXEXTRACT(D341, ""\.\s*(.+)"")"),"Sterling Optical")</f>
        <v>Sterling Optical</v>
      </c>
      <c r="F341" s="18" t="str">
        <f ca="1">IFERROR(__xludf.DUMMYFUNCTION("IMPORTXML(AI341, ""//li[strong[text()='Investment Range:']]"")"),"#N/A")</f>
        <v>#N/A</v>
      </c>
      <c r="G341" s="43"/>
      <c r="H341" s="18" t="str">
        <f ca="1">IFERROR(__xludf.DUMMYFUNCTION("SUBSTITUTE(REGEXEXTRACT(G341, ""\$(\d{1,3}(?:,\d{3})*)""), "","", ""."")
"),"#N/A")</f>
        <v>#N/A</v>
      </c>
      <c r="I341" s="19" t="str">
        <f ca="1">IFERROR(__xludf.DUMMYFUNCTION("SUBSTITUTE(REGEXEXTRACT(G341, ""-\s*\$(\d{1,3}(?:,\d{3})*)""), "","", ""."")
"),"#N/A")</f>
        <v>#N/A</v>
      </c>
      <c r="J341" s="19" t="str">
        <f ca="1">IFERROR(__xludf.DUMMYFUNCTION("IMPORTXML(AI341, ""//li[strong[text()='Initial Investment:']]"")"),"Loading...")</f>
        <v>Loading...</v>
      </c>
      <c r="K341" s="24"/>
      <c r="L341" s="20" t="str">
        <f ca="1">IFERROR(__xludf.DUMMYFUNCTION("IMPORTXML(AI341, ""//li[strong[text()='Category:']]"")"),"Loading...")</f>
        <v>Loading...</v>
      </c>
      <c r="M341" s="24"/>
      <c r="N341" s="19" t="str">
        <f ca="1">IFERROR(__xludf.DUMMYFUNCTION("IMPORTXML(AI341, ""//li[strong[text()='Global Sales:']]"")"),"Loading...")</f>
        <v>Loading...</v>
      </c>
      <c r="O341" s="24"/>
      <c r="P341" s="19" t="str">
        <f t="shared" si="3"/>
        <v/>
      </c>
      <c r="Q341" s="19" t="str">
        <f ca="1">IFERROR(__xludf.DUMMYFUNCTION("IMPORTXML(AI341, ""//li[strong[text()='US Units:']]"")"),"Loading...")</f>
        <v>Loading...</v>
      </c>
      <c r="R341" s="24"/>
      <c r="S341" s="19" t="str">
        <f ca="1">IFERROR(__xludf.DUMMYFUNCTION("IMPORTXML(AI341, ""//li[strong[text()='International Units:']]"")"),"Loading...")</f>
        <v>Loading...</v>
      </c>
      <c r="T341" s="44"/>
      <c r="U341" s="19" t="str">
        <f ca="1">IFERROR(__xludf.DUMMYFUNCTION("IMPORTXML(AI341, ""//li[strong[text()='Percent Franchised:']]"")"),"Loading...")</f>
        <v>Loading...</v>
      </c>
      <c r="V341" s="24"/>
      <c r="W341" s="19" t="str">
        <f ca="1">IFERROR(__xludf.DUMMYFUNCTION("IMPORTXML(AI341, ""//li[strong[text()='% International Units:']]"")"),"Loading...")</f>
        <v>Loading...</v>
      </c>
      <c r="X341" s="24"/>
      <c r="Y341" s="19" t="str">
        <f ca="1">IFERROR(__xludf.DUMMYFUNCTION("IMPORTXML(AI341, ""//li[strong[text()='US Franchised Units:']]"")"),"Loading...")</f>
        <v>Loading...</v>
      </c>
      <c r="Z341" s="24"/>
      <c r="AA341" s="14" t="str">
        <f t="shared" si="4"/>
        <v/>
      </c>
      <c r="AB341" s="19" t="str">
        <f ca="1">IFERROR(__xludf.DUMMYFUNCTION("IMPORTXML(AI341, ""//li[strong[text()='International Franchised Units:']]"")"),"Loading...")</f>
        <v>Loading...</v>
      </c>
      <c r="AC341" s="24"/>
      <c r="AD341" s="14" t="str">
        <f t="shared" si="5"/>
        <v/>
      </c>
      <c r="AE341" s="25" t="str">
        <f ca="1">IFERROR(__xludf.DUMMYFUNCTION("IMPORTXML(AI341, ""//li[strong[text()='Sales Growth %:']]"")"),"Loading...")</f>
        <v>Loading...</v>
      </c>
      <c r="AF341" s="24"/>
      <c r="AG341" s="25" t="str">
        <f ca="1">IFERROR(__xludf.DUMMYFUNCTION("IMPORTXML(AI341, ""//li[strong[text()='Unit Growth %:']]"")"),"Loading...")</f>
        <v>Loading...</v>
      </c>
      <c r="AH341" s="25"/>
      <c r="AI341" s="48" t="s">
        <v>347</v>
      </c>
      <c r="AJ341" s="27"/>
      <c r="AK341" s="27"/>
      <c r="AL341" s="27"/>
      <c r="AM341" s="27"/>
      <c r="AN341" s="27"/>
      <c r="AO341" s="27"/>
      <c r="AP341" s="27"/>
      <c r="AQ341" s="27"/>
    </row>
    <row r="342" spans="1:43" ht="14.25" customHeight="1">
      <c r="A342" s="42">
        <v>24.341000000000101</v>
      </c>
      <c r="B342" s="14">
        <v>2024</v>
      </c>
      <c r="C342" s="32">
        <v>341</v>
      </c>
      <c r="D342" s="16" t="str">
        <f ca="1">IFERROR(__xludf.DUMMYFUNCTION("IMPORTXML(AI342, ""//h1[@itemprop='headline']/span"")"),"341. Clothes Mentor")</f>
        <v>341. Clothes Mentor</v>
      </c>
      <c r="E342" s="17" t="str">
        <f ca="1">IFERROR(__xludf.DUMMYFUNCTION("REGEXEXTRACT(D342, ""\.\s*(.+)"")"),"Clothes Mentor")</f>
        <v>Clothes Mentor</v>
      </c>
      <c r="F342" s="18" t="str">
        <f ca="1">IFERROR(__xludf.DUMMYFUNCTION("IMPORTXML(AI342, ""//li[strong[text()='Investment Range:']]"")"),"Investment Range:")</f>
        <v>Investment Range:</v>
      </c>
      <c r="G342" s="43" t="str">
        <f ca="1">IFERROR(__xludf.DUMMYFUNCTION("""COMPUTED_VALUE""")," $272,000 - $395,500 ")</f>
        <v xml:space="preserve"> $272,000 - $395,500 </v>
      </c>
      <c r="H342" s="18" t="str">
        <f ca="1">IFERROR(__xludf.DUMMYFUNCTION("SUBSTITUTE(REGEXEXTRACT(G342, ""\$(\d{1,3}(?:,\d{3})*)""), "","", ""."")
"),"272.000")</f>
        <v>272.000</v>
      </c>
      <c r="I342" s="19" t="str">
        <f ca="1">IFERROR(__xludf.DUMMYFUNCTION("SUBSTITUTE(REGEXEXTRACT(G342, ""-\s*\$(\d{1,3}(?:,\d{3})*)""), "","", ""."")
"),"395.500")</f>
        <v>395.500</v>
      </c>
      <c r="J342" s="19" t="str">
        <f ca="1">IFERROR(__xludf.DUMMYFUNCTION("IMPORTXML(AI342, ""//li[strong[text()='Initial Investment:']]"")"),"Loading...")</f>
        <v>Loading...</v>
      </c>
      <c r="K342" s="24"/>
      <c r="L342" s="20" t="str">
        <f ca="1">IFERROR(__xludf.DUMMYFUNCTION("IMPORTXML(AI342, ""//li[strong[text()='Category:']]"")"),"Loading...")</f>
        <v>Loading...</v>
      </c>
      <c r="M342" s="24"/>
      <c r="N342" s="19" t="str">
        <f ca="1">IFERROR(__xludf.DUMMYFUNCTION("IMPORTXML(AI342, ""//li[strong[text()='Global Sales:']]"")"),"Loading...")</f>
        <v>Loading...</v>
      </c>
      <c r="O342" s="24"/>
      <c r="P342" s="19" t="str">
        <f t="shared" si="3"/>
        <v/>
      </c>
      <c r="Q342" s="19" t="str">
        <f ca="1">IFERROR(__xludf.DUMMYFUNCTION("IMPORTXML(AI342, ""//li[strong[text()='US Units:']]"")"),"Loading...")</f>
        <v>Loading...</v>
      </c>
      <c r="R342" s="24"/>
      <c r="S342" s="19" t="str">
        <f ca="1">IFERROR(__xludf.DUMMYFUNCTION("IMPORTXML(AI342, ""//li[strong[text()='International Units:']]"")"),"Loading...")</f>
        <v>Loading...</v>
      </c>
      <c r="T342" s="44"/>
      <c r="U342" s="19" t="str">
        <f ca="1">IFERROR(__xludf.DUMMYFUNCTION("IMPORTXML(AI342, ""//li[strong[text()='Percent Franchised:']]"")"),"Loading...")</f>
        <v>Loading...</v>
      </c>
      <c r="V342" s="24"/>
      <c r="W342" s="19" t="str">
        <f ca="1">IFERROR(__xludf.DUMMYFUNCTION("IMPORTXML(AI342, ""//li[strong[text()='% International Units:']]"")"),"Loading...")</f>
        <v>Loading...</v>
      </c>
      <c r="X342" s="24"/>
      <c r="Y342" s="19" t="str">
        <f ca="1">IFERROR(__xludf.DUMMYFUNCTION("IMPORTXML(AI342, ""//li[strong[text()='US Franchised Units:']]"")"),"Loading...")</f>
        <v>Loading...</v>
      </c>
      <c r="Z342" s="24"/>
      <c r="AA342" s="14" t="str">
        <f t="shared" si="4"/>
        <v/>
      </c>
      <c r="AB342" s="19" t="str">
        <f ca="1">IFERROR(__xludf.DUMMYFUNCTION("IMPORTXML(AI342, ""//li[strong[text()='International Franchised Units:']]"")"),"Loading...")</f>
        <v>Loading...</v>
      </c>
      <c r="AC342" s="24"/>
      <c r="AD342" s="14" t="str">
        <f t="shared" si="5"/>
        <v/>
      </c>
      <c r="AE342" s="25" t="str">
        <f ca="1">IFERROR(__xludf.DUMMYFUNCTION("IMPORTXML(AI342, ""//li[strong[text()='Sales Growth %:']]"")"),"Loading...")</f>
        <v>Loading...</v>
      </c>
      <c r="AF342" s="24"/>
      <c r="AG342" s="25" t="str">
        <f ca="1">IFERROR(__xludf.DUMMYFUNCTION("IMPORTXML(AI342, ""//li[strong[text()='Unit Growth %:']]"")"),"Loading...")</f>
        <v>Loading...</v>
      </c>
      <c r="AH342" s="25"/>
      <c r="AI342" s="48" t="s">
        <v>348</v>
      </c>
      <c r="AJ342" s="27"/>
      <c r="AK342" s="27"/>
      <c r="AL342" s="27"/>
      <c r="AM342" s="27"/>
      <c r="AN342" s="27"/>
      <c r="AO342" s="27"/>
      <c r="AP342" s="27"/>
      <c r="AQ342" s="27"/>
    </row>
    <row r="343" spans="1:43" ht="14.25" customHeight="1">
      <c r="A343" s="42">
        <v>24.342000000000098</v>
      </c>
      <c r="B343" s="14">
        <v>2024</v>
      </c>
      <c r="C343" s="36">
        <v>342</v>
      </c>
      <c r="D343" s="16" t="str">
        <f ca="1">IFERROR(__xludf.DUMMYFUNCTION("IMPORTXML(AI343, ""//h1[@itemprop='headline']/span"")"),"342. Enviro-Master")</f>
        <v>342. Enviro-Master</v>
      </c>
      <c r="E343" s="17" t="str">
        <f ca="1">IFERROR(__xludf.DUMMYFUNCTION("REGEXEXTRACT(D343, ""\.\s*(.+)"")"),"Enviro-Master")</f>
        <v>Enviro-Master</v>
      </c>
      <c r="F343" s="18" t="str">
        <f ca="1">IFERROR(__xludf.DUMMYFUNCTION("IMPORTXML(AI343, ""//li[strong[text()='Investment Range:']]"")"),"Investment Range:")</f>
        <v>Investment Range:</v>
      </c>
      <c r="G343" s="43" t="str">
        <f ca="1">IFERROR(__xludf.DUMMYFUNCTION("""COMPUTED_VALUE""")," $96,260 - $220,260")</f>
        <v xml:space="preserve"> $96,260 - $220,260</v>
      </c>
      <c r="H343" s="18" t="str">
        <f ca="1">IFERROR(__xludf.DUMMYFUNCTION("SUBSTITUTE(REGEXEXTRACT(G343, ""\$(\d{1,3}(?:,\d{3})*)""), "","", ""."")
"),"96.260")</f>
        <v>96.260</v>
      </c>
      <c r="I343" s="19" t="str">
        <f ca="1">IFERROR(__xludf.DUMMYFUNCTION("SUBSTITUTE(REGEXEXTRACT(G343, ""-\s*\$(\d{1,3}(?:,\d{3})*)""), "","", ""."")
"),"220.260")</f>
        <v>220.260</v>
      </c>
      <c r="J343" s="19" t="str">
        <f ca="1">IFERROR(__xludf.DUMMYFUNCTION("IMPORTXML(AI343, ""//li[strong[text()='Initial Investment:']]"")"),"Loading...")</f>
        <v>Loading...</v>
      </c>
      <c r="K343" s="24"/>
      <c r="L343" s="20" t="str">
        <f ca="1">IFERROR(__xludf.DUMMYFUNCTION("IMPORTXML(AI343, ""//li[strong[text()='Category:']]"")"),"Loading...")</f>
        <v>Loading...</v>
      </c>
      <c r="M343" s="24"/>
      <c r="N343" s="19" t="str">
        <f ca="1">IFERROR(__xludf.DUMMYFUNCTION("IMPORTXML(AI343, ""//li[strong[text()='Global Sales:']]"")"),"Loading...")</f>
        <v>Loading...</v>
      </c>
      <c r="O343" s="24"/>
      <c r="P343" s="19" t="str">
        <f t="shared" si="3"/>
        <v/>
      </c>
      <c r="Q343" s="19" t="str">
        <f ca="1">IFERROR(__xludf.DUMMYFUNCTION("IMPORTXML(AI343, ""//li[strong[text()='US Units:']]"")"),"US Units:")</f>
        <v>US Units:</v>
      </c>
      <c r="R343" s="24">
        <f ca="1">IFERROR(__xludf.DUMMYFUNCTION("""COMPUTED_VALUE"""),98)</f>
        <v>98</v>
      </c>
      <c r="S343" s="19" t="str">
        <f ca="1">IFERROR(__xludf.DUMMYFUNCTION("IMPORTXML(AI343, ""//li[strong[text()='International Units:']]"")"),"Loading...")</f>
        <v>Loading...</v>
      </c>
      <c r="T343" s="44"/>
      <c r="U343" s="19" t="str">
        <f ca="1">IFERROR(__xludf.DUMMYFUNCTION("IMPORTXML(AI343, ""//li[strong[text()='Percent Franchised:']]"")"),"Loading...")</f>
        <v>Loading...</v>
      </c>
      <c r="V343" s="24"/>
      <c r="W343" s="19" t="str">
        <f ca="1">IFERROR(__xludf.DUMMYFUNCTION("IMPORTXML(AI343, ""//li[strong[text()='% International Units:']]"")"),"Loading...")</f>
        <v>Loading...</v>
      </c>
      <c r="X343" s="24"/>
      <c r="Y343" s="19" t="str">
        <f ca="1">IFERROR(__xludf.DUMMYFUNCTION("IMPORTXML(AI343, ""//li[strong[text()='US Franchised Units:']]"")"),"Loading...")</f>
        <v>Loading...</v>
      </c>
      <c r="Z343" s="24"/>
      <c r="AA343" s="14" t="str">
        <f t="shared" si="4"/>
        <v/>
      </c>
      <c r="AB343" s="19" t="str">
        <f ca="1">IFERROR(__xludf.DUMMYFUNCTION("IMPORTXML(AI343, ""//li[strong[text()='International Franchised Units:']]"")"),"Loading...")</f>
        <v>Loading...</v>
      </c>
      <c r="AC343" s="24"/>
      <c r="AD343" s="14" t="str">
        <f t="shared" si="5"/>
        <v/>
      </c>
      <c r="AE343" s="25" t="str">
        <f ca="1">IFERROR(__xludf.DUMMYFUNCTION("IMPORTXML(AI343, ""//li[strong[text()='Sales Growth %:']]"")"),"Loading...")</f>
        <v>Loading...</v>
      </c>
      <c r="AF343" s="24"/>
      <c r="AG343" s="25" t="str">
        <f ca="1">IFERROR(__xludf.DUMMYFUNCTION("IMPORTXML(AI343, ""//li[strong[text()='Unit Growth %:']]"")"),"Loading...")</f>
        <v>Loading...</v>
      </c>
      <c r="AH343" s="25"/>
      <c r="AI343" s="48" t="s">
        <v>349</v>
      </c>
      <c r="AJ343" s="27"/>
      <c r="AK343" s="27"/>
      <c r="AL343" s="27"/>
      <c r="AM343" s="27"/>
      <c r="AN343" s="27"/>
      <c r="AO343" s="27"/>
      <c r="AP343" s="27"/>
      <c r="AQ343" s="27"/>
    </row>
    <row r="344" spans="1:43" ht="14.25" customHeight="1">
      <c r="A344" s="42">
        <v>24.343000000000099</v>
      </c>
      <c r="B344" s="14">
        <v>2024</v>
      </c>
      <c r="C344" s="36">
        <v>343</v>
      </c>
      <c r="D344" s="16" t="str">
        <f ca="1">IFERROR(__xludf.DUMMYFUNCTION("IMPORTXML(AI344, ""//h1[@itemprop='headline']/span"")"),"343. Primo Hoagies")</f>
        <v>343. Primo Hoagies</v>
      </c>
      <c r="E344" s="17" t="str">
        <f ca="1">IFERROR(__xludf.DUMMYFUNCTION("REGEXEXTRACT(D344, ""\.\s*(.+)"")"),"Primo Hoagies")</f>
        <v>Primo Hoagies</v>
      </c>
      <c r="F344" s="18" t="str">
        <f ca="1">IFERROR(__xludf.DUMMYFUNCTION("IMPORTXML(AI344, ""//li[strong[text()='Investment Range:']]"")"),"#REF!")</f>
        <v>#REF!</v>
      </c>
      <c r="G344" s="43"/>
      <c r="H344" s="18" t="str">
        <f ca="1">IFERROR(__xludf.DUMMYFUNCTION("SUBSTITUTE(REGEXEXTRACT(G344, ""\$(\d{1,3}(?:,\d{3})*)""), "","", ""."")
"),"#N/A")</f>
        <v>#N/A</v>
      </c>
      <c r="I344" s="19" t="str">
        <f ca="1">IFERROR(__xludf.DUMMYFUNCTION("SUBSTITUTE(REGEXEXTRACT(G344, ""-\s*\$(\d{1,3}(?:,\d{3})*)""), "","", ""."")
"),"#N/A")</f>
        <v>#N/A</v>
      </c>
      <c r="J344" s="19" t="str">
        <f ca="1">IFERROR(__xludf.DUMMYFUNCTION("IMPORTXML(AI344, ""//li[strong[text()='Initial Investment:']]"")"),"Loading...")</f>
        <v>Loading...</v>
      </c>
      <c r="K344" s="24"/>
      <c r="L344" s="20" t="str">
        <f ca="1">IFERROR(__xludf.DUMMYFUNCTION("IMPORTXML(AI344, ""//li[strong[text()='Category:']]"")"),"Loading...")</f>
        <v>Loading...</v>
      </c>
      <c r="M344" s="24"/>
      <c r="N344" s="19" t="str">
        <f ca="1">IFERROR(__xludf.DUMMYFUNCTION("IMPORTXML(AI344, ""//li[strong[text()='Global Sales:']]"")"),"Loading...")</f>
        <v>Loading...</v>
      </c>
      <c r="O344" s="24"/>
      <c r="P344" s="19" t="str">
        <f t="shared" si="3"/>
        <v/>
      </c>
      <c r="Q344" s="19" t="str">
        <f ca="1">IFERROR(__xludf.DUMMYFUNCTION("IMPORTXML(AI344, ""//li[strong[text()='US Units:']]"")"),"Loading...")</f>
        <v>Loading...</v>
      </c>
      <c r="R344" s="24"/>
      <c r="S344" s="19" t="str">
        <f ca="1">IFERROR(__xludf.DUMMYFUNCTION("IMPORTXML(AI344, ""//li[strong[text()='International Units:']]"")"),"International Units:")</f>
        <v>International Units:</v>
      </c>
      <c r="T344" s="44">
        <f ca="1">IFERROR(__xludf.DUMMYFUNCTION("""COMPUTED_VALUE"""),0)</f>
        <v>0</v>
      </c>
      <c r="U344" s="19" t="str">
        <f ca="1">IFERROR(__xludf.DUMMYFUNCTION("IMPORTXML(AI344, ""//li[strong[text()='Percent Franchised:']]"")"),"Loading...")</f>
        <v>Loading...</v>
      </c>
      <c r="V344" s="24"/>
      <c r="W344" s="19" t="str">
        <f ca="1">IFERROR(__xludf.DUMMYFUNCTION("IMPORTXML(AI344, ""//li[strong[text()='% International Units:']]"")"),"Loading...")</f>
        <v>Loading...</v>
      </c>
      <c r="X344" s="24"/>
      <c r="Y344" s="19" t="str">
        <f ca="1">IFERROR(__xludf.DUMMYFUNCTION("IMPORTXML(AI344, ""//li[strong[text()='US Franchised Units:']]"")"),"Loading...")</f>
        <v>Loading...</v>
      </c>
      <c r="Z344" s="24"/>
      <c r="AA344" s="14" t="str">
        <f t="shared" si="4"/>
        <v/>
      </c>
      <c r="AB344" s="19" t="str">
        <f ca="1">IFERROR(__xludf.DUMMYFUNCTION("IMPORTXML(AI344, ""//li[strong[text()='International Franchised Units:']]"")"),"Loading...")</f>
        <v>Loading...</v>
      </c>
      <c r="AC344" s="24"/>
      <c r="AD344" s="14" t="str">
        <f t="shared" si="5"/>
        <v/>
      </c>
      <c r="AE344" s="25" t="str">
        <f ca="1">IFERROR(__xludf.DUMMYFUNCTION("IMPORTXML(AI344, ""//li[strong[text()='Sales Growth %:']]"")"),"Loading...")</f>
        <v>Loading...</v>
      </c>
      <c r="AF344" s="24"/>
      <c r="AG344" s="25" t="str">
        <f ca="1">IFERROR(__xludf.DUMMYFUNCTION("IMPORTXML(AI344, ""//li[strong[text()='Unit Growth %:']]"")"),"Loading...")</f>
        <v>Loading...</v>
      </c>
      <c r="AH344" s="25"/>
      <c r="AI344" s="48" t="s">
        <v>350</v>
      </c>
      <c r="AJ344" s="27"/>
      <c r="AK344" s="27"/>
      <c r="AL344" s="27"/>
      <c r="AM344" s="27"/>
      <c r="AN344" s="27"/>
      <c r="AO344" s="27"/>
      <c r="AP344" s="27"/>
      <c r="AQ344" s="27"/>
    </row>
    <row r="345" spans="1:43" ht="14.25" customHeight="1">
      <c r="A345" s="42">
        <v>24.344000000000101</v>
      </c>
      <c r="B345" s="14">
        <v>2024</v>
      </c>
      <c r="C345" s="15">
        <v>344</v>
      </c>
      <c r="D345" s="16" t="str">
        <f ca="1">IFERROR(__xludf.DUMMYFUNCTION("IMPORTXML(AI345, ""//h1[@itemprop='headline']/span"")"),"344. Pizza Factory")</f>
        <v>344. Pizza Factory</v>
      </c>
      <c r="E345" s="17" t="str">
        <f ca="1">IFERROR(__xludf.DUMMYFUNCTION("REGEXEXTRACT(D345, ""\.\s*(.+)"")"),"Pizza Factory")</f>
        <v>Pizza Factory</v>
      </c>
      <c r="F345" s="18" t="str">
        <f ca="1">IFERROR(__xludf.DUMMYFUNCTION("IMPORTXML(AI345, ""//li[strong[text()='Investment Range:']]"")"),"Investment Range:")</f>
        <v>Investment Range:</v>
      </c>
      <c r="G345" s="43" t="str">
        <f ca="1">IFERROR(__xludf.DUMMYFUNCTION("""COMPUTED_VALUE"""),"$323,000 - $740,000")</f>
        <v>$323,000 - $740,000</v>
      </c>
      <c r="H345" s="18" t="str">
        <f ca="1">IFERROR(__xludf.DUMMYFUNCTION("SUBSTITUTE(REGEXEXTRACT(G345, ""\$(\d{1,3}(?:,\d{3})*)""), "","", ""."")
"),"323.000")</f>
        <v>323.000</v>
      </c>
      <c r="I345" s="19" t="str">
        <f ca="1">IFERROR(__xludf.DUMMYFUNCTION("SUBSTITUTE(REGEXEXTRACT(G345, ""-\s*\$(\d{1,3}(?:,\d{3})*)""), "","", ""."")
"),"740.000")</f>
        <v>740.000</v>
      </c>
      <c r="J345" s="19" t="str">
        <f ca="1">IFERROR(__xludf.DUMMYFUNCTION("IMPORTXML(AI345, ""//li[strong[text()='Initial Investment:']]"")"),"Loading...")</f>
        <v>Loading...</v>
      </c>
      <c r="K345" s="24"/>
      <c r="L345" s="20" t="str">
        <f ca="1">IFERROR(__xludf.DUMMYFUNCTION("IMPORTXML(AI345, ""//li[strong[text()='Category:']]"")"),"Loading...")</f>
        <v>Loading...</v>
      </c>
      <c r="M345" s="24"/>
      <c r="N345" s="19" t="str">
        <f ca="1">IFERROR(__xludf.DUMMYFUNCTION("IMPORTXML(AI345, ""//li[strong[text()='Global Sales:']]"")"),"Loading...")</f>
        <v>Loading...</v>
      </c>
      <c r="O345" s="24"/>
      <c r="P345" s="19" t="str">
        <f t="shared" si="3"/>
        <v/>
      </c>
      <c r="Q345" s="19" t="str">
        <f ca="1">IFERROR(__xludf.DUMMYFUNCTION("IMPORTXML(AI345, ""//li[strong[text()='US Units:']]"")"),"Loading...")</f>
        <v>Loading...</v>
      </c>
      <c r="R345" s="24"/>
      <c r="S345" s="19" t="str">
        <f ca="1">IFERROR(__xludf.DUMMYFUNCTION("IMPORTXML(AI345, ""//li[strong[text()='International Units:']]"")"),"Loading...")</f>
        <v>Loading...</v>
      </c>
      <c r="T345" s="44"/>
      <c r="U345" s="19" t="str">
        <f ca="1">IFERROR(__xludf.DUMMYFUNCTION("IMPORTXML(AI345, ""//li[strong[text()='Percent Franchised:']]"")"),"Loading...")</f>
        <v>Loading...</v>
      </c>
      <c r="V345" s="24"/>
      <c r="W345" s="19" t="str">
        <f ca="1">IFERROR(__xludf.DUMMYFUNCTION("IMPORTXML(AI345, ""//li[strong[text()='% International Units:']]"")"),"Loading...")</f>
        <v>Loading...</v>
      </c>
      <c r="X345" s="24"/>
      <c r="Y345" s="19" t="str">
        <f ca="1">IFERROR(__xludf.DUMMYFUNCTION("IMPORTXML(AI345, ""//li[strong[text()='US Franchised Units:']]"")"),"Loading...")</f>
        <v>Loading...</v>
      </c>
      <c r="Z345" s="24"/>
      <c r="AA345" s="14" t="str">
        <f t="shared" si="4"/>
        <v/>
      </c>
      <c r="AB345" s="19" t="str">
        <f ca="1">IFERROR(__xludf.DUMMYFUNCTION("IMPORTXML(AI345, ""//li[strong[text()='International Franchised Units:']]"")"),"Loading...")</f>
        <v>Loading...</v>
      </c>
      <c r="AC345" s="24"/>
      <c r="AD345" s="14" t="str">
        <f t="shared" si="5"/>
        <v/>
      </c>
      <c r="AE345" s="25" t="str">
        <f ca="1">IFERROR(__xludf.DUMMYFUNCTION("IMPORTXML(AI345, ""//li[strong[text()='Sales Growth %:']]"")"),"Loading...")</f>
        <v>Loading...</v>
      </c>
      <c r="AF345" s="24"/>
      <c r="AG345" s="25" t="str">
        <f ca="1">IFERROR(__xludf.DUMMYFUNCTION("IMPORTXML(AI345, ""//li[strong[text()='Unit Growth %:']]"")"),"Loading...")</f>
        <v>Loading...</v>
      </c>
      <c r="AH345" s="25"/>
      <c r="AI345" s="48" t="s">
        <v>351</v>
      </c>
      <c r="AJ345" s="27"/>
      <c r="AK345" s="27"/>
      <c r="AL345" s="27"/>
      <c r="AM345" s="27"/>
      <c r="AN345" s="27"/>
      <c r="AO345" s="27"/>
      <c r="AP345" s="27"/>
      <c r="AQ345" s="27"/>
    </row>
    <row r="346" spans="1:43" ht="14.25" customHeight="1">
      <c r="A346" s="42">
        <v>24.345000000000098</v>
      </c>
      <c r="B346" s="14">
        <v>2024</v>
      </c>
      <c r="C346" s="32">
        <v>345</v>
      </c>
      <c r="D346" s="16" t="str">
        <f ca="1">IFERROR(__xludf.DUMMYFUNCTION("IMPORTXML(AI346, ""//h1[@itemprop='headline']/span"")"),"345. Tint World")</f>
        <v>345. Tint World</v>
      </c>
      <c r="E346" s="17" t="str">
        <f ca="1">IFERROR(__xludf.DUMMYFUNCTION("REGEXEXTRACT(D346, ""\.\s*(.+)"")"),"Tint World")</f>
        <v>Tint World</v>
      </c>
      <c r="F346" s="18" t="str">
        <f ca="1">IFERROR(__xludf.DUMMYFUNCTION("IMPORTXML(AI346, ""//li[strong[text()='Investment Range:']]"")"),"Investment Range:")</f>
        <v>Investment Range:</v>
      </c>
      <c r="G346" s="43" t="str">
        <f ca="1">IFERROR(__xludf.DUMMYFUNCTION("""COMPUTED_VALUE""")," $279,950 - $439,950")</f>
        <v xml:space="preserve"> $279,950 - $439,950</v>
      </c>
      <c r="H346" s="18" t="str">
        <f ca="1">IFERROR(__xludf.DUMMYFUNCTION("SUBSTITUTE(REGEXEXTRACT(G346, ""\$(\d{1,3}(?:,\d{3})*)""), "","", ""."")
"),"279.950")</f>
        <v>279.950</v>
      </c>
      <c r="I346" s="19" t="str">
        <f ca="1">IFERROR(__xludf.DUMMYFUNCTION("SUBSTITUTE(REGEXEXTRACT(G346, ""-\s*\$(\d{1,3}(?:,\d{3})*)""), "","", ""."")
"),"439.950")</f>
        <v>439.950</v>
      </c>
      <c r="J346" s="19" t="str">
        <f ca="1">IFERROR(__xludf.DUMMYFUNCTION("IMPORTXML(AI346, ""//li[strong[text()='Initial Investment:']]"")"),"Loading...")</f>
        <v>Loading...</v>
      </c>
      <c r="K346" s="24"/>
      <c r="L346" s="20" t="str">
        <f ca="1">IFERROR(__xludf.DUMMYFUNCTION("IMPORTXML(AI346, ""//li[strong[text()='Category:']]"")"),"Loading...")</f>
        <v>Loading...</v>
      </c>
      <c r="M346" s="24"/>
      <c r="N346" s="19" t="str">
        <f ca="1">IFERROR(__xludf.DUMMYFUNCTION("IMPORTXML(AI346, ""//li[strong[text()='Global Sales:']]"")"),"Loading...")</f>
        <v>Loading...</v>
      </c>
      <c r="O346" s="24"/>
      <c r="P346" s="19" t="str">
        <f t="shared" si="3"/>
        <v/>
      </c>
      <c r="Q346" s="19" t="str">
        <f ca="1">IFERROR(__xludf.DUMMYFUNCTION("IMPORTXML(AI346, ""//li[strong[text()='US Units:']]"")"),"Loading...")</f>
        <v>Loading...</v>
      </c>
      <c r="R346" s="24"/>
      <c r="S346" s="19" t="str">
        <f ca="1">IFERROR(__xludf.DUMMYFUNCTION("IMPORTXML(AI346, ""//li[strong[text()='International Units:']]"")"),"International Units:")</f>
        <v>International Units:</v>
      </c>
      <c r="T346" s="44">
        <f ca="1">IFERROR(__xludf.DUMMYFUNCTION("""COMPUTED_VALUE"""),8)</f>
        <v>8</v>
      </c>
      <c r="U346" s="19" t="str">
        <f ca="1">IFERROR(__xludf.DUMMYFUNCTION("IMPORTXML(AI346, ""//li[strong[text()='Percent Franchised:']]"")"),"Loading...")</f>
        <v>Loading...</v>
      </c>
      <c r="V346" s="24"/>
      <c r="W346" s="19" t="str">
        <f ca="1">IFERROR(__xludf.DUMMYFUNCTION("IMPORTXML(AI346, ""//li[strong[text()='% International Units:']]"")"),"Loading...")</f>
        <v>Loading...</v>
      </c>
      <c r="X346" s="24"/>
      <c r="Y346" s="19" t="str">
        <f ca="1">IFERROR(__xludf.DUMMYFUNCTION("IMPORTXML(AI346, ""//li[strong[text()='US Franchised Units:']]"")"),"Loading...")</f>
        <v>Loading...</v>
      </c>
      <c r="Z346" s="24"/>
      <c r="AA346" s="14" t="str">
        <f t="shared" si="4"/>
        <v/>
      </c>
      <c r="AB346" s="19" t="str">
        <f ca="1">IFERROR(__xludf.DUMMYFUNCTION("IMPORTXML(AI346, ""//li[strong[text()='International Franchised Units:']]"")"),"Loading...")</f>
        <v>Loading...</v>
      </c>
      <c r="AC346" s="24"/>
      <c r="AD346" s="14" t="str">
        <f t="shared" si="5"/>
        <v/>
      </c>
      <c r="AE346" s="25" t="str">
        <f ca="1">IFERROR(__xludf.DUMMYFUNCTION("IMPORTXML(AI346, ""//li[strong[text()='Sales Growth %:']]"")"),"Loading...")</f>
        <v>Loading...</v>
      </c>
      <c r="AF346" s="24"/>
      <c r="AG346" s="25" t="str">
        <f ca="1">IFERROR(__xludf.DUMMYFUNCTION("IMPORTXML(AI346, ""//li[strong[text()='Unit Growth %:']]"")"),"Unit Growth %:")</f>
        <v>Unit Growth %:</v>
      </c>
      <c r="AH346" s="25" t="str">
        <f ca="1">IFERROR(__xludf.DUMMYFUNCTION("""COMPUTED_VALUE""")," 22.9%")</f>
        <v xml:space="preserve"> 22.9%</v>
      </c>
      <c r="AI346" s="48" t="s">
        <v>352</v>
      </c>
      <c r="AJ346" s="27"/>
      <c r="AK346" s="27"/>
      <c r="AL346" s="27"/>
      <c r="AM346" s="27"/>
      <c r="AN346" s="27"/>
      <c r="AO346" s="27"/>
      <c r="AP346" s="27"/>
      <c r="AQ346" s="27"/>
    </row>
    <row r="347" spans="1:43" ht="14.25" customHeight="1">
      <c r="A347" s="42">
        <v>24.3460000000001</v>
      </c>
      <c r="B347" s="14">
        <v>2024</v>
      </c>
      <c r="C347" s="36">
        <v>346</v>
      </c>
      <c r="D347" s="16" t="str">
        <f ca="1">IFERROR(__xludf.DUMMYFUNCTION("IMPORTXML(AI347, ""//h1[@itemprop='headline']/span"")"),"346. Storm Guard Roofing and Construction")</f>
        <v>346. Storm Guard Roofing and Construction</v>
      </c>
      <c r="E347" s="17" t="str">
        <f ca="1">IFERROR(__xludf.DUMMYFUNCTION("REGEXEXTRACT(D347, ""\.\s*(.+)"")"),"Storm Guard Roofing and Construction")</f>
        <v>Storm Guard Roofing and Construction</v>
      </c>
      <c r="F347" s="18" t="str">
        <f ca="1">IFERROR(__xludf.DUMMYFUNCTION("IMPORTXML(AI347, ""//li[strong[text()='Investment Range:']]"")"),"Investment Range:")</f>
        <v>Investment Range:</v>
      </c>
      <c r="G347" s="43" t="str">
        <f ca="1">IFERROR(__xludf.DUMMYFUNCTION("""COMPUTED_VALUE""")," $200,400 - $236,600")</f>
        <v xml:space="preserve"> $200,400 - $236,600</v>
      </c>
      <c r="H347" s="18" t="str">
        <f ca="1">IFERROR(__xludf.DUMMYFUNCTION("SUBSTITUTE(REGEXEXTRACT(G347, ""\$(\d{1,3}(?:,\d{3})*)""), "","", ""."")
"),"200.400")</f>
        <v>200.400</v>
      </c>
      <c r="I347" s="19" t="str">
        <f ca="1">IFERROR(__xludf.DUMMYFUNCTION("SUBSTITUTE(REGEXEXTRACT(G347, ""-\s*\$(\d{1,3}(?:,\d{3})*)""), "","", ""."")
"),"236.600")</f>
        <v>236.600</v>
      </c>
      <c r="J347" s="19" t="str">
        <f ca="1">IFERROR(__xludf.DUMMYFUNCTION("IMPORTXML(AI347, ""//li[strong[text()='Initial Investment:']]"")"),"Loading...")</f>
        <v>Loading...</v>
      </c>
      <c r="K347" s="24"/>
      <c r="L347" s="20" t="str">
        <f ca="1">IFERROR(__xludf.DUMMYFUNCTION("IMPORTXML(AI347, ""//li[strong[text()='Category:']]"")"),"Loading...")</f>
        <v>Loading...</v>
      </c>
      <c r="M347" s="24"/>
      <c r="N347" s="19" t="str">
        <f ca="1">IFERROR(__xludf.DUMMYFUNCTION("IMPORTXML(AI347, ""//li[strong[text()='Global Sales:']]"")"),"Loading...")</f>
        <v>Loading...</v>
      </c>
      <c r="O347" s="24"/>
      <c r="P347" s="19" t="str">
        <f t="shared" si="3"/>
        <v/>
      </c>
      <c r="Q347" s="19" t="str">
        <f ca="1">IFERROR(__xludf.DUMMYFUNCTION("IMPORTXML(AI347, ""//li[strong[text()='US Units:']]"")"),"Loading...")</f>
        <v>Loading...</v>
      </c>
      <c r="R347" s="24"/>
      <c r="S347" s="19" t="str">
        <f ca="1">IFERROR(__xludf.DUMMYFUNCTION("IMPORTXML(AI347, ""//li[strong[text()='International Units:']]"")"),"Loading...")</f>
        <v>Loading...</v>
      </c>
      <c r="T347" s="44"/>
      <c r="U347" s="19" t="str">
        <f ca="1">IFERROR(__xludf.DUMMYFUNCTION("IMPORTXML(AI347, ""//li[strong[text()='Percent Franchised:']]"")"),"Loading...")</f>
        <v>Loading...</v>
      </c>
      <c r="V347" s="24"/>
      <c r="W347" s="19" t="str">
        <f ca="1">IFERROR(__xludf.DUMMYFUNCTION("IMPORTXML(AI347, ""//li[strong[text()='% International Units:']]"")"),"Loading...")</f>
        <v>Loading...</v>
      </c>
      <c r="X347" s="24"/>
      <c r="Y347" s="19" t="str">
        <f ca="1">IFERROR(__xludf.DUMMYFUNCTION("IMPORTXML(AI347, ""//li[strong[text()='US Franchised Units:']]"")"),"Loading...")</f>
        <v>Loading...</v>
      </c>
      <c r="Z347" s="24"/>
      <c r="AA347" s="14" t="str">
        <f t="shared" si="4"/>
        <v/>
      </c>
      <c r="AB347" s="19" t="str">
        <f ca="1">IFERROR(__xludf.DUMMYFUNCTION("IMPORTXML(AI347, ""//li[strong[text()='International Franchised Units:']]"")"),"Loading...")</f>
        <v>Loading...</v>
      </c>
      <c r="AC347" s="24"/>
      <c r="AD347" s="14" t="str">
        <f t="shared" si="5"/>
        <v/>
      </c>
      <c r="AE347" s="25" t="str">
        <f ca="1">IFERROR(__xludf.DUMMYFUNCTION("IMPORTXML(AI347, ""//li[strong[text()='Sales Growth %:']]"")"),"Loading...")</f>
        <v>Loading...</v>
      </c>
      <c r="AF347" s="24"/>
      <c r="AG347" s="25" t="str">
        <f ca="1">IFERROR(__xludf.DUMMYFUNCTION("IMPORTXML(AI347, ""//li[strong[text()='Unit Growth %:']]"")"),"Loading...")</f>
        <v>Loading...</v>
      </c>
      <c r="AH347" s="25"/>
      <c r="AI347" s="48" t="s">
        <v>353</v>
      </c>
      <c r="AJ347" s="27"/>
      <c r="AK347" s="27"/>
      <c r="AL347" s="27"/>
      <c r="AM347" s="27"/>
      <c r="AN347" s="27"/>
      <c r="AO347" s="27"/>
      <c r="AP347" s="27"/>
      <c r="AQ347" s="27"/>
    </row>
    <row r="348" spans="1:43" ht="14.25" customHeight="1">
      <c r="A348" s="42">
        <v>24.347000000000101</v>
      </c>
      <c r="B348" s="14">
        <v>2024</v>
      </c>
      <c r="C348" s="36">
        <v>347</v>
      </c>
      <c r="D348" s="16" t="str">
        <f ca="1">IFERROR(__xludf.DUMMYFUNCTION("IMPORTXML(AI348, ""//h1[@itemprop='headline']/span"")"),"347. Office Pride Commercial Cleaning")</f>
        <v>347. Office Pride Commercial Cleaning</v>
      </c>
      <c r="E348" s="17" t="str">
        <f ca="1">IFERROR(__xludf.DUMMYFUNCTION("REGEXEXTRACT(D348, ""\.\s*(.+)"")"),"Office Pride Commercial Cleaning")</f>
        <v>Office Pride Commercial Cleaning</v>
      </c>
      <c r="F348" s="18" t="str">
        <f ca="1">IFERROR(__xludf.DUMMYFUNCTION("IMPORTXML(AI348, ""//li[strong[text()='Investment Range:']]"")"),"Investment Range:")</f>
        <v>Investment Range:</v>
      </c>
      <c r="G348" s="43" t="str">
        <f ca="1">IFERROR(__xludf.DUMMYFUNCTION("""COMPUTED_VALUE""")," $80,400 - $126,600")</f>
        <v xml:space="preserve"> $80,400 - $126,600</v>
      </c>
      <c r="H348" s="18" t="str">
        <f ca="1">IFERROR(__xludf.DUMMYFUNCTION("SUBSTITUTE(REGEXEXTRACT(G348, ""\$(\d{1,3}(?:,\d{3})*)""), "","", ""."")
"),"80.400")</f>
        <v>80.400</v>
      </c>
      <c r="I348" s="19" t="str">
        <f ca="1">IFERROR(__xludf.DUMMYFUNCTION("SUBSTITUTE(REGEXEXTRACT(G348, ""-\s*\$(\d{1,3}(?:,\d{3})*)""), "","", ""."")
"),"126.600")</f>
        <v>126.600</v>
      </c>
      <c r="J348" s="19" t="str">
        <f ca="1">IFERROR(__xludf.DUMMYFUNCTION("IMPORTXML(AI348, ""//li[strong[text()='Initial Investment:']]"")"),"Loading...")</f>
        <v>Loading...</v>
      </c>
      <c r="K348" s="24"/>
      <c r="L348" s="20" t="str">
        <f ca="1">IFERROR(__xludf.DUMMYFUNCTION("IMPORTXML(AI348, ""//li[strong[text()='Category:']]"")"),"Loading...")</f>
        <v>Loading...</v>
      </c>
      <c r="M348" s="24"/>
      <c r="N348" s="19" t="str">
        <f ca="1">IFERROR(__xludf.DUMMYFUNCTION("IMPORTXML(AI348, ""//li[strong[text()='Global Sales:']]"")"),"Loading...")</f>
        <v>Loading...</v>
      </c>
      <c r="O348" s="24"/>
      <c r="P348" s="19" t="str">
        <f t="shared" si="3"/>
        <v/>
      </c>
      <c r="Q348" s="19" t="str">
        <f ca="1">IFERROR(__xludf.DUMMYFUNCTION("IMPORTXML(AI348, ""//li[strong[text()='US Units:']]"")"),"Loading...")</f>
        <v>Loading...</v>
      </c>
      <c r="R348" s="24"/>
      <c r="S348" s="19" t="str">
        <f ca="1">IFERROR(__xludf.DUMMYFUNCTION("IMPORTXML(AI348, ""//li[strong[text()='International Units:']]"")"),"Loading...")</f>
        <v>Loading...</v>
      </c>
      <c r="T348" s="44"/>
      <c r="U348" s="19" t="str">
        <f ca="1">IFERROR(__xludf.DUMMYFUNCTION("IMPORTXML(AI348, ""//li[strong[text()='Percent Franchised:']]"")"),"Loading...")</f>
        <v>Loading...</v>
      </c>
      <c r="V348" s="24"/>
      <c r="W348" s="19" t="str">
        <f ca="1">IFERROR(__xludf.DUMMYFUNCTION("IMPORTXML(AI348, ""//li[strong[text()='% International Units:']]"")"),"Loading...")</f>
        <v>Loading...</v>
      </c>
      <c r="X348" s="24"/>
      <c r="Y348" s="19" t="str">
        <f ca="1">IFERROR(__xludf.DUMMYFUNCTION("IMPORTXML(AI348, ""//li[strong[text()='US Franchised Units:']]"")"),"Loading...")</f>
        <v>Loading...</v>
      </c>
      <c r="Z348" s="24"/>
      <c r="AA348" s="14" t="str">
        <f t="shared" si="4"/>
        <v/>
      </c>
      <c r="AB348" s="19" t="str">
        <f ca="1">IFERROR(__xludf.DUMMYFUNCTION("IMPORTXML(AI348, ""//li[strong[text()='International Franchised Units:']]"")"),"Loading...")</f>
        <v>Loading...</v>
      </c>
      <c r="AC348" s="24"/>
      <c r="AD348" s="14" t="str">
        <f t="shared" si="5"/>
        <v/>
      </c>
      <c r="AE348" s="25" t="str">
        <f ca="1">IFERROR(__xludf.DUMMYFUNCTION("IMPORTXML(AI348, ""//li[strong[text()='Sales Growth %:']]"")"),"Loading...")</f>
        <v>Loading...</v>
      </c>
      <c r="AF348" s="24"/>
      <c r="AG348" s="25" t="str">
        <f ca="1">IFERROR(__xludf.DUMMYFUNCTION("IMPORTXML(AI348, ""//li[strong[text()='Unit Growth %:']]"")"),"Loading...")</f>
        <v>Loading...</v>
      </c>
      <c r="AH348" s="25"/>
      <c r="AI348" s="48" t="s">
        <v>354</v>
      </c>
      <c r="AJ348" s="27"/>
      <c r="AK348" s="27"/>
      <c r="AL348" s="27"/>
      <c r="AM348" s="27"/>
      <c r="AN348" s="27"/>
      <c r="AO348" s="27"/>
      <c r="AP348" s="27"/>
      <c r="AQ348" s="27"/>
    </row>
    <row r="349" spans="1:43" ht="14.25" customHeight="1">
      <c r="A349" s="42">
        <v>24.348000000000098</v>
      </c>
      <c r="B349" s="14">
        <v>2024</v>
      </c>
      <c r="C349" s="15">
        <v>348</v>
      </c>
      <c r="D349" s="16" t="str">
        <f ca="1">IFERROR(__xludf.DUMMYFUNCTION("IMPORTXML(AI349, ""//h1[@itemprop='headline']/span"")"),"348. Archadeck Outdoor Living")</f>
        <v>348. Archadeck Outdoor Living</v>
      </c>
      <c r="E349" s="17" t="str">
        <f ca="1">IFERROR(__xludf.DUMMYFUNCTION("REGEXEXTRACT(D349, ""\.\s*(.+)"")"),"Archadeck Outdoor Living")</f>
        <v>Archadeck Outdoor Living</v>
      </c>
      <c r="F349" s="18" t="str">
        <f ca="1">IFERROR(__xludf.DUMMYFUNCTION("IMPORTXML(AI349, ""//li[strong[text()='Investment Range:']]"")"),"Investment Range:")</f>
        <v>Investment Range:</v>
      </c>
      <c r="G349" s="43" t="str">
        <f ca="1">IFERROR(__xludf.DUMMYFUNCTION("""COMPUTED_VALUE""")," $120,400 - $139,300")</f>
        <v xml:space="preserve"> $120,400 - $139,300</v>
      </c>
      <c r="H349" s="18" t="str">
        <f ca="1">IFERROR(__xludf.DUMMYFUNCTION("SUBSTITUTE(REGEXEXTRACT(G349, ""\$(\d{1,3}(?:,\d{3})*)""), "","", ""."")
"),"120.400")</f>
        <v>120.400</v>
      </c>
      <c r="I349" s="19" t="str">
        <f ca="1">IFERROR(__xludf.DUMMYFUNCTION("SUBSTITUTE(REGEXEXTRACT(G349, ""-\s*\$(\d{1,3}(?:,\d{3})*)""), "","", ""."")
"),"139.300")</f>
        <v>139.300</v>
      </c>
      <c r="J349" s="19" t="str">
        <f ca="1">IFERROR(__xludf.DUMMYFUNCTION("IMPORTXML(AI349, ""//li[strong[text()='Initial Investment:']]"")"),"Loading...")</f>
        <v>Loading...</v>
      </c>
      <c r="K349" s="24"/>
      <c r="L349" s="20" t="str">
        <f ca="1">IFERROR(__xludf.DUMMYFUNCTION("IMPORTXML(AI349, ""//li[strong[text()='Category:']]"")"),"Loading...")</f>
        <v>Loading...</v>
      </c>
      <c r="M349" s="24"/>
      <c r="N349" s="19" t="str">
        <f ca="1">IFERROR(__xludf.DUMMYFUNCTION("IMPORTXML(AI349, ""//li[strong[text()='Global Sales:']]"")"),"Loading...")</f>
        <v>Loading...</v>
      </c>
      <c r="O349" s="24"/>
      <c r="P349" s="19" t="str">
        <f t="shared" si="3"/>
        <v/>
      </c>
      <c r="Q349" s="19" t="str">
        <f ca="1">IFERROR(__xludf.DUMMYFUNCTION("IMPORTXML(AI349, ""//li[strong[text()='US Units:']]"")"),"Loading...")</f>
        <v>Loading...</v>
      </c>
      <c r="R349" s="24"/>
      <c r="S349" s="19" t="str">
        <f ca="1">IFERROR(__xludf.DUMMYFUNCTION("IMPORTXML(AI349, ""//li[strong[text()='International Units:']]"")"),"Loading...")</f>
        <v>Loading...</v>
      </c>
      <c r="T349" s="44"/>
      <c r="U349" s="19" t="str">
        <f ca="1">IFERROR(__xludf.DUMMYFUNCTION("IMPORTXML(AI349, ""//li[strong[text()='Percent Franchised:']]"")"),"Loading...")</f>
        <v>Loading...</v>
      </c>
      <c r="V349" s="24"/>
      <c r="W349" s="19" t="str">
        <f ca="1">IFERROR(__xludf.DUMMYFUNCTION("IMPORTXML(AI349, ""//li[strong[text()='% International Units:']]"")"),"Loading...")</f>
        <v>Loading...</v>
      </c>
      <c r="X349" s="24"/>
      <c r="Y349" s="19" t="str">
        <f ca="1">IFERROR(__xludf.DUMMYFUNCTION("IMPORTXML(AI349, ""//li[strong[text()='US Franchised Units:']]"")"),"Loading...")</f>
        <v>Loading...</v>
      </c>
      <c r="Z349" s="24"/>
      <c r="AA349" s="14" t="str">
        <f t="shared" si="4"/>
        <v/>
      </c>
      <c r="AB349" s="19" t="str">
        <f ca="1">IFERROR(__xludf.DUMMYFUNCTION("IMPORTXML(AI349, ""//li[strong[text()='International Franchised Units:']]"")"),"Loading...")</f>
        <v>Loading...</v>
      </c>
      <c r="AC349" s="24"/>
      <c r="AD349" s="14" t="str">
        <f t="shared" si="5"/>
        <v/>
      </c>
      <c r="AE349" s="25" t="str">
        <f ca="1">IFERROR(__xludf.DUMMYFUNCTION("IMPORTXML(AI349, ""//li[strong[text()='Sales Growth %:']]"")"),"Loading...")</f>
        <v>Loading...</v>
      </c>
      <c r="AF349" s="24"/>
      <c r="AG349" s="25" t="str">
        <f ca="1">IFERROR(__xludf.DUMMYFUNCTION("IMPORTXML(AI349, ""//li[strong[text()='Unit Growth %:']]"")"),"Loading...")</f>
        <v>Loading...</v>
      </c>
      <c r="AH349" s="25"/>
      <c r="AI349" s="48" t="s">
        <v>355</v>
      </c>
      <c r="AJ349" s="27"/>
      <c r="AK349" s="27"/>
      <c r="AL349" s="27"/>
      <c r="AM349" s="27"/>
      <c r="AN349" s="27"/>
      <c r="AO349" s="27"/>
      <c r="AP349" s="27"/>
      <c r="AQ349" s="27"/>
    </row>
    <row r="350" spans="1:43" ht="14.25" customHeight="1">
      <c r="A350" s="42">
        <v>24.3490000000001</v>
      </c>
      <c r="B350" s="14">
        <v>2024</v>
      </c>
      <c r="C350" s="32">
        <v>349</v>
      </c>
      <c r="D350" s="16" t="str">
        <f ca="1">IFERROR(__xludf.DUMMYFUNCTION("IMPORTXML(AI350, ""//h1[@itemprop='headline']/span"")"),"349. Brothers that Just do Gutters")</f>
        <v>349. Brothers that Just do Gutters</v>
      </c>
      <c r="E350" s="17" t="str">
        <f ca="1">IFERROR(__xludf.DUMMYFUNCTION("REGEXEXTRACT(D350, ""\.\s*(.+)"")"),"Brothers that Just do Gutters")</f>
        <v>Brothers that Just do Gutters</v>
      </c>
      <c r="F350" s="18" t="str">
        <f ca="1">IFERROR(__xludf.DUMMYFUNCTION("IMPORTXML(AI350, ""//li[strong[text()='Investment Range:']]"")"),"Investment Range:")</f>
        <v>Investment Range:</v>
      </c>
      <c r="G350" s="43" t="str">
        <f ca="1">IFERROR(__xludf.DUMMYFUNCTION("""COMPUTED_VALUE""")," $143,750 - $205,000")</f>
        <v xml:space="preserve"> $143,750 - $205,000</v>
      </c>
      <c r="H350" s="18" t="str">
        <f ca="1">IFERROR(__xludf.DUMMYFUNCTION("SUBSTITUTE(REGEXEXTRACT(G350, ""\$(\d{1,3}(?:,\d{3})*)""), "","", ""."")
"),"143.750")</f>
        <v>143.750</v>
      </c>
      <c r="I350" s="19" t="str">
        <f ca="1">IFERROR(__xludf.DUMMYFUNCTION("SUBSTITUTE(REGEXEXTRACT(G350, ""-\s*\$(\d{1,3}(?:,\d{3})*)""), "","", ""."")
"),"205.000")</f>
        <v>205.000</v>
      </c>
      <c r="J350" s="19" t="str">
        <f ca="1">IFERROR(__xludf.DUMMYFUNCTION("IMPORTXML(AI350, ""//li[strong[text()='Initial Investment:']]"")"),"Loading...")</f>
        <v>Loading...</v>
      </c>
      <c r="K350" s="24"/>
      <c r="L350" s="20" t="str">
        <f ca="1">IFERROR(__xludf.DUMMYFUNCTION("IMPORTXML(AI350, ""//li[strong[text()='Category:']]"")"),"Loading...")</f>
        <v>Loading...</v>
      </c>
      <c r="M350" s="24"/>
      <c r="N350" s="19" t="str">
        <f ca="1">IFERROR(__xludf.DUMMYFUNCTION("IMPORTXML(AI350, ""//li[strong[text()='Global Sales:']]"")"),"Loading...")</f>
        <v>Loading...</v>
      </c>
      <c r="O350" s="24"/>
      <c r="P350" s="19" t="str">
        <f t="shared" si="3"/>
        <v/>
      </c>
      <c r="Q350" s="19" t="str">
        <f ca="1">IFERROR(__xludf.DUMMYFUNCTION("IMPORTXML(AI350, ""//li[strong[text()='US Units:']]"")"),"Loading...")</f>
        <v>Loading...</v>
      </c>
      <c r="R350" s="24"/>
      <c r="S350" s="19" t="str">
        <f ca="1">IFERROR(__xludf.DUMMYFUNCTION("IMPORTXML(AI350, ""//li[strong[text()='International Units:']]"")"),"Loading...")</f>
        <v>Loading...</v>
      </c>
      <c r="T350" s="44"/>
      <c r="U350" s="19" t="str">
        <f ca="1">IFERROR(__xludf.DUMMYFUNCTION("IMPORTXML(AI350, ""//li[strong[text()='Percent Franchised:']]"")"),"Percent Franchised:")</f>
        <v>Percent Franchised:</v>
      </c>
      <c r="V350" s="45">
        <f ca="1">IFERROR(__xludf.DUMMYFUNCTION("""COMPUTED_VALUE"""),0.99)</f>
        <v>0.99</v>
      </c>
      <c r="W350" s="19" t="str">
        <f ca="1">IFERROR(__xludf.DUMMYFUNCTION("IMPORTXML(AI350, ""//li[strong[text()='% International Units:']]"")"),"Loading...")</f>
        <v>Loading...</v>
      </c>
      <c r="X350" s="24"/>
      <c r="Y350" s="19" t="str">
        <f ca="1">IFERROR(__xludf.DUMMYFUNCTION("IMPORTXML(AI350, ""//li[strong[text()='US Franchised Units:']]"")"),"Loading...")</f>
        <v>Loading...</v>
      </c>
      <c r="Z350" s="24"/>
      <c r="AA350" s="14" t="str">
        <f t="shared" si="4"/>
        <v/>
      </c>
      <c r="AB350" s="19" t="str">
        <f ca="1">IFERROR(__xludf.DUMMYFUNCTION("IMPORTXML(AI350, ""//li[strong[text()='International Franchised Units:']]"")"),"Loading...")</f>
        <v>Loading...</v>
      </c>
      <c r="AC350" s="24"/>
      <c r="AD350" s="14" t="str">
        <f t="shared" si="5"/>
        <v/>
      </c>
      <c r="AE350" s="25" t="str">
        <f ca="1">IFERROR(__xludf.DUMMYFUNCTION("IMPORTXML(AI350, ""//li[strong[text()='Sales Growth %:']]"")"),"Loading...")</f>
        <v>Loading...</v>
      </c>
      <c r="AF350" s="24"/>
      <c r="AG350" s="25" t="str">
        <f ca="1">IFERROR(__xludf.DUMMYFUNCTION("IMPORTXML(AI350, ""//li[strong[text()='Unit Growth %:']]"")"),"Loading...")</f>
        <v>Loading...</v>
      </c>
      <c r="AH350" s="25"/>
      <c r="AI350" s="48" t="s">
        <v>356</v>
      </c>
      <c r="AJ350" s="27"/>
      <c r="AK350" s="27"/>
      <c r="AL350" s="27"/>
      <c r="AM350" s="27"/>
      <c r="AN350" s="27"/>
      <c r="AO350" s="27"/>
      <c r="AP350" s="27"/>
      <c r="AQ350" s="27"/>
    </row>
    <row r="351" spans="1:43" ht="14.25" customHeight="1">
      <c r="A351" s="42">
        <v>24.350000000000101</v>
      </c>
      <c r="B351" s="14">
        <v>2024</v>
      </c>
      <c r="C351" s="36">
        <v>350</v>
      </c>
      <c r="D351" s="16" t="str">
        <f ca="1">IFERROR(__xludf.DUMMYFUNCTION("IMPORTXML(AI351, ""//h1[@itemprop='headline']/span"")"),"350. Cousins Subs")</f>
        <v>350. Cousins Subs</v>
      </c>
      <c r="E351" s="17" t="str">
        <f ca="1">IFERROR(__xludf.DUMMYFUNCTION("REGEXEXTRACT(D351, ""\.\s*(.+)"")"),"Cousins Subs")</f>
        <v>Cousins Subs</v>
      </c>
      <c r="F351" s="18" t="str">
        <f ca="1">IFERROR(__xludf.DUMMYFUNCTION("IMPORTXML(AI351, ""//li[strong[text()='Investment Range:']]"")"),"Investment Range:")</f>
        <v>Investment Range:</v>
      </c>
      <c r="G351" s="43" t="str">
        <f ca="1">IFERROR(__xludf.DUMMYFUNCTION("""COMPUTED_VALUE""")," $464,700 - $1,164,500")</f>
        <v xml:space="preserve"> $464,700 - $1,164,500</v>
      </c>
      <c r="H351" s="18" t="str">
        <f ca="1">IFERROR(__xludf.DUMMYFUNCTION("SUBSTITUTE(REGEXEXTRACT(G351, ""\$(\d{1,3}(?:,\d{3})*)""), "","", ""."")
"),"464.700")</f>
        <v>464.700</v>
      </c>
      <c r="I351" s="19" t="str">
        <f ca="1">IFERROR(__xludf.DUMMYFUNCTION("SUBSTITUTE(REGEXEXTRACT(G351, ""-\s*\$(\d{1,3}(?:,\d{3})*)""), "","", ""."")
"),"1.164.500")</f>
        <v>1.164.500</v>
      </c>
      <c r="J351" s="19" t="str">
        <f ca="1">IFERROR(__xludf.DUMMYFUNCTION("IMPORTXML(AI351, ""//li[strong[text()='Initial Investment:']]"")"),"Loading...")</f>
        <v>Loading...</v>
      </c>
      <c r="K351" s="24"/>
      <c r="L351" s="20" t="str">
        <f ca="1">IFERROR(__xludf.DUMMYFUNCTION("IMPORTXML(AI351, ""//li[strong[text()='Category:']]"")"),"Loading...")</f>
        <v>Loading...</v>
      </c>
      <c r="M351" s="24"/>
      <c r="N351" s="19" t="str">
        <f ca="1">IFERROR(__xludf.DUMMYFUNCTION("IMPORTXML(AI351, ""//li[strong[text()='Global Sales:']]"")"),"Loading...")</f>
        <v>Loading...</v>
      </c>
      <c r="O351" s="24"/>
      <c r="P351" s="19" t="str">
        <f t="shared" si="3"/>
        <v/>
      </c>
      <c r="Q351" s="19" t="str">
        <f ca="1">IFERROR(__xludf.DUMMYFUNCTION("IMPORTXML(AI351, ""//li[strong[text()='US Units:']]"")"),"Loading...")</f>
        <v>Loading...</v>
      </c>
      <c r="R351" s="24"/>
      <c r="S351" s="19" t="str">
        <f ca="1">IFERROR(__xludf.DUMMYFUNCTION("IMPORTXML(AI351, ""//li[strong[text()='International Units:']]"")"),"Loading...")</f>
        <v>Loading...</v>
      </c>
      <c r="T351" s="44"/>
      <c r="U351" s="19" t="str">
        <f ca="1">IFERROR(__xludf.DUMMYFUNCTION("IMPORTXML(AI351, ""//li[strong[text()='Percent Franchised:']]"")"),"Loading...")</f>
        <v>Loading...</v>
      </c>
      <c r="V351" s="24"/>
      <c r="W351" s="19" t="str">
        <f ca="1">IFERROR(__xludf.DUMMYFUNCTION("IMPORTXML(AI351, ""//li[strong[text()='% International Units:']]"")"),"Loading...")</f>
        <v>Loading...</v>
      </c>
      <c r="X351" s="24"/>
      <c r="Y351" s="19" t="str">
        <f ca="1">IFERROR(__xludf.DUMMYFUNCTION("IMPORTXML(AI351, ""//li[strong[text()='US Franchised Units:']]"")"),"US Franchised Units:")</f>
        <v>US Franchised Units:</v>
      </c>
      <c r="Z351" s="24">
        <f ca="1">IFERROR(__xludf.DUMMYFUNCTION("""COMPUTED_VALUE"""),42)</f>
        <v>42</v>
      </c>
      <c r="AA351" s="14" t="str">
        <f t="shared" ca="1" si="4"/>
        <v>42</v>
      </c>
      <c r="AB351" s="19" t="str">
        <f ca="1">IFERROR(__xludf.DUMMYFUNCTION("IMPORTXML(AI351, ""//li[strong[text()='International Franchised Units:']]"")"),"Loading...")</f>
        <v>Loading...</v>
      </c>
      <c r="AC351" s="24"/>
      <c r="AD351" s="14" t="str">
        <f t="shared" si="5"/>
        <v/>
      </c>
      <c r="AE351" s="25" t="str">
        <f ca="1">IFERROR(__xludf.DUMMYFUNCTION("IMPORTXML(AI351, ""//li[strong[text()='Sales Growth %:']]"")"),"Loading...")</f>
        <v>Loading...</v>
      </c>
      <c r="AF351" s="24"/>
      <c r="AG351" s="25" t="str">
        <f ca="1">IFERROR(__xludf.DUMMYFUNCTION("IMPORTXML(AI351, ""//li[strong[text()='Unit Growth %:']]"")"),"Loading...")</f>
        <v>Loading...</v>
      </c>
      <c r="AH351" s="25"/>
      <c r="AI351" s="48" t="s">
        <v>357</v>
      </c>
      <c r="AJ351" s="27"/>
      <c r="AK351" s="27"/>
      <c r="AL351" s="27"/>
      <c r="AM351" s="27"/>
      <c r="AN351" s="27"/>
      <c r="AO351" s="27"/>
      <c r="AP351" s="27"/>
      <c r="AQ351" s="27"/>
    </row>
    <row r="352" spans="1:43" ht="14.25" customHeight="1">
      <c r="A352" s="42">
        <v>24.351000000000099</v>
      </c>
      <c r="B352" s="14">
        <v>2024</v>
      </c>
      <c r="C352" s="36">
        <v>351</v>
      </c>
      <c r="D352" s="16" t="str">
        <f ca="1">IFERROR(__xludf.DUMMYFUNCTION("IMPORTXML(AI352, ""//h1[@itemprop='headline']/span"")"),"351. Clean Eatz")</f>
        <v>351. Clean Eatz</v>
      </c>
      <c r="E352" s="17" t="str">
        <f ca="1">IFERROR(__xludf.DUMMYFUNCTION("REGEXEXTRACT(D352, ""\.\s*(.+)"")"),"Clean Eatz")</f>
        <v>Clean Eatz</v>
      </c>
      <c r="F352" s="18" t="str">
        <f ca="1">IFERROR(__xludf.DUMMYFUNCTION("IMPORTXML(AI352, ""//li[strong[text()='Investment Range:']]"")"),"Investment Range:")</f>
        <v>Investment Range:</v>
      </c>
      <c r="G352" s="43" t="str">
        <f ca="1">IFERROR(__xludf.DUMMYFUNCTION("""COMPUTED_VALUE""")," $353,700 - $798,000")</f>
        <v xml:space="preserve"> $353,700 - $798,000</v>
      </c>
      <c r="H352" s="18" t="str">
        <f ca="1">IFERROR(__xludf.DUMMYFUNCTION("SUBSTITUTE(REGEXEXTRACT(G352, ""\$(\d{1,3}(?:,\d{3})*)""), "","", ""."")
"),"353.700")</f>
        <v>353.700</v>
      </c>
      <c r="I352" s="19" t="str">
        <f ca="1">IFERROR(__xludf.DUMMYFUNCTION("SUBSTITUTE(REGEXEXTRACT(G352, ""-\s*\$(\d{1,3}(?:,\d{3})*)""), "","", ""."")
"),"798.000")</f>
        <v>798.000</v>
      </c>
      <c r="J352" s="19" t="str">
        <f ca="1">IFERROR(__xludf.DUMMYFUNCTION("IMPORTXML(AI352, ""//li[strong[text()='Initial Investment:']]"")"),"Loading...")</f>
        <v>Loading...</v>
      </c>
      <c r="K352" s="24"/>
      <c r="L352" s="20" t="str">
        <f ca="1">IFERROR(__xludf.DUMMYFUNCTION("IMPORTXML(AI352, ""//li[strong[text()='Category:']]"")"),"Loading...")</f>
        <v>Loading...</v>
      </c>
      <c r="M352" s="24"/>
      <c r="N352" s="19" t="str">
        <f ca="1">IFERROR(__xludf.DUMMYFUNCTION("IMPORTXML(AI352, ""//li[strong[text()='Global Sales:']]"")"),"Loading...")</f>
        <v>Loading...</v>
      </c>
      <c r="O352" s="24"/>
      <c r="P352" s="19" t="str">
        <f t="shared" si="3"/>
        <v/>
      </c>
      <c r="Q352" s="19" t="str">
        <f ca="1">IFERROR(__xludf.DUMMYFUNCTION("IMPORTXML(AI352, ""//li[strong[text()='US Units:']]"")"),"Loading...")</f>
        <v>Loading...</v>
      </c>
      <c r="R352" s="24"/>
      <c r="S352" s="19" t="str">
        <f ca="1">IFERROR(__xludf.DUMMYFUNCTION("IMPORTXML(AI352, ""//li[strong[text()='International Units:']]"")"),"Loading...")</f>
        <v>Loading...</v>
      </c>
      <c r="T352" s="44"/>
      <c r="U352" s="19" t="str">
        <f ca="1">IFERROR(__xludf.DUMMYFUNCTION("IMPORTXML(AI352, ""//li[strong[text()='Percent Franchised:']]"")"),"Loading...")</f>
        <v>Loading...</v>
      </c>
      <c r="V352" s="24"/>
      <c r="W352" s="19" t="str">
        <f ca="1">IFERROR(__xludf.DUMMYFUNCTION("IMPORTXML(AI352, ""//li[strong[text()='% International Units:']]"")"),"Loading...")</f>
        <v>Loading...</v>
      </c>
      <c r="X352" s="24"/>
      <c r="Y352" s="19" t="str">
        <f ca="1">IFERROR(__xludf.DUMMYFUNCTION("IMPORTXML(AI352, ""//li[strong[text()='US Franchised Units:']]"")"),"Loading...")</f>
        <v>Loading...</v>
      </c>
      <c r="Z352" s="24"/>
      <c r="AA352" s="14" t="str">
        <f t="shared" si="4"/>
        <v/>
      </c>
      <c r="AB352" s="19" t="str">
        <f ca="1">IFERROR(__xludf.DUMMYFUNCTION("IMPORTXML(AI352, ""//li[strong[text()='International Franchised Units:']]"")"),"Loading...")</f>
        <v>Loading...</v>
      </c>
      <c r="AC352" s="24"/>
      <c r="AD352" s="14" t="str">
        <f t="shared" si="5"/>
        <v/>
      </c>
      <c r="AE352" s="25" t="str">
        <f ca="1">IFERROR(__xludf.DUMMYFUNCTION("IMPORTXML(AI352, ""//li[strong[text()='Sales Growth %:']]"")"),"Loading...")</f>
        <v>Loading...</v>
      </c>
      <c r="AF352" s="24"/>
      <c r="AG352" s="25" t="str">
        <f ca="1">IFERROR(__xludf.DUMMYFUNCTION("IMPORTXML(AI352, ""//li[strong[text()='Unit Growth %:']]"")"),"Loading...")</f>
        <v>Loading...</v>
      </c>
      <c r="AH352" s="25"/>
      <c r="AI352" s="48" t="s">
        <v>358</v>
      </c>
      <c r="AJ352" s="27"/>
      <c r="AK352" s="27"/>
      <c r="AL352" s="27"/>
      <c r="AM352" s="27"/>
      <c r="AN352" s="27"/>
      <c r="AO352" s="27"/>
      <c r="AP352" s="27"/>
      <c r="AQ352" s="27"/>
    </row>
    <row r="353" spans="1:43" ht="14.25" customHeight="1">
      <c r="A353" s="42">
        <v>24.3520000000001</v>
      </c>
      <c r="B353" s="14">
        <v>2024</v>
      </c>
      <c r="C353" s="15">
        <v>352</v>
      </c>
      <c r="D353" s="16" t="str">
        <f ca="1">IFERROR(__xludf.DUMMYFUNCTION("IMPORTXML(AI353, ""//h1[@itemprop='headline']/span"")"),"352. Transworld Business Advisors")</f>
        <v>352. Transworld Business Advisors</v>
      </c>
      <c r="E353" s="17" t="str">
        <f ca="1">IFERROR(__xludf.DUMMYFUNCTION("REGEXEXTRACT(D353, ""\.\s*(.+)"")"),"Transworld Business Advisors")</f>
        <v>Transworld Business Advisors</v>
      </c>
      <c r="F353" s="18" t="str">
        <f ca="1">IFERROR(__xludf.DUMMYFUNCTION("IMPORTXML(AI353, ""//li[strong[text()='Investment Range:']]"")"),"Investment Range:")</f>
        <v>Investment Range:</v>
      </c>
      <c r="G353" s="43" t="str">
        <f ca="1">IFERROR(__xludf.DUMMYFUNCTION("""COMPUTED_VALUE""")," $96,705 - $122,465")</f>
        <v xml:space="preserve"> $96,705 - $122,465</v>
      </c>
      <c r="H353" s="18" t="str">
        <f ca="1">IFERROR(__xludf.DUMMYFUNCTION("SUBSTITUTE(REGEXEXTRACT(G353, ""\$(\d{1,3}(?:,\d{3})*)""), "","", ""."")
"),"96.705")</f>
        <v>96.705</v>
      </c>
      <c r="I353" s="19" t="str">
        <f ca="1">IFERROR(__xludf.DUMMYFUNCTION("SUBSTITUTE(REGEXEXTRACT(G353, ""-\s*\$(\d{1,3}(?:,\d{3})*)""), "","", ""."")
"),"122.465")</f>
        <v>122.465</v>
      </c>
      <c r="J353" s="19" t="str">
        <f ca="1">IFERROR(__xludf.DUMMYFUNCTION("IMPORTXML(AI353, ""//li[strong[text()='Initial Investment:']]"")"),"Loading...")</f>
        <v>Loading...</v>
      </c>
      <c r="K353" s="24"/>
      <c r="L353" s="20" t="str">
        <f ca="1">IFERROR(__xludf.DUMMYFUNCTION("IMPORTXML(AI353, ""//li[strong[text()='Category:']]"")"),"Loading...")</f>
        <v>Loading...</v>
      </c>
      <c r="M353" s="24"/>
      <c r="N353" s="19" t="str">
        <f ca="1">IFERROR(__xludf.DUMMYFUNCTION("IMPORTXML(AI353, ""//li[strong[text()='Global Sales:']]"")"),"Loading...")</f>
        <v>Loading...</v>
      </c>
      <c r="O353" s="24"/>
      <c r="P353" s="19" t="str">
        <f t="shared" si="3"/>
        <v/>
      </c>
      <c r="Q353" s="19" t="str">
        <f ca="1">IFERROR(__xludf.DUMMYFUNCTION("IMPORTXML(AI353, ""//li[strong[text()='US Units:']]"")"),"Loading...")</f>
        <v>Loading...</v>
      </c>
      <c r="R353" s="24"/>
      <c r="S353" s="19" t="str">
        <f ca="1">IFERROR(__xludf.DUMMYFUNCTION("IMPORTXML(AI353, ""//li[strong[text()='International Units:']]"")"),"Loading...")</f>
        <v>Loading...</v>
      </c>
      <c r="T353" s="44"/>
      <c r="U353" s="19" t="str">
        <f ca="1">IFERROR(__xludf.DUMMYFUNCTION("IMPORTXML(AI353, ""//li[strong[text()='Percent Franchised:']]"")"),"Loading...")</f>
        <v>Loading...</v>
      </c>
      <c r="V353" s="24"/>
      <c r="W353" s="19" t="str">
        <f ca="1">IFERROR(__xludf.DUMMYFUNCTION("IMPORTXML(AI353, ""//li[strong[text()='% International Units:']]"")"),"Loading...")</f>
        <v>Loading...</v>
      </c>
      <c r="X353" s="24"/>
      <c r="Y353" s="19" t="str">
        <f ca="1">IFERROR(__xludf.DUMMYFUNCTION("IMPORTXML(AI353, ""//li[strong[text()='US Franchised Units:']]"")"),"Loading...")</f>
        <v>Loading...</v>
      </c>
      <c r="Z353" s="24"/>
      <c r="AA353" s="14" t="str">
        <f t="shared" si="4"/>
        <v/>
      </c>
      <c r="AB353" s="19" t="str">
        <f ca="1">IFERROR(__xludf.DUMMYFUNCTION("IMPORTXML(AI353, ""//li[strong[text()='International Franchised Units:']]"")"),"Loading...")</f>
        <v>Loading...</v>
      </c>
      <c r="AC353" s="24"/>
      <c r="AD353" s="14" t="str">
        <f t="shared" si="5"/>
        <v/>
      </c>
      <c r="AE353" s="25" t="str">
        <f ca="1">IFERROR(__xludf.DUMMYFUNCTION("IMPORTXML(AI353, ""//li[strong[text()='Sales Growth %:']]"")"),"Loading...")</f>
        <v>Loading...</v>
      </c>
      <c r="AF353" s="24"/>
      <c r="AG353" s="25" t="str">
        <f ca="1">IFERROR(__xludf.DUMMYFUNCTION("IMPORTXML(AI353, ""//li[strong[text()='Unit Growth %:']]"")"),"Loading...")</f>
        <v>Loading...</v>
      </c>
      <c r="AH353" s="25"/>
      <c r="AI353" s="48" t="s">
        <v>359</v>
      </c>
      <c r="AJ353" s="27"/>
      <c r="AK353" s="27"/>
      <c r="AL353" s="27"/>
      <c r="AM353" s="27"/>
      <c r="AN353" s="27"/>
      <c r="AO353" s="27"/>
      <c r="AP353" s="27"/>
      <c r="AQ353" s="27"/>
    </row>
    <row r="354" spans="1:43" ht="14.25" customHeight="1">
      <c r="A354" s="42">
        <v>24.353000000000101</v>
      </c>
      <c r="B354" s="14">
        <v>2024</v>
      </c>
      <c r="C354" s="32">
        <v>353</v>
      </c>
      <c r="D354" s="16" t="str">
        <f ca="1">IFERROR(__xludf.DUMMYFUNCTION("IMPORTXML(AI354, ""//h1[@itemprop='headline']/span"")"),"353. Rocky Mountain Chocolate Factory")</f>
        <v>353. Rocky Mountain Chocolate Factory</v>
      </c>
      <c r="E354" s="17" t="str">
        <f ca="1">IFERROR(__xludf.DUMMYFUNCTION("REGEXEXTRACT(D354, ""\.\s*(.+)"")"),"Rocky Mountain Chocolate Factory")</f>
        <v>Rocky Mountain Chocolate Factory</v>
      </c>
      <c r="F354" s="18" t="str">
        <f ca="1">IFERROR(__xludf.DUMMYFUNCTION("IMPORTXML(AI354, ""//li[strong[text()='Investment Range:']]"")"),"#REF!")</f>
        <v>#REF!</v>
      </c>
      <c r="G354" s="43"/>
      <c r="H354" s="18" t="str">
        <f ca="1">IFERROR(__xludf.DUMMYFUNCTION("SUBSTITUTE(REGEXEXTRACT(G354, ""\$(\d{1,3}(?:,\d{3})*)""), "","", ""."")
"),"#N/A")</f>
        <v>#N/A</v>
      </c>
      <c r="I354" s="19" t="str">
        <f ca="1">IFERROR(__xludf.DUMMYFUNCTION("SUBSTITUTE(REGEXEXTRACT(G354, ""-\s*\$(\d{1,3}(?:,\d{3})*)""), "","", ""."")
"),"#N/A")</f>
        <v>#N/A</v>
      </c>
      <c r="J354" s="19" t="str">
        <f ca="1">IFERROR(__xludf.DUMMYFUNCTION("IMPORTXML(AI354, ""//li[strong[text()='Initial Investment:']]"")"),"Loading...")</f>
        <v>Loading...</v>
      </c>
      <c r="K354" s="24"/>
      <c r="L354" s="20" t="str">
        <f ca="1">IFERROR(__xludf.DUMMYFUNCTION("IMPORTXML(AI354, ""//li[strong[text()='Category:']]"")"),"Loading...")</f>
        <v>Loading...</v>
      </c>
      <c r="M354" s="24"/>
      <c r="N354" s="19" t="str">
        <f ca="1">IFERROR(__xludf.DUMMYFUNCTION("IMPORTXML(AI354, ""//li[strong[text()='Global Sales:']]"")"),"Loading...")</f>
        <v>Loading...</v>
      </c>
      <c r="O354" s="24"/>
      <c r="P354" s="19" t="str">
        <f t="shared" si="3"/>
        <v/>
      </c>
      <c r="Q354" s="19" t="str">
        <f ca="1">IFERROR(__xludf.DUMMYFUNCTION("IMPORTXML(AI354, ""//li[strong[text()='US Units:']]"")"),"Loading...")</f>
        <v>Loading...</v>
      </c>
      <c r="R354" s="24"/>
      <c r="S354" s="19" t="str">
        <f ca="1">IFERROR(__xludf.DUMMYFUNCTION("IMPORTXML(AI354, ""//li[strong[text()='International Units:']]"")"),"Loading...")</f>
        <v>Loading...</v>
      </c>
      <c r="T354" s="44"/>
      <c r="U354" s="19" t="str">
        <f ca="1">IFERROR(__xludf.DUMMYFUNCTION("IMPORTXML(AI354, ""//li[strong[text()='Percent Franchised:']]"")"),"Loading...")</f>
        <v>Loading...</v>
      </c>
      <c r="V354" s="24"/>
      <c r="W354" s="19" t="str">
        <f ca="1">IFERROR(__xludf.DUMMYFUNCTION("IMPORTXML(AI354, ""//li[strong[text()='% International Units:']]"")"),"Loading...")</f>
        <v>Loading...</v>
      </c>
      <c r="X354" s="24"/>
      <c r="Y354" s="19" t="str">
        <f ca="1">IFERROR(__xludf.DUMMYFUNCTION("IMPORTXML(AI354, ""//li[strong[text()='US Franchised Units:']]"")"),"Loading...")</f>
        <v>Loading...</v>
      </c>
      <c r="Z354" s="24"/>
      <c r="AA354" s="14" t="str">
        <f t="shared" si="4"/>
        <v/>
      </c>
      <c r="AB354" s="19" t="str">
        <f ca="1">IFERROR(__xludf.DUMMYFUNCTION("IMPORTXML(AI354, ""//li[strong[text()='International Franchised Units:']]"")"),"Loading...")</f>
        <v>Loading...</v>
      </c>
      <c r="AC354" s="24"/>
      <c r="AD354" s="14" t="str">
        <f t="shared" si="5"/>
        <v/>
      </c>
      <c r="AE354" s="25" t="str">
        <f ca="1">IFERROR(__xludf.DUMMYFUNCTION("IMPORTXML(AI354, ""//li[strong[text()='Sales Growth %:']]"")"),"Loading...")</f>
        <v>Loading...</v>
      </c>
      <c r="AF354" s="24"/>
      <c r="AG354" s="25" t="str">
        <f ca="1">IFERROR(__xludf.DUMMYFUNCTION("IMPORTXML(AI354, ""//li[strong[text()='Unit Growth %:']]"")"),"Loading...")</f>
        <v>Loading...</v>
      </c>
      <c r="AH354" s="25"/>
      <c r="AI354" s="48" t="s">
        <v>360</v>
      </c>
      <c r="AJ354" s="27"/>
      <c r="AK354" s="27"/>
      <c r="AL354" s="27"/>
      <c r="AM354" s="27"/>
      <c r="AN354" s="27"/>
      <c r="AO354" s="27"/>
      <c r="AP354" s="27"/>
      <c r="AQ354" s="27"/>
    </row>
    <row r="355" spans="1:43" ht="14.25" customHeight="1">
      <c r="A355" s="42">
        <v>24.354000000000099</v>
      </c>
      <c r="B355" s="14">
        <v>2024</v>
      </c>
      <c r="C355" s="36">
        <v>354</v>
      </c>
      <c r="D355" s="16" t="str">
        <f ca="1">IFERROR(__xludf.DUMMYFUNCTION("IMPORTXML(AI355, ""//h1[@itemprop='headline']/span"")"),"354. Pizza Guys")</f>
        <v>354. Pizza Guys</v>
      </c>
      <c r="E355" s="17" t="str">
        <f ca="1">IFERROR(__xludf.DUMMYFUNCTION("REGEXEXTRACT(D355, ""\.\s*(.+)"")"),"Pizza Guys")</f>
        <v>Pizza Guys</v>
      </c>
      <c r="F355" s="18" t="str">
        <f ca="1">IFERROR(__xludf.DUMMYFUNCTION("IMPORTXML(AI355, ""//li[strong[text()='Investment Range:']]"")"),"#N/A")</f>
        <v>#N/A</v>
      </c>
      <c r="G355" s="43"/>
      <c r="H355" s="18" t="str">
        <f ca="1">IFERROR(__xludf.DUMMYFUNCTION("SUBSTITUTE(REGEXEXTRACT(G355, ""\$(\d{1,3}(?:,\d{3})*)""), "","", ""."")
"),"#N/A")</f>
        <v>#N/A</v>
      </c>
      <c r="I355" s="19" t="str">
        <f ca="1">IFERROR(__xludf.DUMMYFUNCTION("SUBSTITUTE(REGEXEXTRACT(G355, ""-\s*\$(\d{1,3}(?:,\d{3})*)""), "","", ""."")
"),"#N/A")</f>
        <v>#N/A</v>
      </c>
      <c r="J355" s="19" t="str">
        <f ca="1">IFERROR(__xludf.DUMMYFUNCTION("IMPORTXML(AI355, ""//li[strong[text()='Initial Investment:']]"")"),"Loading...")</f>
        <v>Loading...</v>
      </c>
      <c r="K355" s="24"/>
      <c r="L355" s="20" t="str">
        <f ca="1">IFERROR(__xludf.DUMMYFUNCTION("IMPORTXML(AI355, ""//li[strong[text()='Category:']]"")"),"Loading...")</f>
        <v>Loading...</v>
      </c>
      <c r="M355" s="24"/>
      <c r="N355" s="19" t="str">
        <f ca="1">IFERROR(__xludf.DUMMYFUNCTION("IMPORTXML(AI355, ""//li[strong[text()='Global Sales:']]"")"),"Loading...")</f>
        <v>Loading...</v>
      </c>
      <c r="O355" s="24"/>
      <c r="P355" s="19" t="str">
        <f t="shared" si="3"/>
        <v/>
      </c>
      <c r="Q355" s="19" t="str">
        <f ca="1">IFERROR(__xludf.DUMMYFUNCTION("IMPORTXML(AI355, ""//li[strong[text()='US Units:']]"")"),"Loading...")</f>
        <v>Loading...</v>
      </c>
      <c r="R355" s="24"/>
      <c r="S355" s="19" t="str">
        <f ca="1">IFERROR(__xludf.DUMMYFUNCTION("IMPORTXML(AI355, ""//li[strong[text()='International Units:']]"")"),"Loading...")</f>
        <v>Loading...</v>
      </c>
      <c r="T355" s="44"/>
      <c r="U355" s="19" t="str">
        <f ca="1">IFERROR(__xludf.DUMMYFUNCTION("IMPORTXML(AI355, ""//li[strong[text()='Percent Franchised:']]"")"),"Loading...")</f>
        <v>Loading...</v>
      </c>
      <c r="V355" s="24"/>
      <c r="W355" s="19" t="str">
        <f ca="1">IFERROR(__xludf.DUMMYFUNCTION("IMPORTXML(AI355, ""//li[strong[text()='% International Units:']]"")"),"Loading...")</f>
        <v>Loading...</v>
      </c>
      <c r="X355" s="24"/>
      <c r="Y355" s="19" t="str">
        <f ca="1">IFERROR(__xludf.DUMMYFUNCTION("IMPORTXML(AI355, ""//li[strong[text()='US Franchised Units:']]"")"),"Loading...")</f>
        <v>Loading...</v>
      </c>
      <c r="Z355" s="24"/>
      <c r="AA355" s="14" t="str">
        <f t="shared" si="4"/>
        <v/>
      </c>
      <c r="AB355" s="19" t="str">
        <f ca="1">IFERROR(__xludf.DUMMYFUNCTION("IMPORTXML(AI355, ""//li[strong[text()='International Franchised Units:']]"")"),"Loading...")</f>
        <v>Loading...</v>
      </c>
      <c r="AC355" s="24"/>
      <c r="AD355" s="14" t="str">
        <f t="shared" si="5"/>
        <v/>
      </c>
      <c r="AE355" s="25" t="str">
        <f ca="1">IFERROR(__xludf.DUMMYFUNCTION("IMPORTXML(AI355, ""//li[strong[text()='Sales Growth %:']]"")"),"Loading...")</f>
        <v>Loading...</v>
      </c>
      <c r="AF355" s="24"/>
      <c r="AG355" s="25" t="str">
        <f ca="1">IFERROR(__xludf.DUMMYFUNCTION("IMPORTXML(AI355, ""//li[strong[text()='Unit Growth %:']]"")"),"Loading...")</f>
        <v>Loading...</v>
      </c>
      <c r="AH355" s="25"/>
      <c r="AI355" s="48" t="s">
        <v>361</v>
      </c>
      <c r="AJ355" s="27"/>
      <c r="AK355" s="27"/>
      <c r="AL355" s="27"/>
      <c r="AM355" s="27"/>
      <c r="AN355" s="27"/>
      <c r="AO355" s="27"/>
      <c r="AP355" s="27"/>
      <c r="AQ355" s="27"/>
    </row>
    <row r="356" spans="1:43" ht="14.25" customHeight="1">
      <c r="A356" s="42">
        <v>24.3550000000001</v>
      </c>
      <c r="B356" s="14">
        <v>2024</v>
      </c>
      <c r="C356" s="36">
        <v>355</v>
      </c>
      <c r="D356" s="16" t="str">
        <f ca="1">IFERROR(__xludf.DUMMYFUNCTION("IMPORTXML(AI356, ""//h1[@itemprop='headline']/span"")"),"355. Koala Insulation")</f>
        <v>355. Koala Insulation</v>
      </c>
      <c r="E356" s="17" t="str">
        <f ca="1">IFERROR(__xludf.DUMMYFUNCTION("REGEXEXTRACT(D356, ""\.\s*(.+)"")"),"Koala Insulation")</f>
        <v>Koala Insulation</v>
      </c>
      <c r="F356" s="18" t="str">
        <f ca="1">IFERROR(__xludf.DUMMYFUNCTION("IMPORTXML(AI356, ""//li[strong[text()='Investment Range:']]"")"),"Investment Range:")</f>
        <v>Investment Range:</v>
      </c>
      <c r="G356" s="43" t="str">
        <f ca="1">IFERROR(__xludf.DUMMYFUNCTION("""COMPUTED_VALUE""")," $183,807 - $219,423")</f>
        <v xml:space="preserve"> $183,807 - $219,423</v>
      </c>
      <c r="H356" s="18" t="str">
        <f ca="1">IFERROR(__xludf.DUMMYFUNCTION("SUBSTITUTE(REGEXEXTRACT(G356, ""\$(\d{1,3}(?:,\d{3})*)""), "","", ""."")
"),"183.807")</f>
        <v>183.807</v>
      </c>
      <c r="I356" s="19" t="str">
        <f ca="1">IFERROR(__xludf.DUMMYFUNCTION("SUBSTITUTE(REGEXEXTRACT(G356, ""-\s*\$(\d{1,3}(?:,\d{3})*)""), "","", ""."")
"),"219.423")</f>
        <v>219.423</v>
      </c>
      <c r="J356" s="19" t="str">
        <f ca="1">IFERROR(__xludf.DUMMYFUNCTION("IMPORTXML(AI356, ""//li[strong[text()='Initial Investment:']]"")"),"Loading...")</f>
        <v>Loading...</v>
      </c>
      <c r="K356" s="24"/>
      <c r="L356" s="20" t="str">
        <f ca="1">IFERROR(__xludf.DUMMYFUNCTION("IMPORTXML(AI356, ""//li[strong[text()='Category:']]"")"),"Loading...")</f>
        <v>Loading...</v>
      </c>
      <c r="M356" s="24"/>
      <c r="N356" s="19" t="str">
        <f ca="1">IFERROR(__xludf.DUMMYFUNCTION("IMPORTXML(AI356, ""//li[strong[text()='Global Sales:']]"")"),"Loading...")</f>
        <v>Loading...</v>
      </c>
      <c r="O356" s="24"/>
      <c r="P356" s="19" t="str">
        <f t="shared" si="3"/>
        <v/>
      </c>
      <c r="Q356" s="19" t="str">
        <f ca="1">IFERROR(__xludf.DUMMYFUNCTION("IMPORTXML(AI356, ""//li[strong[text()='US Units:']]"")"),"Loading...")</f>
        <v>Loading...</v>
      </c>
      <c r="R356" s="24"/>
      <c r="S356" s="19" t="str">
        <f ca="1">IFERROR(__xludf.DUMMYFUNCTION("IMPORTXML(AI356, ""//li[strong[text()='International Units:']]"")"),"#N/A")</f>
        <v>#N/A</v>
      </c>
      <c r="T356" s="44"/>
      <c r="U356" s="19" t="str">
        <f ca="1">IFERROR(__xludf.DUMMYFUNCTION("IMPORTXML(AI356, ""//li[strong[text()='Percent Franchised:']]"")"),"Loading...")</f>
        <v>Loading...</v>
      </c>
      <c r="V356" s="24"/>
      <c r="W356" s="19" t="str">
        <f ca="1">IFERROR(__xludf.DUMMYFUNCTION("IMPORTXML(AI356, ""//li[strong[text()='% International Units:']]"")"),"Loading...")</f>
        <v>Loading...</v>
      </c>
      <c r="X356" s="24"/>
      <c r="Y356" s="19" t="str">
        <f ca="1">IFERROR(__xludf.DUMMYFUNCTION("IMPORTXML(AI356, ""//li[strong[text()='US Franchised Units:']]"")"),"Loading...")</f>
        <v>Loading...</v>
      </c>
      <c r="Z356" s="24"/>
      <c r="AA356" s="14" t="str">
        <f t="shared" si="4"/>
        <v/>
      </c>
      <c r="AB356" s="19" t="str">
        <f ca="1">IFERROR(__xludf.DUMMYFUNCTION("IMPORTXML(AI356, ""//li[strong[text()='International Franchised Units:']]"")"),"Loading...")</f>
        <v>Loading...</v>
      </c>
      <c r="AC356" s="24"/>
      <c r="AD356" s="14" t="str">
        <f t="shared" si="5"/>
        <v/>
      </c>
      <c r="AE356" s="25" t="str">
        <f ca="1">IFERROR(__xludf.DUMMYFUNCTION("IMPORTXML(AI356, ""//li[strong[text()='Sales Growth %:']]"")"),"Loading...")</f>
        <v>Loading...</v>
      </c>
      <c r="AF356" s="24"/>
      <c r="AG356" s="25" t="str">
        <f ca="1">IFERROR(__xludf.DUMMYFUNCTION("IMPORTXML(AI356, ""//li[strong[text()='Unit Growth %:']]"")"),"Loading...")</f>
        <v>Loading...</v>
      </c>
      <c r="AH356" s="25"/>
      <c r="AI356" s="48" t="s">
        <v>362</v>
      </c>
      <c r="AJ356" s="27"/>
      <c r="AK356" s="27"/>
      <c r="AL356" s="27"/>
      <c r="AM356" s="27"/>
      <c r="AN356" s="27"/>
      <c r="AO356" s="27"/>
      <c r="AP356" s="27"/>
      <c r="AQ356" s="27"/>
    </row>
    <row r="357" spans="1:43" ht="14.25" customHeight="1">
      <c r="A357" s="42">
        <v>24.356000000000101</v>
      </c>
      <c r="B357" s="14">
        <v>2024</v>
      </c>
      <c r="C357" s="15">
        <v>356</v>
      </c>
      <c r="D357" s="16" t="str">
        <f ca="1">IFERROR(__xludf.DUMMYFUNCTION("IMPORTXML(AI357, ""//h1[@itemprop='headline']/span"")"),"356. Celebree School")</f>
        <v>356. Celebree School</v>
      </c>
      <c r="E357" s="17" t="str">
        <f ca="1">IFERROR(__xludf.DUMMYFUNCTION("REGEXEXTRACT(D357, ""\.\s*(.+)"")"),"Celebree School")</f>
        <v>Celebree School</v>
      </c>
      <c r="F357" s="18" t="str">
        <f ca="1">IFERROR(__xludf.DUMMYFUNCTION("IMPORTXML(AI357, ""//li[strong[text()='Investment Range:']]"")"),"Loading...")</f>
        <v>Loading...</v>
      </c>
      <c r="G357" s="43"/>
      <c r="H357" s="18" t="str">
        <f ca="1">IFERROR(__xludf.DUMMYFUNCTION("SUBSTITUTE(REGEXEXTRACT(G357, ""\$(\d{1,3}(?:,\d{3})*)""), "","", ""."")
"),"#N/A")</f>
        <v>#N/A</v>
      </c>
      <c r="I357" s="19" t="str">
        <f ca="1">IFERROR(__xludf.DUMMYFUNCTION("SUBSTITUTE(REGEXEXTRACT(G357, ""-\s*\$(\d{1,3}(?:,\d{3})*)""), "","", ""."")
"),"#N/A")</f>
        <v>#N/A</v>
      </c>
      <c r="J357" s="19" t="str">
        <f ca="1">IFERROR(__xludf.DUMMYFUNCTION("IMPORTXML(AI357, ""//li[strong[text()='Initial Investment:']]"")"),"Loading...")</f>
        <v>Loading...</v>
      </c>
      <c r="K357" s="24"/>
      <c r="L357" s="20" t="str">
        <f ca="1">IFERROR(__xludf.DUMMYFUNCTION("IMPORTXML(AI357, ""//li[strong[text()='Category:']]"")"),"Loading...")</f>
        <v>Loading...</v>
      </c>
      <c r="M357" s="24"/>
      <c r="N357" s="19" t="str">
        <f ca="1">IFERROR(__xludf.DUMMYFUNCTION("IMPORTXML(AI357, ""//li[strong[text()='Global Sales:']]"")"),"Loading...")</f>
        <v>Loading...</v>
      </c>
      <c r="O357" s="24"/>
      <c r="P357" s="19" t="str">
        <f t="shared" si="3"/>
        <v/>
      </c>
      <c r="Q357" s="19" t="str">
        <f ca="1">IFERROR(__xludf.DUMMYFUNCTION("IMPORTXML(AI357, ""//li[strong[text()='US Units:']]"")"),"Loading...")</f>
        <v>Loading...</v>
      </c>
      <c r="R357" s="24"/>
      <c r="S357" s="19" t="str">
        <f ca="1">IFERROR(__xludf.DUMMYFUNCTION("IMPORTXML(AI357, ""//li[strong[text()='International Units:']]"")"),"Loading...")</f>
        <v>Loading...</v>
      </c>
      <c r="T357" s="44"/>
      <c r="U357" s="19" t="str">
        <f ca="1">IFERROR(__xludf.DUMMYFUNCTION("IMPORTXML(AI357, ""//li[strong[text()='Percent Franchised:']]"")"),"Loading...")</f>
        <v>Loading...</v>
      </c>
      <c r="V357" s="24"/>
      <c r="W357" s="19" t="str">
        <f ca="1">IFERROR(__xludf.DUMMYFUNCTION("IMPORTXML(AI357, ""//li[strong[text()='% International Units:']]"")"),"Loading...")</f>
        <v>Loading...</v>
      </c>
      <c r="X357" s="24"/>
      <c r="Y357" s="19" t="str">
        <f ca="1">IFERROR(__xludf.DUMMYFUNCTION("IMPORTXML(AI357, ""//li[strong[text()='US Franchised Units:']]"")"),"Loading...")</f>
        <v>Loading...</v>
      </c>
      <c r="Z357" s="24"/>
      <c r="AA357" s="14" t="str">
        <f t="shared" si="4"/>
        <v/>
      </c>
      <c r="AB357" s="19" t="str">
        <f ca="1">IFERROR(__xludf.DUMMYFUNCTION("IMPORTXML(AI357, ""//li[strong[text()='International Franchised Units:']]"")"),"Loading...")</f>
        <v>Loading...</v>
      </c>
      <c r="AC357" s="24"/>
      <c r="AD357" s="14" t="str">
        <f t="shared" si="5"/>
        <v/>
      </c>
      <c r="AE357" s="25" t="str">
        <f ca="1">IFERROR(__xludf.DUMMYFUNCTION("IMPORTXML(AI357, ""//li[strong[text()='Sales Growth %:']]"")"),"Loading...")</f>
        <v>Loading...</v>
      </c>
      <c r="AF357" s="24"/>
      <c r="AG357" s="25" t="str">
        <f ca="1">IFERROR(__xludf.DUMMYFUNCTION("IMPORTXML(AI357, ""//li[strong[text()='Unit Growth %:']]"")"),"Loading...")</f>
        <v>Loading...</v>
      </c>
      <c r="AH357" s="25"/>
      <c r="AI357" s="48" t="s">
        <v>363</v>
      </c>
      <c r="AJ357" s="27"/>
      <c r="AK357" s="27"/>
      <c r="AL357" s="27"/>
      <c r="AM357" s="27"/>
      <c r="AN357" s="27"/>
      <c r="AO357" s="27"/>
      <c r="AP357" s="27"/>
      <c r="AQ357" s="27"/>
    </row>
    <row r="358" spans="1:43" ht="14.25" customHeight="1">
      <c r="A358" s="42">
        <v>24.357000000000099</v>
      </c>
      <c r="B358" s="14">
        <v>2024</v>
      </c>
      <c r="C358" s="32">
        <v>357</v>
      </c>
      <c r="D358" s="16" t="str">
        <f ca="1">IFERROR(__xludf.DUMMYFUNCTION("IMPORTXML(AI358, ""//h1[@itemprop='headline']/span"")"),"357. Nick the Greek")</f>
        <v>357. Nick the Greek</v>
      </c>
      <c r="E358" s="17" t="str">
        <f ca="1">IFERROR(__xludf.DUMMYFUNCTION("REGEXEXTRACT(D358, ""\.\s*(.+)"")"),"Nick the Greek")</f>
        <v>Nick the Greek</v>
      </c>
      <c r="F358" s="18" t="str">
        <f ca="1">IFERROR(__xludf.DUMMYFUNCTION("IMPORTXML(AI358, ""//li[strong[text()='Investment Range:']]"")"),"Investment Range:")</f>
        <v>Investment Range:</v>
      </c>
      <c r="G358" s="43" t="str">
        <f ca="1">IFERROR(__xludf.DUMMYFUNCTION("""COMPUTED_VALUE""")," $414,750 - $597,000")</f>
        <v xml:space="preserve"> $414,750 - $597,000</v>
      </c>
      <c r="H358" s="18" t="str">
        <f ca="1">IFERROR(__xludf.DUMMYFUNCTION("SUBSTITUTE(REGEXEXTRACT(G358, ""\$(\d{1,3}(?:,\d{3})*)""), "","", ""."")
"),"414.750")</f>
        <v>414.750</v>
      </c>
      <c r="I358" s="19" t="str">
        <f ca="1">IFERROR(__xludf.DUMMYFUNCTION("SUBSTITUTE(REGEXEXTRACT(G358, ""-\s*\$(\d{1,3}(?:,\d{3})*)""), "","", ""."")
"),"597.000")</f>
        <v>597.000</v>
      </c>
      <c r="J358" s="19" t="str">
        <f ca="1">IFERROR(__xludf.DUMMYFUNCTION("IMPORTXML(AI358, ""//li[strong[text()='Initial Investment:']]"")"),"Loading...")</f>
        <v>Loading...</v>
      </c>
      <c r="K358" s="24"/>
      <c r="L358" s="20" t="str">
        <f ca="1">IFERROR(__xludf.DUMMYFUNCTION("IMPORTXML(AI358, ""//li[strong[text()='Category:']]"")"),"Loading...")</f>
        <v>Loading...</v>
      </c>
      <c r="M358" s="24"/>
      <c r="N358" s="19" t="str">
        <f ca="1">IFERROR(__xludf.DUMMYFUNCTION("IMPORTXML(AI358, ""//li[strong[text()='Global Sales:']]"")"),"Loading...")</f>
        <v>Loading...</v>
      </c>
      <c r="O358" s="24"/>
      <c r="P358" s="19" t="str">
        <f t="shared" si="3"/>
        <v/>
      </c>
      <c r="Q358" s="19" t="str">
        <f ca="1">IFERROR(__xludf.DUMMYFUNCTION("IMPORTXML(AI358, ""//li[strong[text()='US Units:']]"")"),"Loading...")</f>
        <v>Loading...</v>
      </c>
      <c r="R358" s="24"/>
      <c r="S358" s="19" t="str">
        <f ca="1">IFERROR(__xludf.DUMMYFUNCTION("IMPORTXML(AI358, ""//li[strong[text()='International Units:']]"")"),"Loading...")</f>
        <v>Loading...</v>
      </c>
      <c r="T358" s="44"/>
      <c r="U358" s="19" t="str">
        <f ca="1">IFERROR(__xludf.DUMMYFUNCTION("IMPORTXML(AI358, ""//li[strong[text()='Percent Franchised:']]"")"),"Loading...")</f>
        <v>Loading...</v>
      </c>
      <c r="V358" s="24"/>
      <c r="W358" s="19" t="str">
        <f ca="1">IFERROR(__xludf.DUMMYFUNCTION("IMPORTXML(AI358, ""//li[strong[text()='% International Units:']]"")"),"Loading...")</f>
        <v>Loading...</v>
      </c>
      <c r="X358" s="24"/>
      <c r="Y358" s="19" t="str">
        <f ca="1">IFERROR(__xludf.DUMMYFUNCTION("IMPORTXML(AI358, ""//li[strong[text()='US Franchised Units:']]"")"),"Loading...")</f>
        <v>Loading...</v>
      </c>
      <c r="Z358" s="24"/>
      <c r="AA358" s="14" t="str">
        <f t="shared" si="4"/>
        <v/>
      </c>
      <c r="AB358" s="19" t="str">
        <f ca="1">IFERROR(__xludf.DUMMYFUNCTION("IMPORTXML(AI358, ""//li[strong[text()='International Franchised Units:']]"")"),"Loading...")</f>
        <v>Loading...</v>
      </c>
      <c r="AC358" s="24"/>
      <c r="AD358" s="14" t="str">
        <f t="shared" si="5"/>
        <v/>
      </c>
      <c r="AE358" s="25" t="str">
        <f ca="1">IFERROR(__xludf.DUMMYFUNCTION("IMPORTXML(AI358, ""//li[strong[text()='Sales Growth %:']]"")"),"Loading...")</f>
        <v>Loading...</v>
      </c>
      <c r="AF358" s="24"/>
      <c r="AG358" s="25" t="str">
        <f ca="1">IFERROR(__xludf.DUMMYFUNCTION("IMPORTXML(AI358, ""//li[strong[text()='Unit Growth %:']]"")"),"Loading...")</f>
        <v>Loading...</v>
      </c>
      <c r="AH358" s="25"/>
      <c r="AI358" s="48" t="s">
        <v>364</v>
      </c>
      <c r="AJ358" s="27"/>
      <c r="AK358" s="27"/>
      <c r="AL358" s="27"/>
      <c r="AM358" s="27"/>
      <c r="AN358" s="27"/>
      <c r="AO358" s="27"/>
      <c r="AP358" s="27"/>
      <c r="AQ358" s="27"/>
    </row>
    <row r="359" spans="1:43" ht="14.25" customHeight="1">
      <c r="A359" s="42">
        <v>24.3580000000001</v>
      </c>
      <c r="B359" s="14">
        <v>2024</v>
      </c>
      <c r="C359" s="36">
        <v>358</v>
      </c>
      <c r="D359" s="16" t="str">
        <f ca="1">IFERROR(__xludf.DUMMYFUNCTION("IMPORTXML(AI359, ""//h1[@itemprop='headline']/span"")"),"358. Eggs Up Grill")</f>
        <v>358. Eggs Up Grill</v>
      </c>
      <c r="E359" s="17" t="str">
        <f ca="1">IFERROR(__xludf.DUMMYFUNCTION("REGEXEXTRACT(D359, ""\.\s*(.+)"")"),"Eggs Up Grill")</f>
        <v>Eggs Up Grill</v>
      </c>
      <c r="F359" s="18" t="str">
        <f ca="1">IFERROR(__xludf.DUMMYFUNCTION("IMPORTXML(AI359, ""//li[strong[text()='Investment Range:']]"")"),"Investment Range:")</f>
        <v>Investment Range:</v>
      </c>
      <c r="G359" s="43" t="str">
        <f ca="1">IFERROR(__xludf.DUMMYFUNCTION("""COMPUTED_VALUE""")," $752,500 - $988,000")</f>
        <v xml:space="preserve"> $752,500 - $988,000</v>
      </c>
      <c r="H359" s="18" t="str">
        <f ca="1">IFERROR(__xludf.DUMMYFUNCTION("SUBSTITUTE(REGEXEXTRACT(G359, ""\$(\d{1,3}(?:,\d{3})*)""), "","", ""."")
"),"752.500")</f>
        <v>752.500</v>
      </c>
      <c r="I359" s="19" t="str">
        <f ca="1">IFERROR(__xludf.DUMMYFUNCTION("SUBSTITUTE(REGEXEXTRACT(G359, ""-\s*\$(\d{1,3}(?:,\d{3})*)""), "","", ""."")
"),"988.000")</f>
        <v>988.000</v>
      </c>
      <c r="J359" s="19" t="str">
        <f ca="1">IFERROR(__xludf.DUMMYFUNCTION("IMPORTXML(AI359, ""//li[strong[text()='Initial Investment:']]"")"),"Loading...")</f>
        <v>Loading...</v>
      </c>
      <c r="K359" s="24"/>
      <c r="L359" s="20" t="str">
        <f ca="1">IFERROR(__xludf.DUMMYFUNCTION("IMPORTXML(AI359, ""//li[strong[text()='Category:']]"")"),"Loading...")</f>
        <v>Loading...</v>
      </c>
      <c r="M359" s="24"/>
      <c r="N359" s="19" t="str">
        <f ca="1">IFERROR(__xludf.DUMMYFUNCTION("IMPORTXML(AI359, ""//li[strong[text()='Global Sales:']]"")"),"Loading...")</f>
        <v>Loading...</v>
      </c>
      <c r="O359" s="24"/>
      <c r="P359" s="19" t="str">
        <f t="shared" si="3"/>
        <v/>
      </c>
      <c r="Q359" s="19" t="str">
        <f ca="1">IFERROR(__xludf.DUMMYFUNCTION("IMPORTXML(AI359, ""//li[strong[text()='US Units:']]"")"),"Loading...")</f>
        <v>Loading...</v>
      </c>
      <c r="R359" s="24"/>
      <c r="S359" s="19" t="str">
        <f ca="1">IFERROR(__xludf.DUMMYFUNCTION("IMPORTXML(AI359, ""//li[strong[text()='International Units:']]"")"),"Loading...")</f>
        <v>Loading...</v>
      </c>
      <c r="T359" s="44"/>
      <c r="U359" s="19" t="str">
        <f ca="1">IFERROR(__xludf.DUMMYFUNCTION("IMPORTXML(AI359, ""//li[strong[text()='Percent Franchised:']]"")"),"Loading...")</f>
        <v>Loading...</v>
      </c>
      <c r="V359" s="24"/>
      <c r="W359" s="19" t="str">
        <f ca="1">IFERROR(__xludf.DUMMYFUNCTION("IMPORTXML(AI359, ""//li[strong[text()='% International Units:']]"")"),"Loading...")</f>
        <v>Loading...</v>
      </c>
      <c r="X359" s="24"/>
      <c r="Y359" s="19" t="str">
        <f ca="1">IFERROR(__xludf.DUMMYFUNCTION("IMPORTXML(AI359, ""//li[strong[text()='US Franchised Units:']]"")"),"Loading...")</f>
        <v>Loading...</v>
      </c>
      <c r="Z359" s="24"/>
      <c r="AA359" s="14" t="str">
        <f t="shared" si="4"/>
        <v/>
      </c>
      <c r="AB359" s="19" t="str">
        <f ca="1">IFERROR(__xludf.DUMMYFUNCTION("IMPORTXML(AI359, ""//li[strong[text()='International Franchised Units:']]"")"),"Loading...")</f>
        <v>Loading...</v>
      </c>
      <c r="AC359" s="24"/>
      <c r="AD359" s="14" t="str">
        <f t="shared" si="5"/>
        <v/>
      </c>
      <c r="AE359" s="25" t="str">
        <f ca="1">IFERROR(__xludf.DUMMYFUNCTION("IMPORTXML(AI359, ""//li[strong[text()='Sales Growth %:']]"")"),"Loading...")</f>
        <v>Loading...</v>
      </c>
      <c r="AF359" s="24"/>
      <c r="AG359" s="25" t="str">
        <f ca="1">IFERROR(__xludf.DUMMYFUNCTION("IMPORTXML(AI359, ""//li[strong[text()='Unit Growth %:']]"")"),"Loading...")</f>
        <v>Loading...</v>
      </c>
      <c r="AH359" s="25"/>
      <c r="AI359" s="48" t="s">
        <v>365</v>
      </c>
      <c r="AJ359" s="27"/>
      <c r="AK359" s="27"/>
      <c r="AL359" s="27"/>
      <c r="AM359" s="27"/>
      <c r="AN359" s="27"/>
      <c r="AO359" s="27"/>
      <c r="AP359" s="27"/>
      <c r="AQ359" s="27"/>
    </row>
    <row r="360" spans="1:43" ht="14.25" customHeight="1">
      <c r="A360" s="42">
        <v>24.359000000000101</v>
      </c>
      <c r="B360" s="14">
        <v>2024</v>
      </c>
      <c r="C360" s="36">
        <v>359</v>
      </c>
      <c r="D360" s="16" t="str">
        <f ca="1">IFERROR(__xludf.DUMMYFUNCTION("IMPORTXML(AI360, ""//h1[@itemprop='headline']/span"")"),"359. HTeaO")</f>
        <v>359. HTeaO</v>
      </c>
      <c r="E360" s="17" t="str">
        <f ca="1">IFERROR(__xludf.DUMMYFUNCTION("REGEXEXTRACT(D360, ""\.\s*(.+)"")"),"HTeaO")</f>
        <v>HTeaO</v>
      </c>
      <c r="F360" s="18" t="str">
        <f ca="1">IFERROR(__xludf.DUMMYFUNCTION("IMPORTXML(AI360, ""//li[strong[text()='Investment Range:']]"")"),"Investment Range:")</f>
        <v>Investment Range:</v>
      </c>
      <c r="G360" s="43" t="str">
        <f ca="1">IFERROR(__xludf.DUMMYFUNCTION("""COMPUTED_VALUE""")," $259,870 - $1,976,620")</f>
        <v xml:space="preserve"> $259,870 - $1,976,620</v>
      </c>
      <c r="H360" s="18" t="str">
        <f ca="1">IFERROR(__xludf.DUMMYFUNCTION("SUBSTITUTE(REGEXEXTRACT(G360, ""\$(\d{1,3}(?:,\d{3})*)""), "","", ""."")
"),"259.870")</f>
        <v>259.870</v>
      </c>
      <c r="I360" s="19" t="str">
        <f ca="1">IFERROR(__xludf.DUMMYFUNCTION("SUBSTITUTE(REGEXEXTRACT(G360, ""-\s*\$(\d{1,3}(?:,\d{3})*)""), "","", ""."")
"),"1.976.620")</f>
        <v>1.976.620</v>
      </c>
      <c r="J360" s="19" t="str">
        <f ca="1">IFERROR(__xludf.DUMMYFUNCTION("IMPORTXML(AI360, ""//li[strong[text()='Initial Investment:']]"")"),"Loading...")</f>
        <v>Loading...</v>
      </c>
      <c r="K360" s="24"/>
      <c r="L360" s="20" t="str">
        <f ca="1">IFERROR(__xludf.DUMMYFUNCTION("IMPORTXML(AI360, ""//li[strong[text()='Category:']]"")"),"Loading...")</f>
        <v>Loading...</v>
      </c>
      <c r="M360" s="24"/>
      <c r="N360" s="19" t="str">
        <f ca="1">IFERROR(__xludf.DUMMYFUNCTION("IMPORTXML(AI360, ""//li[strong[text()='Global Sales:']]"")"),"Loading...")</f>
        <v>Loading...</v>
      </c>
      <c r="O360" s="24"/>
      <c r="P360" s="19" t="str">
        <f t="shared" si="3"/>
        <v/>
      </c>
      <c r="Q360" s="19" t="str">
        <f ca="1">IFERROR(__xludf.DUMMYFUNCTION("IMPORTXML(AI360, ""//li[strong[text()='US Units:']]"")"),"Loading...")</f>
        <v>Loading...</v>
      </c>
      <c r="R360" s="24"/>
      <c r="S360" s="19" t="str">
        <f ca="1">IFERROR(__xludf.DUMMYFUNCTION("IMPORTXML(AI360, ""//li[strong[text()='International Units:']]"")"),"Loading...")</f>
        <v>Loading...</v>
      </c>
      <c r="T360" s="44"/>
      <c r="U360" s="19" t="str">
        <f ca="1">IFERROR(__xludf.DUMMYFUNCTION("IMPORTXML(AI360, ""//li[strong[text()='Percent Franchised:']]"")"),"Loading...")</f>
        <v>Loading...</v>
      </c>
      <c r="V360" s="24"/>
      <c r="W360" s="19" t="str">
        <f ca="1">IFERROR(__xludf.DUMMYFUNCTION("IMPORTXML(AI360, ""//li[strong[text()='% International Units:']]"")"),"Loading...")</f>
        <v>Loading...</v>
      </c>
      <c r="X360" s="24"/>
      <c r="Y360" s="19" t="str">
        <f ca="1">IFERROR(__xludf.DUMMYFUNCTION("IMPORTXML(AI360, ""//li[strong[text()='US Franchised Units:']]"")"),"Loading...")</f>
        <v>Loading...</v>
      </c>
      <c r="Z360" s="24"/>
      <c r="AA360" s="14" t="str">
        <f t="shared" si="4"/>
        <v/>
      </c>
      <c r="AB360" s="19" t="str">
        <f ca="1">IFERROR(__xludf.DUMMYFUNCTION("IMPORTXML(AI360, ""//li[strong[text()='International Franchised Units:']]"")"),"Loading...")</f>
        <v>Loading...</v>
      </c>
      <c r="AC360" s="24"/>
      <c r="AD360" s="14" t="str">
        <f t="shared" si="5"/>
        <v/>
      </c>
      <c r="AE360" s="25" t="str">
        <f ca="1">IFERROR(__xludf.DUMMYFUNCTION("IMPORTXML(AI360, ""//li[strong[text()='Sales Growth %:']]"")"),"Sales Growth %:")</f>
        <v>Sales Growth %:</v>
      </c>
      <c r="AF360" s="24" t="str">
        <f ca="1">IFERROR(__xludf.DUMMYFUNCTION("""COMPUTED_VALUE""")," 56.3%")</f>
        <v xml:space="preserve"> 56.3%</v>
      </c>
      <c r="AG360" s="25" t="str">
        <f ca="1">IFERROR(__xludf.DUMMYFUNCTION("IMPORTXML(AI360, ""//li[strong[text()='Unit Growth %:']]"")"),"Loading...")</f>
        <v>Loading...</v>
      </c>
      <c r="AH360" s="25"/>
      <c r="AI360" s="48" t="s">
        <v>366</v>
      </c>
      <c r="AJ360" s="27"/>
      <c r="AK360" s="27"/>
      <c r="AL360" s="27"/>
      <c r="AM360" s="27"/>
      <c r="AN360" s="27"/>
      <c r="AO360" s="27"/>
      <c r="AP360" s="27"/>
      <c r="AQ360" s="27"/>
    </row>
    <row r="361" spans="1:43" ht="14.25" customHeight="1">
      <c r="A361" s="42">
        <v>24.360000000000099</v>
      </c>
      <c r="B361" s="14">
        <v>2024</v>
      </c>
      <c r="C361" s="15">
        <v>360</v>
      </c>
      <c r="D361" s="16" t="str">
        <f ca="1">IFERROR(__xludf.DUMMYFUNCTION("IMPORTXML(AI361, ""//h1[@itemprop='headline']/span"")"),"360. Saladworks")</f>
        <v>360. Saladworks</v>
      </c>
      <c r="E361" s="17" t="str">
        <f ca="1">IFERROR(__xludf.DUMMYFUNCTION("REGEXEXTRACT(D361, ""\.\s*(.+)"")"),"Saladworks")</f>
        <v>Saladworks</v>
      </c>
      <c r="F361" s="18" t="str">
        <f ca="1">IFERROR(__xludf.DUMMYFUNCTION("IMPORTXML(AI361, ""//li[strong[text()='Investment Range:']]"")"),"Investment Range:")</f>
        <v>Investment Range:</v>
      </c>
      <c r="G361" s="43" t="str">
        <f ca="1">IFERROR(__xludf.DUMMYFUNCTION("""COMPUTED_VALUE""")," $576,557 - $728,457")</f>
        <v xml:space="preserve"> $576,557 - $728,457</v>
      </c>
      <c r="H361" s="18" t="str">
        <f ca="1">IFERROR(__xludf.DUMMYFUNCTION("SUBSTITUTE(REGEXEXTRACT(G361, ""\$(\d{1,3}(?:,\d{3})*)""), "","", ""."")
"),"576.557")</f>
        <v>576.557</v>
      </c>
      <c r="I361" s="19" t="str">
        <f ca="1">IFERROR(__xludf.DUMMYFUNCTION("SUBSTITUTE(REGEXEXTRACT(G361, ""-\s*\$(\d{1,3}(?:,\d{3})*)""), "","", ""."")
"),"728.457")</f>
        <v>728.457</v>
      </c>
      <c r="J361" s="19" t="str">
        <f ca="1">IFERROR(__xludf.DUMMYFUNCTION("IMPORTXML(AI361, ""//li[strong[text()='Initial Investment:']]"")"),"Loading...")</f>
        <v>Loading...</v>
      </c>
      <c r="K361" s="24"/>
      <c r="L361" s="20" t="str">
        <f ca="1">IFERROR(__xludf.DUMMYFUNCTION("IMPORTXML(AI361, ""//li[strong[text()='Category:']]"")"),"Loading...")</f>
        <v>Loading...</v>
      </c>
      <c r="M361" s="24"/>
      <c r="N361" s="19" t="str">
        <f ca="1">IFERROR(__xludf.DUMMYFUNCTION("IMPORTXML(AI361, ""//li[strong[text()='Global Sales:']]"")"),"Loading...")</f>
        <v>Loading...</v>
      </c>
      <c r="O361" s="24"/>
      <c r="P361" s="19" t="str">
        <f t="shared" si="3"/>
        <v/>
      </c>
      <c r="Q361" s="19" t="str">
        <f ca="1">IFERROR(__xludf.DUMMYFUNCTION("IMPORTXML(AI361, ""//li[strong[text()='US Units:']]"")"),"Loading...")</f>
        <v>Loading...</v>
      </c>
      <c r="R361" s="24"/>
      <c r="S361" s="19" t="str">
        <f ca="1">IFERROR(__xludf.DUMMYFUNCTION("IMPORTXML(AI361, ""//li[strong[text()='International Units:']]"")"),"Loading...")</f>
        <v>Loading...</v>
      </c>
      <c r="T361" s="44"/>
      <c r="U361" s="19" t="str">
        <f ca="1">IFERROR(__xludf.DUMMYFUNCTION("IMPORTXML(AI361, ""//li[strong[text()='Percent Franchised:']]"")"),"Loading...")</f>
        <v>Loading...</v>
      </c>
      <c r="V361" s="24"/>
      <c r="W361" s="19" t="str">
        <f ca="1">IFERROR(__xludf.DUMMYFUNCTION("IMPORTXML(AI361, ""//li[strong[text()='% International Units:']]"")"),"Loading...")</f>
        <v>Loading...</v>
      </c>
      <c r="X361" s="24"/>
      <c r="Y361" s="19" t="str">
        <f ca="1">IFERROR(__xludf.DUMMYFUNCTION("IMPORTXML(AI361, ""//li[strong[text()='US Franchised Units:']]"")"),"Loading...")</f>
        <v>Loading...</v>
      </c>
      <c r="Z361" s="24"/>
      <c r="AA361" s="14" t="str">
        <f t="shared" si="4"/>
        <v/>
      </c>
      <c r="AB361" s="19" t="str">
        <f ca="1">IFERROR(__xludf.DUMMYFUNCTION("IMPORTXML(AI361, ""//li[strong[text()='International Franchised Units:']]"")"),"Loading...")</f>
        <v>Loading...</v>
      </c>
      <c r="AC361" s="24"/>
      <c r="AD361" s="14" t="str">
        <f t="shared" si="5"/>
        <v/>
      </c>
      <c r="AE361" s="25" t="str">
        <f ca="1">IFERROR(__xludf.DUMMYFUNCTION("IMPORTXML(AI361, ""//li[strong[text()='Sales Growth %:']]"")"),"Loading...")</f>
        <v>Loading...</v>
      </c>
      <c r="AF361" s="24"/>
      <c r="AG361" s="25" t="str">
        <f ca="1">IFERROR(__xludf.DUMMYFUNCTION("IMPORTXML(AI361, ""//li[strong[text()='Unit Growth %:']]"")"),"Loading...")</f>
        <v>Loading...</v>
      </c>
      <c r="AH361" s="25"/>
      <c r="AI361" s="48" t="s">
        <v>367</v>
      </c>
      <c r="AJ361" s="27"/>
      <c r="AK361" s="27"/>
      <c r="AL361" s="27"/>
      <c r="AM361" s="27"/>
      <c r="AN361" s="27"/>
      <c r="AO361" s="27"/>
      <c r="AP361" s="27"/>
      <c r="AQ361" s="27"/>
    </row>
    <row r="362" spans="1:43" ht="14.25" customHeight="1">
      <c r="A362" s="42">
        <v>24.3610000000001</v>
      </c>
      <c r="B362" s="14">
        <v>2024</v>
      </c>
      <c r="C362" s="32">
        <v>361</v>
      </c>
      <c r="D362" s="16" t="str">
        <f ca="1">IFERROR(__xludf.DUMMYFUNCTION("IMPORTXML(AI362, ""//h1[@itemprop='headline']/span"")"),"361. 1-800-Water Damage")</f>
        <v>361. 1-800-Water Damage</v>
      </c>
      <c r="E362" s="17" t="str">
        <f ca="1">IFERROR(__xludf.DUMMYFUNCTION("REGEXEXTRACT(D362, ""\.\s*(.+)"")"),"1-800-Water Damage")</f>
        <v>1-800-Water Damage</v>
      </c>
      <c r="F362" s="18" t="str">
        <f ca="1">IFERROR(__xludf.DUMMYFUNCTION("IMPORTXML(AI362, ""//li[strong[text()='Investment Range:']]"")"),"Investment Range:")</f>
        <v>Investment Range:</v>
      </c>
      <c r="G362" s="43" t="str">
        <f ca="1">IFERROR(__xludf.DUMMYFUNCTION("""COMPUTED_VALUE""")," $210,903 - $316,398")</f>
        <v xml:space="preserve"> $210,903 - $316,398</v>
      </c>
      <c r="H362" s="18" t="str">
        <f ca="1">IFERROR(__xludf.DUMMYFUNCTION("SUBSTITUTE(REGEXEXTRACT(G362, ""\$(\d{1,3}(?:,\d{3})*)""), "","", ""."")
"),"210.903")</f>
        <v>210.903</v>
      </c>
      <c r="I362" s="19" t="str">
        <f ca="1">IFERROR(__xludf.DUMMYFUNCTION("SUBSTITUTE(REGEXEXTRACT(G362, ""-\s*\$(\d{1,3}(?:,\d{3})*)""), "","", ""."")
"),"316.398")</f>
        <v>316.398</v>
      </c>
      <c r="J362" s="19" t="str">
        <f ca="1">IFERROR(__xludf.DUMMYFUNCTION("IMPORTXML(AI362, ""//li[strong[text()='Initial Investment:']]"")"),"Loading...")</f>
        <v>Loading...</v>
      </c>
      <c r="K362" s="24"/>
      <c r="L362" s="20" t="str">
        <f ca="1">IFERROR(__xludf.DUMMYFUNCTION("IMPORTXML(AI362, ""//li[strong[text()='Category:']]"")"),"Loading...")</f>
        <v>Loading...</v>
      </c>
      <c r="M362" s="24"/>
      <c r="N362" s="19" t="str">
        <f ca="1">IFERROR(__xludf.DUMMYFUNCTION("IMPORTXML(AI362, ""//li[strong[text()='Global Sales:']]"")"),"Loading...")</f>
        <v>Loading...</v>
      </c>
      <c r="O362" s="24"/>
      <c r="P362" s="19" t="str">
        <f t="shared" si="3"/>
        <v/>
      </c>
      <c r="Q362" s="19" t="str">
        <f ca="1">IFERROR(__xludf.DUMMYFUNCTION("IMPORTXML(AI362, ""//li[strong[text()='US Units:']]"")"),"Loading...")</f>
        <v>Loading...</v>
      </c>
      <c r="R362" s="24"/>
      <c r="S362" s="19" t="str">
        <f ca="1">IFERROR(__xludf.DUMMYFUNCTION("IMPORTXML(AI362, ""//li[strong[text()='International Units:']]"")"),"Loading...")</f>
        <v>Loading...</v>
      </c>
      <c r="T362" s="44"/>
      <c r="U362" s="19" t="str">
        <f ca="1">IFERROR(__xludf.DUMMYFUNCTION("IMPORTXML(AI362, ""//li[strong[text()='Percent Franchised:']]"")"),"Loading...")</f>
        <v>Loading...</v>
      </c>
      <c r="V362" s="24"/>
      <c r="W362" s="19" t="str">
        <f ca="1">IFERROR(__xludf.DUMMYFUNCTION("IMPORTXML(AI362, ""//li[strong[text()='% International Units:']]"")"),"Loading...")</f>
        <v>Loading...</v>
      </c>
      <c r="X362" s="24"/>
      <c r="Y362" s="19" t="str">
        <f ca="1">IFERROR(__xludf.DUMMYFUNCTION("IMPORTXML(AI362, ""//li[strong[text()='US Franchised Units:']]"")"),"Loading...")</f>
        <v>Loading...</v>
      </c>
      <c r="Z362" s="24"/>
      <c r="AA362" s="14" t="str">
        <f t="shared" si="4"/>
        <v/>
      </c>
      <c r="AB362" s="19" t="str">
        <f ca="1">IFERROR(__xludf.DUMMYFUNCTION("IMPORTXML(AI362, ""//li[strong[text()='International Franchised Units:']]"")"),"Loading...")</f>
        <v>Loading...</v>
      </c>
      <c r="AC362" s="24"/>
      <c r="AD362" s="14" t="str">
        <f t="shared" si="5"/>
        <v/>
      </c>
      <c r="AE362" s="25" t="str">
        <f ca="1">IFERROR(__xludf.DUMMYFUNCTION("IMPORTXML(AI362, ""//li[strong[text()='Sales Growth %:']]"")"),"Loading...")</f>
        <v>Loading...</v>
      </c>
      <c r="AF362" s="24"/>
      <c r="AG362" s="25" t="str">
        <f ca="1">IFERROR(__xludf.DUMMYFUNCTION("IMPORTXML(AI362, ""//li[strong[text()='Unit Growth %:']]"")"),"Loading...")</f>
        <v>Loading...</v>
      </c>
      <c r="AH362" s="25"/>
      <c r="AI362" s="48" t="s">
        <v>368</v>
      </c>
      <c r="AJ362" s="27"/>
      <c r="AK362" s="27"/>
      <c r="AL362" s="27"/>
      <c r="AM362" s="27"/>
      <c r="AN362" s="27"/>
      <c r="AO362" s="27"/>
      <c r="AP362" s="27"/>
      <c r="AQ362" s="27"/>
    </row>
    <row r="363" spans="1:43" ht="14.25" customHeight="1">
      <c r="A363" s="42">
        <v>24.362000000000101</v>
      </c>
      <c r="B363" s="14">
        <v>2024</v>
      </c>
      <c r="C363" s="36">
        <v>362</v>
      </c>
      <c r="D363" s="16" t="str">
        <f ca="1">IFERROR(__xludf.DUMMYFUNCTION("IMPORTXML(AI363, ""//h1[@itemprop='headline']/span"")"),"362. Toppers Pizza")</f>
        <v>362. Toppers Pizza</v>
      </c>
      <c r="E363" s="17" t="str">
        <f ca="1">IFERROR(__xludf.DUMMYFUNCTION("REGEXEXTRACT(D363, ""\.\s*(.+)"")"),"Toppers Pizza")</f>
        <v>Toppers Pizza</v>
      </c>
      <c r="F363" s="18" t="str">
        <f ca="1">IFERROR(__xludf.DUMMYFUNCTION("IMPORTXML(AI363, ""//li[strong[text()='Investment Range:']]"")"),"Investment Range:")</f>
        <v>Investment Range:</v>
      </c>
      <c r="G363" s="43" t="str">
        <f ca="1">IFERROR(__xludf.DUMMYFUNCTION("""COMPUTED_VALUE""")," $484,307 - $718,500")</f>
        <v xml:space="preserve"> $484,307 - $718,500</v>
      </c>
      <c r="H363" s="18" t="str">
        <f ca="1">IFERROR(__xludf.DUMMYFUNCTION("SUBSTITUTE(REGEXEXTRACT(G363, ""\$(\d{1,3}(?:,\d{3})*)""), "","", ""."")
"),"484.307")</f>
        <v>484.307</v>
      </c>
      <c r="I363" s="19" t="str">
        <f ca="1">IFERROR(__xludf.DUMMYFUNCTION("SUBSTITUTE(REGEXEXTRACT(G363, ""-\s*\$(\d{1,3}(?:,\d{3})*)""), "","", ""."")
"),"718.500")</f>
        <v>718.500</v>
      </c>
      <c r="J363" s="19" t="str">
        <f ca="1">IFERROR(__xludf.DUMMYFUNCTION("IMPORTXML(AI363, ""//li[strong[text()='Initial Investment:']]"")"),"Loading...")</f>
        <v>Loading...</v>
      </c>
      <c r="K363" s="24"/>
      <c r="L363" s="20" t="str">
        <f ca="1">IFERROR(__xludf.DUMMYFUNCTION("IMPORTXML(AI363, ""//li[strong[text()='Category:']]"")"),"Loading...")</f>
        <v>Loading...</v>
      </c>
      <c r="M363" s="24"/>
      <c r="N363" s="19" t="str">
        <f ca="1">IFERROR(__xludf.DUMMYFUNCTION("IMPORTXML(AI363, ""//li[strong[text()='Global Sales:']]"")"),"Loading...")</f>
        <v>Loading...</v>
      </c>
      <c r="O363" s="24"/>
      <c r="P363" s="19" t="str">
        <f t="shared" si="3"/>
        <v/>
      </c>
      <c r="Q363" s="19" t="str">
        <f ca="1">IFERROR(__xludf.DUMMYFUNCTION("IMPORTXML(AI363, ""//li[strong[text()='US Units:']]"")"),"Loading...")</f>
        <v>Loading...</v>
      </c>
      <c r="R363" s="24"/>
      <c r="S363" s="19" t="str">
        <f ca="1">IFERROR(__xludf.DUMMYFUNCTION("IMPORTXML(AI363, ""//li[strong[text()='International Units:']]"")"),"Loading...")</f>
        <v>Loading...</v>
      </c>
      <c r="T363" s="44"/>
      <c r="U363" s="19" t="str">
        <f ca="1">IFERROR(__xludf.DUMMYFUNCTION("IMPORTXML(AI363, ""//li[strong[text()='Percent Franchised:']]"")"),"Loading...")</f>
        <v>Loading...</v>
      </c>
      <c r="V363" s="24"/>
      <c r="W363" s="19" t="str">
        <f ca="1">IFERROR(__xludf.DUMMYFUNCTION("IMPORTXML(AI363, ""//li[strong[text()='% International Units:']]"")"),"Loading...")</f>
        <v>Loading...</v>
      </c>
      <c r="X363" s="24"/>
      <c r="Y363" s="19" t="str">
        <f ca="1">IFERROR(__xludf.DUMMYFUNCTION("IMPORTXML(AI363, ""//li[strong[text()='US Franchised Units:']]"")"),"US Franchised Units:")</f>
        <v>US Franchised Units:</v>
      </c>
      <c r="Z363" s="24">
        <f ca="1">IFERROR(__xludf.DUMMYFUNCTION("""COMPUTED_VALUE"""),44)</f>
        <v>44</v>
      </c>
      <c r="AA363" s="14" t="str">
        <f t="shared" ca="1" si="4"/>
        <v>44</v>
      </c>
      <c r="AB363" s="19" t="str">
        <f ca="1">IFERROR(__xludf.DUMMYFUNCTION("IMPORTXML(AI363, ""//li[strong[text()='International Franchised Units:']]"")"),"Loading...")</f>
        <v>Loading...</v>
      </c>
      <c r="AC363" s="24"/>
      <c r="AD363" s="14" t="str">
        <f t="shared" si="5"/>
        <v/>
      </c>
      <c r="AE363" s="25" t="str">
        <f ca="1">IFERROR(__xludf.DUMMYFUNCTION("IMPORTXML(AI363, ""//li[strong[text()='Sales Growth %:']]"")"),"Loading...")</f>
        <v>Loading...</v>
      </c>
      <c r="AF363" s="24"/>
      <c r="AG363" s="25" t="str">
        <f ca="1">IFERROR(__xludf.DUMMYFUNCTION("IMPORTXML(AI363, ""//li[strong[text()='Unit Growth %:']]"")"),"Loading...")</f>
        <v>Loading...</v>
      </c>
      <c r="AH363" s="25"/>
      <c r="AI363" s="48" t="s">
        <v>369</v>
      </c>
      <c r="AJ363" s="27"/>
      <c r="AK363" s="27"/>
      <c r="AL363" s="27"/>
      <c r="AM363" s="27"/>
      <c r="AN363" s="27"/>
      <c r="AO363" s="27"/>
      <c r="AP363" s="27"/>
      <c r="AQ363" s="27"/>
    </row>
    <row r="364" spans="1:43" ht="14.25" customHeight="1">
      <c r="A364" s="42">
        <v>24.363000000000099</v>
      </c>
      <c r="B364" s="14">
        <v>2024</v>
      </c>
      <c r="C364" s="36">
        <v>363</v>
      </c>
      <c r="D364" s="16" t="str">
        <f ca="1">IFERROR(__xludf.DUMMYFUNCTION("IMPORTXML(AI364, ""//h1[@itemprop='headline']/span"")"),"363. Dog Haus")</f>
        <v>363. Dog Haus</v>
      </c>
      <c r="E364" s="17" t="str">
        <f ca="1">IFERROR(__xludf.DUMMYFUNCTION("REGEXEXTRACT(D364, ""\.\s*(.+)"")"),"Dog Haus")</f>
        <v>Dog Haus</v>
      </c>
      <c r="F364" s="18" t="str">
        <f ca="1">IFERROR(__xludf.DUMMYFUNCTION("IMPORTXML(AI364, ""//li[strong[text()='Investment Range:']]"")"),"Investment Range:")</f>
        <v>Investment Range:</v>
      </c>
      <c r="G364" s="43" t="str">
        <f ca="1">IFERROR(__xludf.DUMMYFUNCTION("""COMPUTED_VALUE""")," $357,437 - $625,800")</f>
        <v xml:space="preserve"> $357,437 - $625,800</v>
      </c>
      <c r="H364" s="18" t="str">
        <f ca="1">IFERROR(__xludf.DUMMYFUNCTION("SUBSTITUTE(REGEXEXTRACT(G364, ""\$(\d{1,3}(?:,\d{3})*)""), "","", ""."")
"),"357.437")</f>
        <v>357.437</v>
      </c>
      <c r="I364" s="19" t="str">
        <f ca="1">IFERROR(__xludf.DUMMYFUNCTION("SUBSTITUTE(REGEXEXTRACT(G364, ""-\s*\$(\d{1,3}(?:,\d{3})*)""), "","", ""."")
"),"625.800")</f>
        <v>625.800</v>
      </c>
      <c r="J364" s="19" t="str">
        <f ca="1">IFERROR(__xludf.DUMMYFUNCTION("IMPORTXML(AI364, ""//li[strong[text()='Initial Investment:']]"")"),"Loading...")</f>
        <v>Loading...</v>
      </c>
      <c r="K364" s="24"/>
      <c r="L364" s="20" t="str">
        <f ca="1">IFERROR(__xludf.DUMMYFUNCTION("IMPORTXML(AI364, ""//li[strong[text()='Category:']]"")"),"Loading...")</f>
        <v>Loading...</v>
      </c>
      <c r="M364" s="24"/>
      <c r="N364" s="19" t="str">
        <f ca="1">IFERROR(__xludf.DUMMYFUNCTION("IMPORTXML(AI364, ""//li[strong[text()='Global Sales:']]"")"),"Loading...")</f>
        <v>Loading...</v>
      </c>
      <c r="O364" s="24"/>
      <c r="P364" s="19" t="str">
        <f t="shared" si="3"/>
        <v/>
      </c>
      <c r="Q364" s="19" t="str">
        <f ca="1">IFERROR(__xludf.DUMMYFUNCTION("IMPORTXML(AI364, ""//li[strong[text()='US Units:']]"")"),"Loading...")</f>
        <v>Loading...</v>
      </c>
      <c r="R364" s="24"/>
      <c r="S364" s="19" t="str">
        <f ca="1">IFERROR(__xludf.DUMMYFUNCTION("IMPORTXML(AI364, ""//li[strong[text()='International Units:']]"")"),"Loading...")</f>
        <v>Loading...</v>
      </c>
      <c r="T364" s="44"/>
      <c r="U364" s="19" t="str">
        <f ca="1">IFERROR(__xludf.DUMMYFUNCTION("IMPORTXML(AI364, ""//li[strong[text()='Percent Franchised:']]"")"),"Loading...")</f>
        <v>Loading...</v>
      </c>
      <c r="V364" s="24"/>
      <c r="W364" s="19" t="str">
        <f ca="1">IFERROR(__xludf.DUMMYFUNCTION("IMPORTXML(AI364, ""//li[strong[text()='% International Units:']]"")"),"Loading...")</f>
        <v>Loading...</v>
      </c>
      <c r="X364" s="24"/>
      <c r="Y364" s="19" t="str">
        <f ca="1">IFERROR(__xludf.DUMMYFUNCTION("IMPORTXML(AI364, ""//li[strong[text()='US Franchised Units:']]"")"),"Loading...")</f>
        <v>Loading...</v>
      </c>
      <c r="Z364" s="24"/>
      <c r="AA364" s="14" t="str">
        <f t="shared" si="4"/>
        <v/>
      </c>
      <c r="AB364" s="19" t="str">
        <f ca="1">IFERROR(__xludf.DUMMYFUNCTION("IMPORTXML(AI364, ""//li[strong[text()='International Franchised Units:']]"")"),"Loading...")</f>
        <v>Loading...</v>
      </c>
      <c r="AC364" s="24"/>
      <c r="AD364" s="14" t="str">
        <f t="shared" si="5"/>
        <v/>
      </c>
      <c r="AE364" s="25" t="str">
        <f ca="1">IFERROR(__xludf.DUMMYFUNCTION("IMPORTXML(AI364, ""//li[strong[text()='Sales Growth %:']]"")"),"Loading...")</f>
        <v>Loading...</v>
      </c>
      <c r="AF364" s="24"/>
      <c r="AG364" s="25" t="str">
        <f ca="1">IFERROR(__xludf.DUMMYFUNCTION("IMPORTXML(AI364, ""//li[strong[text()='Unit Growth %:']]"")"),"Loading...")</f>
        <v>Loading...</v>
      </c>
      <c r="AH364" s="25"/>
      <c r="AI364" s="48" t="s">
        <v>370</v>
      </c>
      <c r="AJ364" s="27"/>
      <c r="AK364" s="27"/>
      <c r="AL364" s="27"/>
      <c r="AM364" s="27"/>
      <c r="AN364" s="27"/>
      <c r="AO364" s="27"/>
      <c r="AP364" s="27"/>
      <c r="AQ364" s="27"/>
    </row>
    <row r="365" spans="1:43" ht="14.25" customHeight="1">
      <c r="A365" s="42">
        <v>24.3640000000001</v>
      </c>
      <c r="B365" s="14">
        <v>2024</v>
      </c>
      <c r="C365" s="15">
        <v>364</v>
      </c>
      <c r="D365" s="16" t="str">
        <f ca="1">IFERROR(__xludf.DUMMYFUNCTION("IMPORTXML(AI365, ""//h1[@itemprop='headline']/span"")"),"364. Christmas Decor")</f>
        <v>364. Christmas Decor</v>
      </c>
      <c r="E365" s="17" t="str">
        <f ca="1">IFERROR(__xludf.DUMMYFUNCTION("REGEXEXTRACT(D365, ""\.\s*(.+)"")"),"Christmas Decor")</f>
        <v>Christmas Decor</v>
      </c>
      <c r="F365" s="18" t="str">
        <f ca="1">IFERROR(__xludf.DUMMYFUNCTION("IMPORTXML(AI365, ""//li[strong[text()='Investment Range:']]"")"),"Investment Range:")</f>
        <v>Investment Range:</v>
      </c>
      <c r="G365" s="43" t="str">
        <f ca="1">IFERROR(__xludf.DUMMYFUNCTION("""COMPUTED_VALUE""")," $23,550 - $110,250")</f>
        <v xml:space="preserve"> $23,550 - $110,250</v>
      </c>
      <c r="H365" s="18" t="str">
        <f ca="1">IFERROR(__xludf.DUMMYFUNCTION("SUBSTITUTE(REGEXEXTRACT(G365, ""\$(\d{1,3}(?:,\d{3})*)""), "","", ""."")
"),"23.550")</f>
        <v>23.550</v>
      </c>
      <c r="I365" s="19" t="str">
        <f ca="1">IFERROR(__xludf.DUMMYFUNCTION("SUBSTITUTE(REGEXEXTRACT(G365, ""-\s*\$(\d{1,3}(?:,\d{3})*)""), "","", ""."")
"),"110.250")</f>
        <v>110.250</v>
      </c>
      <c r="J365" s="19" t="str">
        <f ca="1">IFERROR(__xludf.DUMMYFUNCTION("IMPORTXML(AI365, ""//li[strong[text()='Initial Investment:']]"")"),"Loading...")</f>
        <v>Loading...</v>
      </c>
      <c r="K365" s="24"/>
      <c r="L365" s="20" t="str">
        <f ca="1">IFERROR(__xludf.DUMMYFUNCTION("IMPORTXML(AI365, ""//li[strong[text()='Category:']]"")"),"Loading...")</f>
        <v>Loading...</v>
      </c>
      <c r="M365" s="24"/>
      <c r="N365" s="19" t="str">
        <f ca="1">IFERROR(__xludf.DUMMYFUNCTION("IMPORTXML(AI365, ""//li[strong[text()='Global Sales:']]"")"),"Loading...")</f>
        <v>Loading...</v>
      </c>
      <c r="O365" s="24"/>
      <c r="P365" s="19" t="str">
        <f t="shared" si="3"/>
        <v/>
      </c>
      <c r="Q365" s="19" t="str">
        <f ca="1">IFERROR(__xludf.DUMMYFUNCTION("IMPORTXML(AI365, ""//li[strong[text()='US Units:']]"")"),"Loading...")</f>
        <v>Loading...</v>
      </c>
      <c r="R365" s="24"/>
      <c r="S365" s="19" t="str">
        <f ca="1">IFERROR(__xludf.DUMMYFUNCTION("IMPORTXML(AI365, ""//li[strong[text()='International Units:']]"")"),"Loading...")</f>
        <v>Loading...</v>
      </c>
      <c r="T365" s="44"/>
      <c r="U365" s="19" t="str">
        <f ca="1">IFERROR(__xludf.DUMMYFUNCTION("IMPORTXML(AI365, ""//li[strong[text()='Percent Franchised:']]"")"),"Loading...")</f>
        <v>Loading...</v>
      </c>
      <c r="V365" s="24"/>
      <c r="W365" s="19" t="str">
        <f ca="1">IFERROR(__xludf.DUMMYFUNCTION("IMPORTXML(AI365, ""//li[strong[text()='% International Units:']]"")"),"Loading...")</f>
        <v>Loading...</v>
      </c>
      <c r="X365" s="24"/>
      <c r="Y365" s="19" t="str">
        <f ca="1">IFERROR(__xludf.DUMMYFUNCTION("IMPORTXML(AI365, ""//li[strong[text()='US Franchised Units:']]"")"),"Loading...")</f>
        <v>Loading...</v>
      </c>
      <c r="Z365" s="24"/>
      <c r="AA365" s="14" t="str">
        <f t="shared" si="4"/>
        <v/>
      </c>
      <c r="AB365" s="19" t="str">
        <f ca="1">IFERROR(__xludf.DUMMYFUNCTION("IMPORTXML(AI365, ""//li[strong[text()='International Franchised Units:']]"")"),"Loading...")</f>
        <v>Loading...</v>
      </c>
      <c r="AC365" s="24"/>
      <c r="AD365" s="14" t="str">
        <f t="shared" si="5"/>
        <v/>
      </c>
      <c r="AE365" s="25" t="str">
        <f ca="1">IFERROR(__xludf.DUMMYFUNCTION("IMPORTXML(AI365, ""//li[strong[text()='Sales Growth %:']]"")"),"Loading...")</f>
        <v>Loading...</v>
      </c>
      <c r="AF365" s="24"/>
      <c r="AG365" s="25" t="str">
        <f ca="1">IFERROR(__xludf.DUMMYFUNCTION("IMPORTXML(AI365, ""//li[strong[text()='Unit Growth %:']]"")"),"Loading...")</f>
        <v>Loading...</v>
      </c>
      <c r="AH365" s="25"/>
      <c r="AI365" s="48" t="s">
        <v>371</v>
      </c>
      <c r="AJ365" s="27"/>
      <c r="AK365" s="27"/>
      <c r="AL365" s="27"/>
      <c r="AM365" s="27"/>
      <c r="AN365" s="27"/>
      <c r="AO365" s="27"/>
      <c r="AP365" s="27"/>
      <c r="AQ365" s="27"/>
    </row>
    <row r="366" spans="1:43" ht="14.25" customHeight="1">
      <c r="A366" s="42">
        <v>24.365000000000101</v>
      </c>
      <c r="B366" s="14">
        <v>2024</v>
      </c>
      <c r="C366" s="32">
        <v>365</v>
      </c>
      <c r="D366" s="16" t="str">
        <f ca="1">IFERROR(__xludf.DUMMYFUNCTION("IMPORTXML(AI366, ""//h1[@itemprop='headline']/span"")"),"365. PJ’s Coffee of New Orleans")</f>
        <v>365. PJ’s Coffee of New Orleans</v>
      </c>
      <c r="E366" s="17" t="str">
        <f ca="1">IFERROR(__xludf.DUMMYFUNCTION("REGEXEXTRACT(D366, ""\.\s*(.+)"")"),"PJ’s Coffee of New Orleans")</f>
        <v>PJ’s Coffee of New Orleans</v>
      </c>
      <c r="F366" s="18" t="str">
        <f ca="1">IFERROR(__xludf.DUMMYFUNCTION("IMPORTXML(AI366, ""//li[strong[text()='Investment Range:']]"")"),"Investment Range:")</f>
        <v>Investment Range:</v>
      </c>
      <c r="G366" s="43" t="str">
        <f ca="1">IFERROR(__xludf.DUMMYFUNCTION("""COMPUTED_VALUE""")," $459,000 - $1,152,000")</f>
        <v xml:space="preserve"> $459,000 - $1,152,000</v>
      </c>
      <c r="H366" s="18" t="str">
        <f ca="1">IFERROR(__xludf.DUMMYFUNCTION("SUBSTITUTE(REGEXEXTRACT(G366, ""\$(\d{1,3}(?:,\d{3})*)""), "","", ""."")
"),"459.000")</f>
        <v>459.000</v>
      </c>
      <c r="I366" s="19" t="str">
        <f ca="1">IFERROR(__xludf.DUMMYFUNCTION("SUBSTITUTE(REGEXEXTRACT(G366, ""-\s*\$(\d{1,3}(?:,\d{3})*)""), "","", ""."")
"),"1.152.000")</f>
        <v>1.152.000</v>
      </c>
      <c r="J366" s="19" t="str">
        <f ca="1">IFERROR(__xludf.DUMMYFUNCTION("IMPORTXML(AI366, ""//li[strong[text()='Initial Investment:']]"")"),"Loading...")</f>
        <v>Loading...</v>
      </c>
      <c r="K366" s="24"/>
      <c r="L366" s="20" t="str">
        <f ca="1">IFERROR(__xludf.DUMMYFUNCTION("IMPORTXML(AI366, ""//li[strong[text()='Category:']]"")"),"Loading...")</f>
        <v>Loading...</v>
      </c>
      <c r="M366" s="24"/>
      <c r="N366" s="19" t="str">
        <f ca="1">IFERROR(__xludf.DUMMYFUNCTION("IMPORTXML(AI366, ""//li[strong[text()='Global Sales:']]"")"),"Loading...")</f>
        <v>Loading...</v>
      </c>
      <c r="O366" s="24"/>
      <c r="P366" s="19" t="str">
        <f t="shared" si="3"/>
        <v/>
      </c>
      <c r="Q366" s="19" t="str">
        <f ca="1">IFERROR(__xludf.DUMMYFUNCTION("IMPORTXML(AI366, ""//li[strong[text()='US Units:']]"")"),"Loading...")</f>
        <v>Loading...</v>
      </c>
      <c r="R366" s="24"/>
      <c r="S366" s="19" t="str">
        <f ca="1">IFERROR(__xludf.DUMMYFUNCTION("IMPORTXML(AI366, ""//li[strong[text()='International Units:']]"")"),"Loading...")</f>
        <v>Loading...</v>
      </c>
      <c r="T366" s="44"/>
      <c r="U366" s="19" t="str">
        <f ca="1">IFERROR(__xludf.DUMMYFUNCTION("IMPORTXML(AI366, ""//li[strong[text()='Percent Franchised:']]"")"),"Loading...")</f>
        <v>Loading...</v>
      </c>
      <c r="V366" s="24"/>
      <c r="W366" s="19" t="str">
        <f ca="1">IFERROR(__xludf.DUMMYFUNCTION("IMPORTXML(AI366, ""//li[strong[text()='% International Units:']]"")"),"Loading...")</f>
        <v>Loading...</v>
      </c>
      <c r="X366" s="24"/>
      <c r="Y366" s="19" t="str">
        <f ca="1">IFERROR(__xludf.DUMMYFUNCTION("IMPORTXML(AI366, ""//li[strong[text()='US Franchised Units:']]"")"),"Loading...")</f>
        <v>Loading...</v>
      </c>
      <c r="Z366" s="24"/>
      <c r="AA366" s="14" t="str">
        <f t="shared" si="4"/>
        <v/>
      </c>
      <c r="AB366" s="19" t="str">
        <f ca="1">IFERROR(__xludf.DUMMYFUNCTION("IMPORTXML(AI366, ""//li[strong[text()='International Franchised Units:']]"")"),"Loading...")</f>
        <v>Loading...</v>
      </c>
      <c r="AC366" s="24"/>
      <c r="AD366" s="14" t="str">
        <f t="shared" si="5"/>
        <v/>
      </c>
      <c r="AE366" s="25" t="str">
        <f ca="1">IFERROR(__xludf.DUMMYFUNCTION("IMPORTXML(AI366, ""//li[strong[text()='Sales Growth %:']]"")"),"Loading...")</f>
        <v>Loading...</v>
      </c>
      <c r="AF366" s="24"/>
      <c r="AG366" s="25" t="str">
        <f ca="1">IFERROR(__xludf.DUMMYFUNCTION("IMPORTXML(AI366, ""//li[strong[text()='Unit Growth %:']]"")"),"Loading...")</f>
        <v>Loading...</v>
      </c>
      <c r="AH366" s="25"/>
      <c r="AI366" s="48" t="s">
        <v>372</v>
      </c>
      <c r="AJ366" s="27"/>
      <c r="AK366" s="27"/>
      <c r="AL366" s="27"/>
      <c r="AM366" s="27"/>
      <c r="AN366" s="27"/>
      <c r="AO366" s="27"/>
      <c r="AP366" s="27"/>
      <c r="AQ366" s="27"/>
    </row>
    <row r="367" spans="1:43" ht="14.25" customHeight="1">
      <c r="A367" s="42">
        <v>24.366000000000099</v>
      </c>
      <c r="B367" s="14">
        <v>2024</v>
      </c>
      <c r="C367" s="36">
        <v>366</v>
      </c>
      <c r="D367" s="16" t="str">
        <f ca="1">IFERROR(__xludf.DUMMYFUNCTION("IMPORTXML(AI367, ""//h1[@itemprop='headline']/span"")"),"366. The Greene Turtle Sports Bar")</f>
        <v>366. The Greene Turtle Sports Bar</v>
      </c>
      <c r="E367" s="17" t="str">
        <f ca="1">IFERROR(__xludf.DUMMYFUNCTION("REGEXEXTRACT(D367, ""\.\s*(.+)"")"),"The Greene Turtle Sports Bar")</f>
        <v>The Greene Turtle Sports Bar</v>
      </c>
      <c r="F367" s="18" t="str">
        <f ca="1">IFERROR(__xludf.DUMMYFUNCTION("IMPORTXML(AI367, ""//li[strong[text()='Investment Range:']]"")"),"Investment Range:")</f>
        <v>Investment Range:</v>
      </c>
      <c r="G367" s="43" t="str">
        <f ca="1">IFERROR(__xludf.DUMMYFUNCTION("""COMPUTED_VALUE""")," $1,455,000 - $1,757,000")</f>
        <v xml:space="preserve"> $1,455,000 - $1,757,000</v>
      </c>
      <c r="H367" s="18" t="str">
        <f ca="1">IFERROR(__xludf.DUMMYFUNCTION("SUBSTITUTE(REGEXEXTRACT(G367, ""\$(\d{1,3}(?:,\d{3})*)""), "","", ""."")
"),"1.455.000")</f>
        <v>1.455.000</v>
      </c>
      <c r="I367" s="19" t="str">
        <f ca="1">IFERROR(__xludf.DUMMYFUNCTION("SUBSTITUTE(REGEXEXTRACT(G367, ""-\s*\$(\d{1,3}(?:,\d{3})*)""), "","", ""."")
"),"1.757.000")</f>
        <v>1.757.000</v>
      </c>
      <c r="J367" s="19" t="str">
        <f ca="1">IFERROR(__xludf.DUMMYFUNCTION("IMPORTXML(AI367, ""//li[strong[text()='Initial Investment:']]"")"),"Loading...")</f>
        <v>Loading...</v>
      </c>
      <c r="K367" s="24"/>
      <c r="L367" s="20" t="str">
        <f ca="1">IFERROR(__xludf.DUMMYFUNCTION("IMPORTXML(AI367, ""//li[strong[text()='Category:']]"")"),"Loading...")</f>
        <v>Loading...</v>
      </c>
      <c r="M367" s="24"/>
      <c r="N367" s="19" t="str">
        <f ca="1">IFERROR(__xludf.DUMMYFUNCTION("IMPORTXML(AI367, ""//li[strong[text()='Global Sales:']]"")"),"Loading...")</f>
        <v>Loading...</v>
      </c>
      <c r="O367" s="24"/>
      <c r="P367" s="19" t="str">
        <f t="shared" si="3"/>
        <v/>
      </c>
      <c r="Q367" s="19" t="str">
        <f ca="1">IFERROR(__xludf.DUMMYFUNCTION("IMPORTXML(AI367, ""//li[strong[text()='US Units:']]"")"),"Loading...")</f>
        <v>Loading...</v>
      </c>
      <c r="R367" s="24"/>
      <c r="S367" s="19" t="str">
        <f ca="1">IFERROR(__xludf.DUMMYFUNCTION("IMPORTXML(AI367, ""//li[strong[text()='International Units:']]"")"),"Loading...")</f>
        <v>Loading...</v>
      </c>
      <c r="T367" s="44"/>
      <c r="U367" s="19" t="str">
        <f ca="1">IFERROR(__xludf.DUMMYFUNCTION("IMPORTXML(AI367, ""//li[strong[text()='Percent Franchised:']]"")"),"Loading...")</f>
        <v>Loading...</v>
      </c>
      <c r="V367" s="24"/>
      <c r="W367" s="19" t="str">
        <f ca="1">IFERROR(__xludf.DUMMYFUNCTION("IMPORTXML(AI367, ""//li[strong[text()='% International Units:']]"")"),"Loading...")</f>
        <v>Loading...</v>
      </c>
      <c r="X367" s="24"/>
      <c r="Y367" s="19" t="str">
        <f ca="1">IFERROR(__xludf.DUMMYFUNCTION("IMPORTXML(AI367, ""//li[strong[text()='US Franchised Units:']]"")"),"Loading...")</f>
        <v>Loading...</v>
      </c>
      <c r="Z367" s="24"/>
      <c r="AA367" s="14" t="str">
        <f t="shared" si="4"/>
        <v/>
      </c>
      <c r="AB367" s="19" t="str">
        <f ca="1">IFERROR(__xludf.DUMMYFUNCTION("IMPORTXML(AI367, ""//li[strong[text()='International Franchised Units:']]"")"),"Loading...")</f>
        <v>Loading...</v>
      </c>
      <c r="AC367" s="24"/>
      <c r="AD367" s="14" t="str">
        <f t="shared" si="5"/>
        <v/>
      </c>
      <c r="AE367" s="25" t="str">
        <f ca="1">IFERROR(__xludf.DUMMYFUNCTION("IMPORTXML(AI367, ""//li[strong[text()='Sales Growth %:']]"")"),"Loading...")</f>
        <v>Loading...</v>
      </c>
      <c r="AF367" s="24"/>
      <c r="AG367" s="25" t="str">
        <f ca="1">IFERROR(__xludf.DUMMYFUNCTION("IMPORTXML(AI367, ""//li[strong[text()='Unit Growth %:']]"")"),"Unit Growth %:")</f>
        <v>Unit Growth %:</v>
      </c>
      <c r="AH367" s="25" t="str">
        <f ca="1">IFERROR(__xludf.DUMMYFUNCTION("""COMPUTED_VALUE""")," 0.0%")</f>
        <v xml:space="preserve"> 0.0%</v>
      </c>
      <c r="AI367" s="48" t="s">
        <v>373</v>
      </c>
      <c r="AJ367" s="27"/>
      <c r="AK367" s="27"/>
      <c r="AL367" s="27"/>
      <c r="AM367" s="27"/>
      <c r="AN367" s="27"/>
      <c r="AO367" s="27"/>
      <c r="AP367" s="27"/>
      <c r="AQ367" s="27"/>
    </row>
    <row r="368" spans="1:43" ht="14.25" customHeight="1">
      <c r="A368" s="42">
        <v>24.3670000000001</v>
      </c>
      <c r="B368" s="14">
        <v>2024</v>
      </c>
      <c r="C368" s="36">
        <v>367</v>
      </c>
      <c r="D368" s="16" t="str">
        <f ca="1">IFERROR(__xludf.DUMMYFUNCTION("IMPORTXML(AI368, ""//h1[@itemprop='headline']/span"")"),"367. BuildingStars")</f>
        <v>367. BuildingStars</v>
      </c>
      <c r="E368" s="17" t="str">
        <f ca="1">IFERROR(__xludf.DUMMYFUNCTION("REGEXEXTRACT(D368, ""\.\s*(.+)"")"),"BuildingStars")</f>
        <v>BuildingStars</v>
      </c>
      <c r="F368" s="18" t="str">
        <f ca="1">IFERROR(__xludf.DUMMYFUNCTION("IMPORTXML(AI368, ""//li[strong[text()='Investment Range:']]"")"),"Investment Range:")</f>
        <v>Investment Range:</v>
      </c>
      <c r="G368" s="43" t="str">
        <f ca="1">IFERROR(__xludf.DUMMYFUNCTION("""COMPUTED_VALUE""")," $2,445 - $8,295")</f>
        <v xml:space="preserve"> $2,445 - $8,295</v>
      </c>
      <c r="H368" s="18" t="str">
        <f ca="1">IFERROR(__xludf.DUMMYFUNCTION("SUBSTITUTE(REGEXEXTRACT(G368, ""\$(\d{1,3}(?:,\d{3})*)""), "","", ""."")
"),"2.445")</f>
        <v>2.445</v>
      </c>
      <c r="I368" s="19" t="str">
        <f ca="1">IFERROR(__xludf.DUMMYFUNCTION("SUBSTITUTE(REGEXEXTRACT(G368, ""-\s*\$(\d{1,3}(?:,\d{3})*)""), "","", ""."")
"),"8.295")</f>
        <v>8.295</v>
      </c>
      <c r="J368" s="19" t="str">
        <f ca="1">IFERROR(__xludf.DUMMYFUNCTION("IMPORTXML(AI368, ""//li[strong[text()='Initial Investment:']]"")"),"Loading...")</f>
        <v>Loading...</v>
      </c>
      <c r="K368" s="24"/>
      <c r="L368" s="20" t="str">
        <f ca="1">IFERROR(__xludf.DUMMYFUNCTION("IMPORTXML(AI368, ""//li[strong[text()='Category:']]"")"),"Loading...")</f>
        <v>Loading...</v>
      </c>
      <c r="M368" s="24"/>
      <c r="N368" s="19" t="str">
        <f ca="1">IFERROR(__xludf.DUMMYFUNCTION("IMPORTXML(AI368, ""//li[strong[text()='Global Sales:']]"")"),"Global Sales:")</f>
        <v>Global Sales:</v>
      </c>
      <c r="O368" s="24" t="str">
        <f ca="1">IFERROR(__xludf.DUMMYFUNCTION("""COMPUTED_VALUE""")," $76,205,348")</f>
        <v xml:space="preserve"> $76,205,348</v>
      </c>
      <c r="P368" s="19" t="str">
        <f t="shared" ca="1" si="3"/>
        <v xml:space="preserve"> 76.205.348</v>
      </c>
      <c r="Q368" s="19" t="str">
        <f ca="1">IFERROR(__xludf.DUMMYFUNCTION("IMPORTXML(AI368, ""//li[strong[text()='US Units:']]"")"),"Loading...")</f>
        <v>Loading...</v>
      </c>
      <c r="R368" s="24"/>
      <c r="S368" s="19" t="str">
        <f ca="1">IFERROR(__xludf.DUMMYFUNCTION("IMPORTXML(AI368, ""//li[strong[text()='International Units:']]"")"),"Loading...")</f>
        <v>Loading...</v>
      </c>
      <c r="T368" s="44"/>
      <c r="U368" s="19" t="str">
        <f ca="1">IFERROR(__xludf.DUMMYFUNCTION("IMPORTXML(AI368, ""//li[strong[text()='Percent Franchised:']]"")"),"Loading...")</f>
        <v>Loading...</v>
      </c>
      <c r="V368" s="24"/>
      <c r="W368" s="19" t="str">
        <f ca="1">IFERROR(__xludf.DUMMYFUNCTION("IMPORTXML(AI368, ""//li[strong[text()='% International Units:']]"")"),"Loading...")</f>
        <v>Loading...</v>
      </c>
      <c r="X368" s="24"/>
      <c r="Y368" s="19" t="str">
        <f ca="1">IFERROR(__xludf.DUMMYFUNCTION("IMPORTXML(AI368, ""//li[strong[text()='US Franchised Units:']]"")"),"US Franchised Units:")</f>
        <v>US Franchised Units:</v>
      </c>
      <c r="Z368" s="24">
        <f ca="1">IFERROR(__xludf.DUMMYFUNCTION("""COMPUTED_VALUE"""),1.06)</f>
        <v>1.06</v>
      </c>
      <c r="AA368" s="14" t="str">
        <f t="shared" ca="1" si="4"/>
        <v>1.06</v>
      </c>
      <c r="AB368" s="19" t="str">
        <f ca="1">IFERROR(__xludf.DUMMYFUNCTION("IMPORTXML(AI368, ""//li[strong[text()='International Franchised Units:']]"")"),"Loading...")</f>
        <v>Loading...</v>
      </c>
      <c r="AC368" s="24"/>
      <c r="AD368" s="14" t="str">
        <f t="shared" si="5"/>
        <v/>
      </c>
      <c r="AE368" s="25" t="str">
        <f ca="1">IFERROR(__xludf.DUMMYFUNCTION("IMPORTXML(AI368, ""//li[strong[text()='Sales Growth %:']]"")"),"Loading...")</f>
        <v>Loading...</v>
      </c>
      <c r="AF368" s="24"/>
      <c r="AG368" s="25" t="str">
        <f ca="1">IFERROR(__xludf.DUMMYFUNCTION("IMPORTXML(AI368, ""//li[strong[text()='Unit Growth %:']]"")"),"Loading...")</f>
        <v>Loading...</v>
      </c>
      <c r="AH368" s="25"/>
      <c r="AI368" s="48" t="s">
        <v>374</v>
      </c>
      <c r="AJ368" s="27"/>
      <c r="AK368" s="27"/>
      <c r="AL368" s="27"/>
      <c r="AM368" s="27"/>
      <c r="AN368" s="27"/>
      <c r="AO368" s="27"/>
      <c r="AP368" s="27"/>
      <c r="AQ368" s="27"/>
    </row>
    <row r="369" spans="1:43" ht="14.25" customHeight="1">
      <c r="A369" s="42">
        <v>24.368000000000102</v>
      </c>
      <c r="B369" s="14">
        <v>2024</v>
      </c>
      <c r="C369" s="15">
        <v>368</v>
      </c>
      <c r="D369" s="16" t="str">
        <f ca="1">IFERROR(__xludf.DUMMYFUNCTION("IMPORTXML(AI369, ""//h1[@itemprop='headline']/span"")"),"368. Waxing The City")</f>
        <v>368. Waxing The City</v>
      </c>
      <c r="E369" s="17" t="str">
        <f ca="1">IFERROR(__xludf.DUMMYFUNCTION("REGEXEXTRACT(D369, ""\.\s*(.+)"")"),"Waxing The City")</f>
        <v>Waxing The City</v>
      </c>
      <c r="F369" s="18" t="str">
        <f ca="1">IFERROR(__xludf.DUMMYFUNCTION("IMPORTXML(AI369, ""//li[strong[text()='Investment Range:']]"")"),"Investment Range:")</f>
        <v>Investment Range:</v>
      </c>
      <c r="G369" s="43" t="str">
        <f ca="1">IFERROR(__xludf.DUMMYFUNCTION("""COMPUTED_VALUE""")," $325,393 - $603,879")</f>
        <v xml:space="preserve"> $325,393 - $603,879</v>
      </c>
      <c r="H369" s="18" t="str">
        <f ca="1">IFERROR(__xludf.DUMMYFUNCTION("SUBSTITUTE(REGEXEXTRACT(G369, ""\$(\d{1,3}(?:,\d{3})*)""), "","", ""."")
"),"325.393")</f>
        <v>325.393</v>
      </c>
      <c r="I369" s="19" t="str">
        <f ca="1">IFERROR(__xludf.DUMMYFUNCTION("SUBSTITUTE(REGEXEXTRACT(G369, ""-\s*\$(\d{1,3}(?:,\d{3})*)""), "","", ""."")
"),"603.879")</f>
        <v>603.879</v>
      </c>
      <c r="J369" s="19" t="str">
        <f ca="1">IFERROR(__xludf.DUMMYFUNCTION("IMPORTXML(AI369, ""//li[strong[text()='Initial Investment:']]"")"),"Loading...")</f>
        <v>Loading...</v>
      </c>
      <c r="K369" s="24"/>
      <c r="L369" s="20" t="str">
        <f ca="1">IFERROR(__xludf.DUMMYFUNCTION("IMPORTXML(AI369, ""//li[strong[text()='Category:']]"")"),"Loading...")</f>
        <v>Loading...</v>
      </c>
      <c r="M369" s="24"/>
      <c r="N369" s="19" t="str">
        <f ca="1">IFERROR(__xludf.DUMMYFUNCTION("IMPORTXML(AI369, ""//li[strong[text()='Global Sales:']]"")"),"Loading...")</f>
        <v>Loading...</v>
      </c>
      <c r="O369" s="24"/>
      <c r="P369" s="19" t="str">
        <f t="shared" si="3"/>
        <v/>
      </c>
      <c r="Q369" s="19" t="str">
        <f ca="1">IFERROR(__xludf.DUMMYFUNCTION("IMPORTXML(AI369, ""//li[strong[text()='US Units:']]"")"),"Loading...")</f>
        <v>Loading...</v>
      </c>
      <c r="R369" s="24"/>
      <c r="S369" s="19" t="str">
        <f ca="1">IFERROR(__xludf.DUMMYFUNCTION("IMPORTXML(AI369, ""//li[strong[text()='International Units:']]"")"),"International Units:")</f>
        <v>International Units:</v>
      </c>
      <c r="T369" s="44">
        <f ca="1">IFERROR(__xludf.DUMMYFUNCTION("""COMPUTED_VALUE"""),0)</f>
        <v>0</v>
      </c>
      <c r="U369" s="19" t="str">
        <f ca="1">IFERROR(__xludf.DUMMYFUNCTION("IMPORTXML(AI369, ""//li[strong[text()='Percent Franchised:']]"")"),"Loading...")</f>
        <v>Loading...</v>
      </c>
      <c r="V369" s="24"/>
      <c r="W369" s="19" t="str">
        <f ca="1">IFERROR(__xludf.DUMMYFUNCTION("IMPORTXML(AI369, ""//li[strong[text()='% International Units:']]"")"),"Loading...")</f>
        <v>Loading...</v>
      </c>
      <c r="X369" s="24"/>
      <c r="Y369" s="19" t="str">
        <f ca="1">IFERROR(__xludf.DUMMYFUNCTION("IMPORTXML(AI369, ""//li[strong[text()='US Franchised Units:']]"")"),"Loading...")</f>
        <v>Loading...</v>
      </c>
      <c r="Z369" s="24"/>
      <c r="AA369" s="14" t="str">
        <f t="shared" si="4"/>
        <v/>
      </c>
      <c r="AB369" s="19" t="str">
        <f ca="1">IFERROR(__xludf.DUMMYFUNCTION("IMPORTXML(AI369, ""//li[strong[text()='International Franchised Units:']]"")"),"Loading...")</f>
        <v>Loading...</v>
      </c>
      <c r="AC369" s="24"/>
      <c r="AD369" s="14" t="str">
        <f t="shared" si="5"/>
        <v/>
      </c>
      <c r="AE369" s="25" t="str">
        <f ca="1">IFERROR(__xludf.DUMMYFUNCTION("IMPORTXML(AI369, ""//li[strong[text()='Sales Growth %:']]"")"),"Loading...")</f>
        <v>Loading...</v>
      </c>
      <c r="AF369" s="24"/>
      <c r="AG369" s="25" t="str">
        <f ca="1">IFERROR(__xludf.DUMMYFUNCTION("IMPORTXML(AI369, ""//li[strong[text()='Unit Growth %:']]"")"),"Loading...")</f>
        <v>Loading...</v>
      </c>
      <c r="AH369" s="25"/>
      <c r="AI369" s="48" t="s">
        <v>375</v>
      </c>
      <c r="AJ369" s="27"/>
      <c r="AK369" s="27"/>
      <c r="AL369" s="27"/>
      <c r="AM369" s="27"/>
      <c r="AN369" s="27"/>
      <c r="AO369" s="27"/>
      <c r="AP369" s="27"/>
      <c r="AQ369" s="27"/>
    </row>
    <row r="370" spans="1:43" ht="14.25" customHeight="1">
      <c r="A370" s="42">
        <v>24.369000000000099</v>
      </c>
      <c r="B370" s="14">
        <v>2024</v>
      </c>
      <c r="C370" s="32">
        <v>369</v>
      </c>
      <c r="D370" s="16" t="str">
        <f ca="1">IFERROR(__xludf.DUMMYFUNCTION("IMPORTXML(AI370, ""//h1[@itemprop='headline']/span"")"),"369. PIP Marketing Signs Print")</f>
        <v>369. PIP Marketing Signs Print</v>
      </c>
      <c r="E370" s="17" t="str">
        <f ca="1">IFERROR(__xludf.DUMMYFUNCTION("REGEXEXTRACT(D370, ""\.\s*(.+)"")"),"PIP Marketing Signs Print")</f>
        <v>PIP Marketing Signs Print</v>
      </c>
      <c r="F370" s="18" t="str">
        <f ca="1">IFERROR(__xludf.DUMMYFUNCTION("IMPORTXML(AI370, ""//li[strong[text()='Investment Range:']]"")"),"Investment Range:")</f>
        <v>Investment Range:</v>
      </c>
      <c r="G370" s="43" t="str">
        <f ca="1">IFERROR(__xludf.DUMMYFUNCTION("""COMPUTED_VALUE""")," $253,027 - $280,527")</f>
        <v xml:space="preserve"> $253,027 - $280,527</v>
      </c>
      <c r="H370" s="18" t="str">
        <f ca="1">IFERROR(__xludf.DUMMYFUNCTION("SUBSTITUTE(REGEXEXTRACT(G370, ""\$(\d{1,3}(?:,\d{3})*)""), "","", ""."")
"),"253.027")</f>
        <v>253.027</v>
      </c>
      <c r="I370" s="19" t="str">
        <f ca="1">IFERROR(__xludf.DUMMYFUNCTION("SUBSTITUTE(REGEXEXTRACT(G370, ""-\s*\$(\d{1,3}(?:,\d{3})*)""), "","", ""."")
"),"280.527")</f>
        <v>280.527</v>
      </c>
      <c r="J370" s="19" t="str">
        <f ca="1">IFERROR(__xludf.DUMMYFUNCTION("IMPORTXML(AI370, ""//li[strong[text()='Initial Investment:']]"")"),"Loading...")</f>
        <v>Loading...</v>
      </c>
      <c r="K370" s="24"/>
      <c r="L370" s="20" t="str">
        <f ca="1">IFERROR(__xludf.DUMMYFUNCTION("IMPORTXML(AI370, ""//li[strong[text()='Category:']]"")"),"Loading...")</f>
        <v>Loading...</v>
      </c>
      <c r="M370" s="24"/>
      <c r="N370" s="19" t="str">
        <f ca="1">IFERROR(__xludf.DUMMYFUNCTION("IMPORTXML(AI370, ""//li[strong[text()='Global Sales:']]"")"),"Global Sales:")</f>
        <v>Global Sales:</v>
      </c>
      <c r="O370" s="24" t="str">
        <f ca="1">IFERROR(__xludf.DUMMYFUNCTION("""COMPUTED_VALUE""")," $75,621,208")</f>
        <v xml:space="preserve"> $75,621,208</v>
      </c>
      <c r="P370" s="19" t="str">
        <f t="shared" ca="1" si="3"/>
        <v xml:space="preserve"> 75.621.208</v>
      </c>
      <c r="Q370" s="19" t="str">
        <f ca="1">IFERROR(__xludf.DUMMYFUNCTION("IMPORTXML(AI370, ""//li[strong[text()='US Units:']]"")"),"Loading...")</f>
        <v>Loading...</v>
      </c>
      <c r="R370" s="24"/>
      <c r="S370" s="19" t="str">
        <f ca="1">IFERROR(__xludf.DUMMYFUNCTION("IMPORTXML(AI370, ""//li[strong[text()='International Units:']]"")"),"Loading...")</f>
        <v>Loading...</v>
      </c>
      <c r="T370" s="44"/>
      <c r="U370" s="19" t="str">
        <f ca="1">IFERROR(__xludf.DUMMYFUNCTION("IMPORTXML(AI370, ""//li[strong[text()='Percent Franchised:']]"")"),"Loading...")</f>
        <v>Loading...</v>
      </c>
      <c r="V370" s="24"/>
      <c r="W370" s="19" t="str">
        <f ca="1">IFERROR(__xludf.DUMMYFUNCTION("IMPORTXML(AI370, ""//li[strong[text()='% International Units:']]"")"),"Loading...")</f>
        <v>Loading...</v>
      </c>
      <c r="X370" s="24"/>
      <c r="Y370" s="19" t="str">
        <f ca="1">IFERROR(__xludf.DUMMYFUNCTION("IMPORTXML(AI370, ""//li[strong[text()='US Franchised Units:']]"")"),"Loading...")</f>
        <v>Loading...</v>
      </c>
      <c r="Z370" s="24"/>
      <c r="AA370" s="14" t="str">
        <f t="shared" si="4"/>
        <v/>
      </c>
      <c r="AB370" s="19" t="str">
        <f ca="1">IFERROR(__xludf.DUMMYFUNCTION("IMPORTXML(AI370, ""//li[strong[text()='International Franchised Units:']]"")"),"Loading...")</f>
        <v>Loading...</v>
      </c>
      <c r="AC370" s="24"/>
      <c r="AD370" s="14" t="str">
        <f t="shared" si="5"/>
        <v/>
      </c>
      <c r="AE370" s="25" t="str">
        <f ca="1">IFERROR(__xludf.DUMMYFUNCTION("IMPORTXML(AI370, ""//li[strong[text()='Sales Growth %:']]"")"),"Loading...")</f>
        <v>Loading...</v>
      </c>
      <c r="AF370" s="24"/>
      <c r="AG370" s="25" t="str">
        <f ca="1">IFERROR(__xludf.DUMMYFUNCTION("IMPORTXML(AI370, ""//li[strong[text()='Unit Growth %:']]"")"),"Loading...")</f>
        <v>Loading...</v>
      </c>
      <c r="AH370" s="25"/>
      <c r="AI370" s="48" t="s">
        <v>376</v>
      </c>
      <c r="AJ370" s="27"/>
      <c r="AK370" s="27"/>
      <c r="AL370" s="27"/>
      <c r="AM370" s="27"/>
      <c r="AN370" s="27"/>
      <c r="AO370" s="27"/>
      <c r="AP370" s="27"/>
      <c r="AQ370" s="27"/>
    </row>
    <row r="371" spans="1:43" ht="14.25" customHeight="1">
      <c r="A371" s="42">
        <v>24.3700000000001</v>
      </c>
      <c r="B371" s="14">
        <v>2024</v>
      </c>
      <c r="C371" s="36">
        <v>370</v>
      </c>
      <c r="D371" s="16" t="str">
        <f ca="1">IFERROR(__xludf.DUMMYFUNCTION("IMPORTXML(AI371, ""//h1[@itemprop='headline']/span"")"),"370. Hurricane Grill &amp; Wings")</f>
        <v>370. Hurricane Grill &amp; Wings</v>
      </c>
      <c r="E371" s="17" t="str">
        <f ca="1">IFERROR(__xludf.DUMMYFUNCTION("REGEXEXTRACT(D371, ""\.\s*(.+)"")"),"Hurricane Grill &amp; Wings")</f>
        <v>Hurricane Grill &amp; Wings</v>
      </c>
      <c r="F371" s="18" t="str">
        <f ca="1">IFERROR(__xludf.DUMMYFUNCTION("IMPORTXML(AI371, ""//li[strong[text()='Investment Range:']]"")"),"Investment Range:")</f>
        <v>Investment Range:</v>
      </c>
      <c r="G371" s="43" t="str">
        <f ca="1">IFERROR(__xludf.DUMMYFUNCTION("""COMPUTED_VALUE""")," $854,200 - $2,965,600")</f>
        <v xml:space="preserve"> $854,200 - $2,965,600</v>
      </c>
      <c r="H371" s="18" t="str">
        <f ca="1">IFERROR(__xludf.DUMMYFUNCTION("SUBSTITUTE(REGEXEXTRACT(G371, ""\$(\d{1,3}(?:,\d{3})*)""), "","", ""."")
"),"854.200")</f>
        <v>854.200</v>
      </c>
      <c r="I371" s="19" t="str">
        <f ca="1">IFERROR(__xludf.DUMMYFUNCTION("SUBSTITUTE(REGEXEXTRACT(G371, ""-\s*\$(\d{1,3}(?:,\d{3})*)""), "","", ""."")
"),"2.965.600")</f>
        <v>2.965.600</v>
      </c>
      <c r="J371" s="19" t="str">
        <f ca="1">IFERROR(__xludf.DUMMYFUNCTION("IMPORTXML(AI371, ""//li[strong[text()='Initial Investment:']]"")"),"Loading...")</f>
        <v>Loading...</v>
      </c>
      <c r="K371" s="24"/>
      <c r="L371" s="20" t="str">
        <f ca="1">IFERROR(__xludf.DUMMYFUNCTION("IMPORTXML(AI371, ""//li[strong[text()='Category:']]"")"),"Loading...")</f>
        <v>Loading...</v>
      </c>
      <c r="M371" s="24"/>
      <c r="N371" s="19" t="str">
        <f ca="1">IFERROR(__xludf.DUMMYFUNCTION("IMPORTXML(AI371, ""//li[strong[text()='Global Sales:']]"")"),"Loading...")</f>
        <v>Loading...</v>
      </c>
      <c r="O371" s="24"/>
      <c r="P371" s="19" t="str">
        <f t="shared" si="3"/>
        <v/>
      </c>
      <c r="Q371" s="19" t="str">
        <f ca="1">IFERROR(__xludf.DUMMYFUNCTION("IMPORTXML(AI371, ""//li[strong[text()='US Units:']]"")"),"Loading...")</f>
        <v>Loading...</v>
      </c>
      <c r="R371" s="24"/>
      <c r="S371" s="19" t="str">
        <f ca="1">IFERROR(__xludf.DUMMYFUNCTION("IMPORTXML(AI371, ""//li[strong[text()='International Units:']]"")"),"Loading...")</f>
        <v>Loading...</v>
      </c>
      <c r="T371" s="44"/>
      <c r="U371" s="19" t="str">
        <f ca="1">IFERROR(__xludf.DUMMYFUNCTION("IMPORTXML(AI371, ""//li[strong[text()='Percent Franchised:']]"")"),"Percent Franchised:")</f>
        <v>Percent Franchised:</v>
      </c>
      <c r="V371" s="45">
        <f ca="1">IFERROR(__xludf.DUMMYFUNCTION("""COMPUTED_VALUE"""),1)</f>
        <v>1</v>
      </c>
      <c r="W371" s="19" t="str">
        <f ca="1">IFERROR(__xludf.DUMMYFUNCTION("IMPORTXML(AI371, ""//li[strong[text()='% International Units:']]"")"),"Loading...")</f>
        <v>Loading...</v>
      </c>
      <c r="X371" s="24"/>
      <c r="Y371" s="19" t="str">
        <f ca="1">IFERROR(__xludf.DUMMYFUNCTION("IMPORTXML(AI371, ""//li[strong[text()='US Franchised Units:']]"")"),"Loading...")</f>
        <v>Loading...</v>
      </c>
      <c r="Z371" s="24"/>
      <c r="AA371" s="14" t="str">
        <f t="shared" si="4"/>
        <v/>
      </c>
      <c r="AB371" s="19" t="str">
        <f ca="1">IFERROR(__xludf.DUMMYFUNCTION("IMPORTXML(AI371, ""//li[strong[text()='International Franchised Units:']]"")"),"Loading...")</f>
        <v>Loading...</v>
      </c>
      <c r="AC371" s="24"/>
      <c r="AD371" s="14" t="str">
        <f t="shared" si="5"/>
        <v/>
      </c>
      <c r="AE371" s="25" t="str">
        <f ca="1">IFERROR(__xludf.DUMMYFUNCTION("IMPORTXML(AI371, ""//li[strong[text()='Sales Growth %:']]"")"),"Loading...")</f>
        <v>Loading...</v>
      </c>
      <c r="AF371" s="24"/>
      <c r="AG371" s="25" t="str">
        <f ca="1">IFERROR(__xludf.DUMMYFUNCTION("IMPORTXML(AI371, ""//li[strong[text()='Unit Growth %:']]"")"),"Loading...")</f>
        <v>Loading...</v>
      </c>
      <c r="AH371" s="25"/>
      <c r="AI371" s="48" t="s">
        <v>377</v>
      </c>
      <c r="AJ371" s="27"/>
      <c r="AK371" s="27"/>
      <c r="AL371" s="27"/>
      <c r="AM371" s="27"/>
      <c r="AN371" s="27"/>
      <c r="AO371" s="27"/>
      <c r="AP371" s="27"/>
      <c r="AQ371" s="27"/>
    </row>
    <row r="372" spans="1:43" ht="14.25" customHeight="1">
      <c r="A372" s="42">
        <v>24.371000000000102</v>
      </c>
      <c r="B372" s="14">
        <v>2024</v>
      </c>
      <c r="C372" s="36">
        <v>371</v>
      </c>
      <c r="D372" s="16" t="str">
        <f ca="1">IFERROR(__xludf.DUMMYFUNCTION("IMPORTXML(AI372, ""//h1[@itemprop='headline']/span"")"),"371. MOOYAH Burgers, Fries &amp; Shakes")</f>
        <v>371. MOOYAH Burgers, Fries &amp; Shakes</v>
      </c>
      <c r="E372" s="17" t="str">
        <f ca="1">IFERROR(__xludf.DUMMYFUNCTION("REGEXEXTRACT(D372, ""\.\s*(.+)"")"),"MOOYAH Burgers, Fries &amp; Shakes")</f>
        <v>MOOYAH Burgers, Fries &amp; Shakes</v>
      </c>
      <c r="F372" s="18" t="str">
        <f ca="1">IFERROR(__xludf.DUMMYFUNCTION("IMPORTXML(AI372, ""//li[strong[text()='Investment Range:']]"")"),"Investment Range:")</f>
        <v>Investment Range:</v>
      </c>
      <c r="G372" s="43" t="str">
        <f ca="1">IFERROR(__xludf.DUMMYFUNCTION("""COMPUTED_VALUE""")," $371,731 - $1,080,350")</f>
        <v xml:space="preserve"> $371,731 - $1,080,350</v>
      </c>
      <c r="H372" s="18" t="str">
        <f ca="1">IFERROR(__xludf.DUMMYFUNCTION("SUBSTITUTE(REGEXEXTRACT(G372, ""\$(\d{1,3}(?:,\d{3})*)""), "","", ""."")
"),"371.731")</f>
        <v>371.731</v>
      </c>
      <c r="I372" s="19" t="str">
        <f ca="1">IFERROR(__xludf.DUMMYFUNCTION("SUBSTITUTE(REGEXEXTRACT(G372, ""-\s*\$(\d{1,3}(?:,\d{3})*)""), "","", ""."")
"),"1.080.350")</f>
        <v>1.080.350</v>
      </c>
      <c r="J372" s="19" t="str">
        <f ca="1">IFERROR(__xludf.DUMMYFUNCTION("IMPORTXML(AI372, ""//li[strong[text()='Initial Investment:']]"")"),"Loading...")</f>
        <v>Loading...</v>
      </c>
      <c r="K372" s="24"/>
      <c r="L372" s="20" t="str">
        <f ca="1">IFERROR(__xludf.DUMMYFUNCTION("IMPORTXML(AI372, ""//li[strong[text()='Category:']]"")"),"Loading...")</f>
        <v>Loading...</v>
      </c>
      <c r="M372" s="24"/>
      <c r="N372" s="19" t="str">
        <f ca="1">IFERROR(__xludf.DUMMYFUNCTION("IMPORTXML(AI372, ""//li[strong[text()='Global Sales:']]"")"),"Loading...")</f>
        <v>Loading...</v>
      </c>
      <c r="O372" s="24"/>
      <c r="P372" s="19" t="str">
        <f t="shared" si="3"/>
        <v/>
      </c>
      <c r="Q372" s="19" t="str">
        <f ca="1">IFERROR(__xludf.DUMMYFUNCTION("IMPORTXML(AI372, ""//li[strong[text()='US Units:']]"")"),"Loading...")</f>
        <v>Loading...</v>
      </c>
      <c r="R372" s="24"/>
      <c r="S372" s="19" t="str">
        <f ca="1">IFERROR(__xludf.DUMMYFUNCTION("IMPORTXML(AI372, ""//li[strong[text()='International Units:']]"")"),"Loading...")</f>
        <v>Loading...</v>
      </c>
      <c r="T372" s="44"/>
      <c r="U372" s="19" t="str">
        <f ca="1">IFERROR(__xludf.DUMMYFUNCTION("IMPORTXML(AI372, ""//li[strong[text()='Percent Franchised:']]"")"),"Loading...")</f>
        <v>Loading...</v>
      </c>
      <c r="V372" s="24"/>
      <c r="W372" s="19" t="str">
        <f ca="1">IFERROR(__xludf.DUMMYFUNCTION("IMPORTXML(AI372, ""//li[strong[text()='% International Units:']]"")"),"Loading...")</f>
        <v>Loading...</v>
      </c>
      <c r="X372" s="24"/>
      <c r="Y372" s="19" t="str">
        <f ca="1">IFERROR(__xludf.DUMMYFUNCTION("IMPORTXML(AI372, ""//li[strong[text()='US Franchised Units:']]"")"),"Loading...")</f>
        <v>Loading...</v>
      </c>
      <c r="Z372" s="24"/>
      <c r="AA372" s="14" t="str">
        <f t="shared" si="4"/>
        <v/>
      </c>
      <c r="AB372" s="19" t="str">
        <f ca="1">IFERROR(__xludf.DUMMYFUNCTION("IMPORTXML(AI372, ""//li[strong[text()='International Franchised Units:']]"")"),"Loading...")</f>
        <v>Loading...</v>
      </c>
      <c r="AC372" s="24"/>
      <c r="AD372" s="14" t="str">
        <f t="shared" si="5"/>
        <v/>
      </c>
      <c r="AE372" s="25" t="str">
        <f ca="1">IFERROR(__xludf.DUMMYFUNCTION("IMPORTXML(AI372, ""//li[strong[text()='Sales Growth %:']]"")"),"Loading...")</f>
        <v>Loading...</v>
      </c>
      <c r="AF372" s="24"/>
      <c r="AG372" s="25" t="str">
        <f ca="1">IFERROR(__xludf.DUMMYFUNCTION("IMPORTXML(AI372, ""//li[strong[text()='Unit Growth %:']]"")"),"Loading...")</f>
        <v>Loading...</v>
      </c>
      <c r="AH372" s="25"/>
      <c r="AI372" s="48" t="s">
        <v>378</v>
      </c>
      <c r="AJ372" s="27"/>
      <c r="AK372" s="27"/>
      <c r="AL372" s="27"/>
      <c r="AM372" s="27"/>
      <c r="AN372" s="27"/>
      <c r="AO372" s="27"/>
      <c r="AP372" s="27"/>
      <c r="AQ372" s="27"/>
    </row>
    <row r="373" spans="1:43" ht="14.25" customHeight="1">
      <c r="A373" s="42">
        <v>24.372000000000099</v>
      </c>
      <c r="B373" s="14">
        <v>2024</v>
      </c>
      <c r="C373" s="15">
        <v>372</v>
      </c>
      <c r="D373" s="16" t="str">
        <f ca="1">IFERROR(__xludf.DUMMYFUNCTION("IMPORTXML(AI373, ""//h1[@itemprop='headline']/span"")"),"372. 100% Chiropractic")</f>
        <v>372. 100% Chiropractic</v>
      </c>
      <c r="E373" s="17" t="str">
        <f ca="1">IFERROR(__xludf.DUMMYFUNCTION("REGEXEXTRACT(D373, ""\.\s*(.+)"")"),"100% Chiropractic")</f>
        <v>100% Chiropractic</v>
      </c>
      <c r="F373" s="18" t="str">
        <f ca="1">IFERROR(__xludf.DUMMYFUNCTION("IMPORTXML(AI373, ""//li[strong[text()='Investment Range:']]"")"),"#N/A")</f>
        <v>#N/A</v>
      </c>
      <c r="G373" s="43"/>
      <c r="H373" s="18" t="str">
        <f ca="1">IFERROR(__xludf.DUMMYFUNCTION("SUBSTITUTE(REGEXEXTRACT(G373, ""\$(\d{1,3}(?:,\d{3})*)""), "","", ""."")
"),"#N/A")</f>
        <v>#N/A</v>
      </c>
      <c r="I373" s="19" t="str">
        <f ca="1">IFERROR(__xludf.DUMMYFUNCTION("SUBSTITUTE(REGEXEXTRACT(G373, ""-\s*\$(\d{1,3}(?:,\d{3})*)""), "","", ""."")
"),"#N/A")</f>
        <v>#N/A</v>
      </c>
      <c r="J373" s="19" t="str">
        <f ca="1">IFERROR(__xludf.DUMMYFUNCTION("IMPORTXML(AI373, ""//li[strong[text()='Initial Investment:']]"")"),"Loading...")</f>
        <v>Loading...</v>
      </c>
      <c r="K373" s="24"/>
      <c r="L373" s="20" t="str">
        <f ca="1">IFERROR(__xludf.DUMMYFUNCTION("IMPORTXML(AI373, ""//li[strong[text()='Category:']]"")"),"Loading...")</f>
        <v>Loading...</v>
      </c>
      <c r="M373" s="24"/>
      <c r="N373" s="19" t="str">
        <f ca="1">IFERROR(__xludf.DUMMYFUNCTION("IMPORTXML(AI373, ""//li[strong[text()='Global Sales:']]"")"),"#N/A")</f>
        <v>#N/A</v>
      </c>
      <c r="O373" s="24"/>
      <c r="P373" s="19" t="str">
        <f t="shared" si="3"/>
        <v/>
      </c>
      <c r="Q373" s="19" t="str">
        <f ca="1">IFERROR(__xludf.DUMMYFUNCTION("IMPORTXML(AI373, ""//li[strong[text()='US Units:']]"")"),"Loading...")</f>
        <v>Loading...</v>
      </c>
      <c r="R373" s="24"/>
      <c r="S373" s="19" t="str">
        <f ca="1">IFERROR(__xludf.DUMMYFUNCTION("IMPORTXML(AI373, ""//li[strong[text()='International Units:']]"")"),"Loading...")</f>
        <v>Loading...</v>
      </c>
      <c r="T373" s="44"/>
      <c r="U373" s="19" t="str">
        <f ca="1">IFERROR(__xludf.DUMMYFUNCTION("IMPORTXML(AI373, ""//li[strong[text()='Percent Franchised:']]"")"),"Loading...")</f>
        <v>Loading...</v>
      </c>
      <c r="V373" s="24"/>
      <c r="W373" s="19" t="str">
        <f ca="1">IFERROR(__xludf.DUMMYFUNCTION("IMPORTXML(AI373, ""//li[strong[text()='% International Units:']]"")"),"Loading...")</f>
        <v>Loading...</v>
      </c>
      <c r="X373" s="24"/>
      <c r="Y373" s="19" t="str">
        <f ca="1">IFERROR(__xludf.DUMMYFUNCTION("IMPORTXML(AI373, ""//li[strong[text()='US Franchised Units:']]"")"),"Loading...")</f>
        <v>Loading...</v>
      </c>
      <c r="Z373" s="24"/>
      <c r="AA373" s="14" t="str">
        <f t="shared" si="4"/>
        <v/>
      </c>
      <c r="AB373" s="19" t="str">
        <f ca="1">IFERROR(__xludf.DUMMYFUNCTION("IMPORTXML(AI373, ""//li[strong[text()='International Franchised Units:']]"")"),"Loading...")</f>
        <v>Loading...</v>
      </c>
      <c r="AC373" s="24"/>
      <c r="AD373" s="14" t="str">
        <f t="shared" si="5"/>
        <v/>
      </c>
      <c r="AE373" s="25" t="str">
        <f ca="1">IFERROR(__xludf.DUMMYFUNCTION("IMPORTXML(AI373, ""//li[strong[text()='Sales Growth %:']]"")"),"Loading...")</f>
        <v>Loading...</v>
      </c>
      <c r="AF373" s="24"/>
      <c r="AG373" s="25" t="str">
        <f ca="1">IFERROR(__xludf.DUMMYFUNCTION("IMPORTXML(AI373, ""//li[strong[text()='Unit Growth %:']]"")"),"Loading...")</f>
        <v>Loading...</v>
      </c>
      <c r="AH373" s="25"/>
      <c r="AI373" s="48" t="s">
        <v>379</v>
      </c>
      <c r="AJ373" s="27"/>
      <c r="AK373" s="27"/>
      <c r="AL373" s="27"/>
      <c r="AM373" s="27"/>
      <c r="AN373" s="27"/>
      <c r="AO373" s="27"/>
      <c r="AP373" s="27"/>
      <c r="AQ373" s="27"/>
    </row>
    <row r="374" spans="1:43" ht="14.25" customHeight="1">
      <c r="A374" s="42">
        <v>24.373000000000101</v>
      </c>
      <c r="B374" s="14">
        <v>2024</v>
      </c>
      <c r="C374" s="32">
        <v>373</v>
      </c>
      <c r="D374" s="16" t="str">
        <f ca="1">IFERROR(__xludf.DUMMYFUNCTION("IMPORTXML(AI374, ""//h1[@itemprop='headline']/span"")"),"373. Port of Subs")</f>
        <v>373. Port of Subs</v>
      </c>
      <c r="E374" s="17" t="str">
        <f ca="1">IFERROR(__xludf.DUMMYFUNCTION("REGEXEXTRACT(D374, ""\.\s*(.+)"")"),"Port of Subs")</f>
        <v>Port of Subs</v>
      </c>
      <c r="F374" s="18" t="str">
        <f ca="1">IFERROR(__xludf.DUMMYFUNCTION("IMPORTXML(AI374, ""//li[strong[text()='Investment Range:']]"")"),"#REF!")</f>
        <v>#REF!</v>
      </c>
      <c r="G374" s="43"/>
      <c r="H374" s="18" t="str">
        <f ca="1">IFERROR(__xludf.DUMMYFUNCTION("SUBSTITUTE(REGEXEXTRACT(G374, ""\$(\d{1,3}(?:,\d{3})*)""), "","", ""."")
"),"#N/A")</f>
        <v>#N/A</v>
      </c>
      <c r="I374" s="19" t="str">
        <f ca="1">IFERROR(__xludf.DUMMYFUNCTION("SUBSTITUTE(REGEXEXTRACT(G374, ""-\s*\$(\d{1,3}(?:,\d{3})*)""), "","", ""."")
"),"#N/A")</f>
        <v>#N/A</v>
      </c>
      <c r="J374" s="19" t="str">
        <f ca="1">IFERROR(__xludf.DUMMYFUNCTION("IMPORTXML(AI374, ""//li[strong[text()='Initial Investment:']]"")"),"Loading...")</f>
        <v>Loading...</v>
      </c>
      <c r="K374" s="24"/>
      <c r="L374" s="20" t="str">
        <f ca="1">IFERROR(__xludf.DUMMYFUNCTION("IMPORTXML(AI374, ""//li[strong[text()='Category:']]"")"),"Loading...")</f>
        <v>Loading...</v>
      </c>
      <c r="M374" s="24"/>
      <c r="N374" s="19" t="str">
        <f ca="1">IFERROR(__xludf.DUMMYFUNCTION("IMPORTXML(AI374, ""//li[strong[text()='Global Sales:']]"")"),"Loading...")</f>
        <v>Loading...</v>
      </c>
      <c r="O374" s="24"/>
      <c r="P374" s="19" t="str">
        <f t="shared" si="3"/>
        <v/>
      </c>
      <c r="Q374" s="19" t="str">
        <f ca="1">IFERROR(__xludf.DUMMYFUNCTION("IMPORTXML(AI374, ""//li[strong[text()='US Units:']]"")"),"Loading...")</f>
        <v>Loading...</v>
      </c>
      <c r="R374" s="24"/>
      <c r="S374" s="19" t="str">
        <f ca="1">IFERROR(__xludf.DUMMYFUNCTION("IMPORTXML(AI374, ""//li[strong[text()='International Units:']]"")"),"Loading...")</f>
        <v>Loading...</v>
      </c>
      <c r="T374" s="44"/>
      <c r="U374" s="19" t="str">
        <f ca="1">IFERROR(__xludf.DUMMYFUNCTION("IMPORTXML(AI374, ""//li[strong[text()='Percent Franchised:']]"")"),"Loading...")</f>
        <v>Loading...</v>
      </c>
      <c r="V374" s="24"/>
      <c r="W374" s="19" t="str">
        <f ca="1">IFERROR(__xludf.DUMMYFUNCTION("IMPORTXML(AI374, ""//li[strong[text()='% International Units:']]"")"),"Loading...")</f>
        <v>Loading...</v>
      </c>
      <c r="X374" s="24"/>
      <c r="Y374" s="19" t="str">
        <f ca="1">IFERROR(__xludf.DUMMYFUNCTION("IMPORTXML(AI374, ""//li[strong[text()='US Franchised Units:']]"")"),"Loading...")</f>
        <v>Loading...</v>
      </c>
      <c r="Z374" s="24"/>
      <c r="AA374" s="14" t="str">
        <f t="shared" si="4"/>
        <v/>
      </c>
      <c r="AB374" s="19" t="str">
        <f ca="1">IFERROR(__xludf.DUMMYFUNCTION("IMPORTXML(AI374, ""//li[strong[text()='International Franchised Units:']]"")"),"Loading...")</f>
        <v>Loading...</v>
      </c>
      <c r="AC374" s="24"/>
      <c r="AD374" s="14" t="str">
        <f t="shared" si="5"/>
        <v/>
      </c>
      <c r="AE374" s="25" t="str">
        <f ca="1">IFERROR(__xludf.DUMMYFUNCTION("IMPORTXML(AI374, ""//li[strong[text()='Sales Growth %:']]"")"),"Loading...")</f>
        <v>Loading...</v>
      </c>
      <c r="AF374" s="24"/>
      <c r="AG374" s="25" t="str">
        <f ca="1">IFERROR(__xludf.DUMMYFUNCTION("IMPORTXML(AI374, ""//li[strong[text()='Unit Growth %:']]"")"),"Loading...")</f>
        <v>Loading...</v>
      </c>
      <c r="AH374" s="25"/>
      <c r="AI374" s="48" t="s">
        <v>380</v>
      </c>
      <c r="AJ374" s="27"/>
      <c r="AK374" s="27"/>
      <c r="AL374" s="27"/>
      <c r="AM374" s="27"/>
      <c r="AN374" s="27"/>
      <c r="AO374" s="27"/>
      <c r="AP374" s="27"/>
      <c r="AQ374" s="27"/>
    </row>
    <row r="375" spans="1:43" ht="14.25" customHeight="1">
      <c r="A375" s="42">
        <v>24.374000000000098</v>
      </c>
      <c r="B375" s="14">
        <v>2024</v>
      </c>
      <c r="C375" s="36">
        <v>374</v>
      </c>
      <c r="D375" s="16" t="str">
        <f ca="1">IFERROR(__xludf.DUMMYFUNCTION("IMPORTXML(AI375, ""//h1[@itemprop='headline']/span"")"),"Loading...")</f>
        <v>Loading...</v>
      </c>
      <c r="E375" s="17" t="str">
        <f ca="1">IFERROR(__xludf.DUMMYFUNCTION("REGEXEXTRACT(D375, ""\.\s*(.+)"")"),"Loading...")</f>
        <v>Loading...</v>
      </c>
      <c r="F375" s="18" t="str">
        <f ca="1">IFERROR(__xludf.DUMMYFUNCTION("IMPORTXML(AI375, ""//li[strong[text()='Investment Range:']]"")"),"Investment Range:")</f>
        <v>Investment Range:</v>
      </c>
      <c r="G375" s="43" t="str">
        <f ca="1">IFERROR(__xludf.DUMMYFUNCTION("""COMPUTED_VALUE""")," $399,370 - $462,097")</f>
        <v xml:space="preserve"> $399,370 - $462,097</v>
      </c>
      <c r="H375" s="18" t="str">
        <f ca="1">IFERROR(__xludf.DUMMYFUNCTION("SUBSTITUTE(REGEXEXTRACT(G375, ""\$(\d{1,3}(?:,\d{3})*)""), "","", ""."")
"),"399.370")</f>
        <v>399.370</v>
      </c>
      <c r="I375" s="19" t="str">
        <f ca="1">IFERROR(__xludf.DUMMYFUNCTION("SUBSTITUTE(REGEXEXTRACT(G375, ""-\s*\$(\d{1,3}(?:,\d{3})*)""), "","", ""."")
"),"462.097")</f>
        <v>462.097</v>
      </c>
      <c r="J375" s="19" t="str">
        <f ca="1">IFERROR(__xludf.DUMMYFUNCTION("IMPORTXML(AI375, ""//li[strong[text()='Initial Investment:']]"")"),"Loading...")</f>
        <v>Loading...</v>
      </c>
      <c r="K375" s="24"/>
      <c r="L375" s="20" t="str">
        <f ca="1">IFERROR(__xludf.DUMMYFUNCTION("IMPORTXML(AI375, ""//li[strong[text()='Category:']]"")"),"Loading...")</f>
        <v>Loading...</v>
      </c>
      <c r="M375" s="24"/>
      <c r="N375" s="19" t="str">
        <f ca="1">IFERROR(__xludf.DUMMYFUNCTION("IMPORTXML(AI375, ""//li[strong[text()='Global Sales:']]"")"),"Loading...")</f>
        <v>Loading...</v>
      </c>
      <c r="O375" s="24"/>
      <c r="P375" s="19" t="str">
        <f t="shared" si="3"/>
        <v/>
      </c>
      <c r="Q375" s="19" t="str">
        <f ca="1">IFERROR(__xludf.DUMMYFUNCTION("IMPORTXML(AI375, ""//li[strong[text()='US Units:']]"")"),"Loading...")</f>
        <v>Loading...</v>
      </c>
      <c r="R375" s="24"/>
      <c r="S375" s="19" t="str">
        <f ca="1">IFERROR(__xludf.DUMMYFUNCTION("IMPORTXML(AI375, ""//li[strong[text()='International Units:']]"")"),"Loading...")</f>
        <v>Loading...</v>
      </c>
      <c r="T375" s="44"/>
      <c r="U375" s="19" t="str">
        <f ca="1">IFERROR(__xludf.DUMMYFUNCTION("IMPORTXML(AI375, ""//li[strong[text()='Percent Franchised:']]"")"),"Loading...")</f>
        <v>Loading...</v>
      </c>
      <c r="V375" s="24"/>
      <c r="W375" s="19" t="str">
        <f ca="1">IFERROR(__xludf.DUMMYFUNCTION("IMPORTXML(AI375, ""//li[strong[text()='% International Units:']]"")"),"Loading...")</f>
        <v>Loading...</v>
      </c>
      <c r="X375" s="24"/>
      <c r="Y375" s="19" t="str">
        <f ca="1">IFERROR(__xludf.DUMMYFUNCTION("IMPORTXML(AI375, ""//li[strong[text()='US Franchised Units:']]"")"),"Loading...")</f>
        <v>Loading...</v>
      </c>
      <c r="Z375" s="24"/>
      <c r="AA375" s="14" t="str">
        <f t="shared" si="4"/>
        <v/>
      </c>
      <c r="AB375" s="19" t="str">
        <f ca="1">IFERROR(__xludf.DUMMYFUNCTION("IMPORTXML(AI375, ""//li[strong[text()='International Franchised Units:']]"")"),"Loading...")</f>
        <v>Loading...</v>
      </c>
      <c r="AC375" s="24"/>
      <c r="AD375" s="14" t="str">
        <f t="shared" si="5"/>
        <v/>
      </c>
      <c r="AE375" s="25" t="str">
        <f ca="1">IFERROR(__xludf.DUMMYFUNCTION("IMPORTXML(AI375, ""//li[strong[text()='Sales Growth %:']]"")"),"Loading...")</f>
        <v>Loading...</v>
      </c>
      <c r="AF375" s="24"/>
      <c r="AG375" s="25" t="str">
        <f ca="1">IFERROR(__xludf.DUMMYFUNCTION("IMPORTXML(AI375, ""//li[strong[text()='Unit Growth %:']]"")"),"Loading...")</f>
        <v>Loading...</v>
      </c>
      <c r="AH375" s="25"/>
      <c r="AI375" s="48" t="s">
        <v>381</v>
      </c>
      <c r="AJ375" s="27"/>
      <c r="AK375" s="27"/>
      <c r="AL375" s="27"/>
      <c r="AM375" s="27"/>
      <c r="AN375" s="27"/>
      <c r="AO375" s="27"/>
      <c r="AP375" s="27"/>
      <c r="AQ375" s="27"/>
    </row>
    <row r="376" spans="1:43" ht="14.25" customHeight="1">
      <c r="A376" s="42">
        <v>24.375000000000099</v>
      </c>
      <c r="B376" s="14">
        <v>2024</v>
      </c>
      <c r="C376" s="36">
        <v>375</v>
      </c>
      <c r="D376" s="16" t="str">
        <f ca="1">IFERROR(__xludf.DUMMYFUNCTION("IMPORTXML(AI376, ""//h1[@itemprop='headline']/span"")"),"375. Five Star Bath Solutions")</f>
        <v>375. Five Star Bath Solutions</v>
      </c>
      <c r="E376" s="17" t="str">
        <f ca="1">IFERROR(__xludf.DUMMYFUNCTION("REGEXEXTRACT(D376, ""\.\s*(.+)"")"),"Five Star Bath Solutions")</f>
        <v>Five Star Bath Solutions</v>
      </c>
      <c r="F376" s="18" t="str">
        <f ca="1">IFERROR(__xludf.DUMMYFUNCTION("IMPORTXML(AI376, ""//li[strong[text()='Investment Range:']]"")"),"Investment Range:")</f>
        <v>Investment Range:</v>
      </c>
      <c r="G376" s="43" t="str">
        <f ca="1">IFERROR(__xludf.DUMMYFUNCTION("""COMPUTED_VALUE""")," $125,500 - $266,000")</f>
        <v xml:space="preserve"> $125,500 - $266,000</v>
      </c>
      <c r="H376" s="18" t="str">
        <f ca="1">IFERROR(__xludf.DUMMYFUNCTION("SUBSTITUTE(REGEXEXTRACT(G376, ""\$(\d{1,3}(?:,\d{3})*)""), "","", ""."")
"),"125.500")</f>
        <v>125.500</v>
      </c>
      <c r="I376" s="19" t="str">
        <f ca="1">IFERROR(__xludf.DUMMYFUNCTION("SUBSTITUTE(REGEXEXTRACT(G376, ""-\s*\$(\d{1,3}(?:,\d{3})*)""), "","", ""."")
"),"266.000")</f>
        <v>266.000</v>
      </c>
      <c r="J376" s="19" t="str">
        <f ca="1">IFERROR(__xludf.DUMMYFUNCTION("IMPORTXML(AI376, ""//li[strong[text()='Initial Investment:']]"")"),"Loading...")</f>
        <v>Loading...</v>
      </c>
      <c r="K376" s="24"/>
      <c r="L376" s="20" t="str">
        <f ca="1">IFERROR(__xludf.DUMMYFUNCTION("IMPORTXML(AI376, ""//li[strong[text()='Category:']]"")"),"Loading...")</f>
        <v>Loading...</v>
      </c>
      <c r="M376" s="24"/>
      <c r="N376" s="19" t="str">
        <f ca="1">IFERROR(__xludf.DUMMYFUNCTION("IMPORTXML(AI376, ""//li[strong[text()='Global Sales:']]"")"),"Loading...")</f>
        <v>Loading...</v>
      </c>
      <c r="O376" s="24"/>
      <c r="P376" s="19" t="str">
        <f t="shared" si="3"/>
        <v/>
      </c>
      <c r="Q376" s="19" t="str">
        <f ca="1">IFERROR(__xludf.DUMMYFUNCTION("IMPORTXML(AI376, ""//li[strong[text()='US Units:']]"")"),"Loading...")</f>
        <v>Loading...</v>
      </c>
      <c r="R376" s="24"/>
      <c r="S376" s="19" t="str">
        <f ca="1">IFERROR(__xludf.DUMMYFUNCTION("IMPORTXML(AI376, ""//li[strong[text()='International Units:']]"")"),"Loading...")</f>
        <v>Loading...</v>
      </c>
      <c r="T376" s="44"/>
      <c r="U376" s="19" t="str">
        <f ca="1">IFERROR(__xludf.DUMMYFUNCTION("IMPORTXML(AI376, ""//li[strong[text()='Percent Franchised:']]"")"),"Loading...")</f>
        <v>Loading...</v>
      </c>
      <c r="V376" s="24"/>
      <c r="W376" s="19" t="str">
        <f ca="1">IFERROR(__xludf.DUMMYFUNCTION("IMPORTXML(AI376, ""//li[strong[text()='% International Units:']]"")"),"Loading...")</f>
        <v>Loading...</v>
      </c>
      <c r="X376" s="24"/>
      <c r="Y376" s="19" t="str">
        <f ca="1">IFERROR(__xludf.DUMMYFUNCTION("IMPORTXML(AI376, ""//li[strong[text()='US Franchised Units:']]"")"),"Loading...")</f>
        <v>Loading...</v>
      </c>
      <c r="Z376" s="24"/>
      <c r="AA376" s="14" t="str">
        <f t="shared" si="4"/>
        <v/>
      </c>
      <c r="AB376" s="19" t="str">
        <f ca="1">IFERROR(__xludf.DUMMYFUNCTION("IMPORTXML(AI376, ""//li[strong[text()='International Franchised Units:']]"")"),"Loading...")</f>
        <v>Loading...</v>
      </c>
      <c r="AC376" s="24"/>
      <c r="AD376" s="14" t="str">
        <f t="shared" si="5"/>
        <v/>
      </c>
      <c r="AE376" s="25" t="str">
        <f ca="1">IFERROR(__xludf.DUMMYFUNCTION("IMPORTXML(AI376, ""//li[strong[text()='Sales Growth %:']]"")"),"Loading...")</f>
        <v>Loading...</v>
      </c>
      <c r="AF376" s="24"/>
      <c r="AG376" s="25" t="str">
        <f ca="1">IFERROR(__xludf.DUMMYFUNCTION("IMPORTXML(AI376, ""//li[strong[text()='Unit Growth %:']]"")"),"Loading...")</f>
        <v>Loading...</v>
      </c>
      <c r="AH376" s="25"/>
      <c r="AI376" s="48" t="s">
        <v>382</v>
      </c>
      <c r="AJ376" s="27"/>
      <c r="AK376" s="27"/>
      <c r="AL376" s="27"/>
      <c r="AM376" s="27"/>
      <c r="AN376" s="27"/>
      <c r="AO376" s="27"/>
      <c r="AP376" s="27"/>
      <c r="AQ376" s="27"/>
    </row>
    <row r="377" spans="1:43" ht="14.25" customHeight="1">
      <c r="A377" s="42">
        <v>24.376000000000101</v>
      </c>
      <c r="B377" s="14">
        <v>2024</v>
      </c>
      <c r="C377" s="15">
        <v>376</v>
      </c>
      <c r="D377" s="16" t="str">
        <f ca="1">IFERROR(__xludf.DUMMYFUNCTION("IMPORTXML(AI377, ""//h1[@itemprop='headline']/span"")"),"376. Gus's World Famous Fried Chicken")</f>
        <v>376. Gus's World Famous Fried Chicken</v>
      </c>
      <c r="E377" s="17" t="str">
        <f ca="1">IFERROR(__xludf.DUMMYFUNCTION("REGEXEXTRACT(D377, ""\.\s*(.+)"")"),"Gus's World Famous Fried Chicken")</f>
        <v>Gus's World Famous Fried Chicken</v>
      </c>
      <c r="F377" s="18" t="str">
        <f ca="1">IFERROR(__xludf.DUMMYFUNCTION("IMPORTXML(AI377, ""//li[strong[text()='Investment Range:']]"")"),"Investment Range:")</f>
        <v>Investment Range:</v>
      </c>
      <c r="G377" s="43" t="str">
        <f ca="1">IFERROR(__xludf.DUMMYFUNCTION("""COMPUTED_VALUE""")," $551,500 - $1,254,500")</f>
        <v xml:space="preserve"> $551,500 - $1,254,500</v>
      </c>
      <c r="H377" s="18" t="str">
        <f ca="1">IFERROR(__xludf.DUMMYFUNCTION("SUBSTITUTE(REGEXEXTRACT(G377, ""\$(\d{1,3}(?:,\d{3})*)""), "","", ""."")
"),"551.500")</f>
        <v>551.500</v>
      </c>
      <c r="I377" s="19" t="str">
        <f ca="1">IFERROR(__xludf.DUMMYFUNCTION("SUBSTITUTE(REGEXEXTRACT(G377, ""-\s*\$(\d{1,3}(?:,\d{3})*)""), "","", ""."")
"),"1.254.500")</f>
        <v>1.254.500</v>
      </c>
      <c r="J377" s="19" t="str">
        <f ca="1">IFERROR(__xludf.DUMMYFUNCTION("IMPORTXML(AI377, ""//li[strong[text()='Initial Investment:']]"")"),"Loading...")</f>
        <v>Loading...</v>
      </c>
      <c r="K377" s="24"/>
      <c r="L377" s="20" t="str">
        <f ca="1">IFERROR(__xludf.DUMMYFUNCTION("IMPORTXML(AI377, ""//li[strong[text()='Category:']]"")"),"Loading...")</f>
        <v>Loading...</v>
      </c>
      <c r="M377" s="24"/>
      <c r="N377" s="19" t="str">
        <f ca="1">IFERROR(__xludf.DUMMYFUNCTION("IMPORTXML(AI377, ""//li[strong[text()='Global Sales:']]"")"),"Loading...")</f>
        <v>Loading...</v>
      </c>
      <c r="O377" s="24"/>
      <c r="P377" s="19" t="str">
        <f t="shared" si="3"/>
        <v/>
      </c>
      <c r="Q377" s="19" t="str">
        <f ca="1">IFERROR(__xludf.DUMMYFUNCTION("IMPORTXML(AI377, ""//li[strong[text()='US Units:']]"")"),"Loading...")</f>
        <v>Loading...</v>
      </c>
      <c r="R377" s="24"/>
      <c r="S377" s="19" t="str">
        <f ca="1">IFERROR(__xludf.DUMMYFUNCTION("IMPORTXML(AI377, ""//li[strong[text()='International Units:']]"")"),"Loading...")</f>
        <v>Loading...</v>
      </c>
      <c r="T377" s="44"/>
      <c r="U377" s="19" t="str">
        <f ca="1">IFERROR(__xludf.DUMMYFUNCTION("IMPORTXML(AI377, ""//li[strong[text()='Percent Franchised:']]"")"),"Loading...")</f>
        <v>Loading...</v>
      </c>
      <c r="V377" s="24"/>
      <c r="W377" s="19" t="str">
        <f ca="1">IFERROR(__xludf.DUMMYFUNCTION("IMPORTXML(AI377, ""//li[strong[text()='% International Units:']]"")"),"Loading...")</f>
        <v>Loading...</v>
      </c>
      <c r="X377" s="24"/>
      <c r="Y377" s="19" t="str">
        <f ca="1">IFERROR(__xludf.DUMMYFUNCTION("IMPORTXML(AI377, ""//li[strong[text()='US Franchised Units:']]"")"),"Loading...")</f>
        <v>Loading...</v>
      </c>
      <c r="Z377" s="24"/>
      <c r="AA377" s="14" t="str">
        <f t="shared" si="4"/>
        <v/>
      </c>
      <c r="AB377" s="19" t="str">
        <f ca="1">IFERROR(__xludf.DUMMYFUNCTION("IMPORTXML(AI377, ""//li[strong[text()='International Franchised Units:']]"")"),"Loading...")</f>
        <v>Loading...</v>
      </c>
      <c r="AC377" s="24"/>
      <c r="AD377" s="14" t="str">
        <f t="shared" si="5"/>
        <v/>
      </c>
      <c r="AE377" s="25" t="str">
        <f ca="1">IFERROR(__xludf.DUMMYFUNCTION("IMPORTXML(AI377, ""//li[strong[text()='Sales Growth %:']]"")"),"Loading...")</f>
        <v>Loading...</v>
      </c>
      <c r="AF377" s="24"/>
      <c r="AG377" s="25" t="str">
        <f ca="1">IFERROR(__xludf.DUMMYFUNCTION("IMPORTXML(AI377, ""//li[strong[text()='Unit Growth %:']]"")"),"Loading...")</f>
        <v>Loading...</v>
      </c>
      <c r="AH377" s="25"/>
      <c r="AI377" s="48" t="s">
        <v>383</v>
      </c>
      <c r="AJ377" s="27"/>
      <c r="AK377" s="27"/>
      <c r="AL377" s="27"/>
      <c r="AM377" s="27"/>
      <c r="AN377" s="27"/>
      <c r="AO377" s="27"/>
      <c r="AP377" s="27"/>
      <c r="AQ377" s="27"/>
    </row>
    <row r="378" spans="1:43" ht="14.25" customHeight="1">
      <c r="A378" s="42">
        <v>24.377000000000098</v>
      </c>
      <c r="B378" s="14">
        <v>2024</v>
      </c>
      <c r="C378" s="32">
        <v>377</v>
      </c>
      <c r="D378" s="16" t="str">
        <f ca="1">IFERROR(__xludf.DUMMYFUNCTION("IMPORTXML(AI378, ""//h1[@itemprop='headline']/span"")"),"377. Roy Rogers")</f>
        <v>377. Roy Rogers</v>
      </c>
      <c r="E378" s="17" t="str">
        <f ca="1">IFERROR(__xludf.DUMMYFUNCTION("REGEXEXTRACT(D378, ""\.\s*(.+)"")"),"Roy Rogers")</f>
        <v>Roy Rogers</v>
      </c>
      <c r="F378" s="18" t="str">
        <f ca="1">IFERROR(__xludf.DUMMYFUNCTION("IMPORTXML(AI378, ""//li[strong[text()='Investment Range:']]"")"),"Investment Range:")</f>
        <v>Investment Range:</v>
      </c>
      <c r="G378" s="43" t="str">
        <f ca="1">IFERROR(__xludf.DUMMYFUNCTION("""COMPUTED_VALUE""")," $1,235,250 - $1,580,950")</f>
        <v xml:space="preserve"> $1,235,250 - $1,580,950</v>
      </c>
      <c r="H378" s="18" t="str">
        <f ca="1">IFERROR(__xludf.DUMMYFUNCTION("SUBSTITUTE(REGEXEXTRACT(G378, ""\$(\d{1,3}(?:,\d{3})*)""), "","", ""."")
"),"1.235.250")</f>
        <v>1.235.250</v>
      </c>
      <c r="I378" s="19" t="str">
        <f ca="1">IFERROR(__xludf.DUMMYFUNCTION("SUBSTITUTE(REGEXEXTRACT(G378, ""-\s*\$(\d{1,3}(?:,\d{3})*)""), "","", ""."")
"),"1.580.950")</f>
        <v>1.580.950</v>
      </c>
      <c r="J378" s="19" t="str">
        <f ca="1">IFERROR(__xludf.DUMMYFUNCTION("IMPORTXML(AI378, ""//li[strong[text()='Initial Investment:']]"")"),"Loading...")</f>
        <v>Loading...</v>
      </c>
      <c r="K378" s="24"/>
      <c r="L378" s="20" t="str">
        <f ca="1">IFERROR(__xludf.DUMMYFUNCTION("IMPORTXML(AI378, ""//li[strong[text()='Category:']]"")"),"Loading...")</f>
        <v>Loading...</v>
      </c>
      <c r="M378" s="24"/>
      <c r="N378" s="19" t="str">
        <f ca="1">IFERROR(__xludf.DUMMYFUNCTION("IMPORTXML(AI378, ""//li[strong[text()='Global Sales:']]"")"),"Loading...")</f>
        <v>Loading...</v>
      </c>
      <c r="O378" s="24"/>
      <c r="P378" s="19" t="str">
        <f t="shared" si="3"/>
        <v/>
      </c>
      <c r="Q378" s="19" t="str">
        <f ca="1">IFERROR(__xludf.DUMMYFUNCTION("IMPORTXML(AI378, ""//li[strong[text()='US Units:']]"")"),"Loading...")</f>
        <v>Loading...</v>
      </c>
      <c r="R378" s="24"/>
      <c r="S378" s="19" t="str">
        <f ca="1">IFERROR(__xludf.DUMMYFUNCTION("IMPORTXML(AI378, ""//li[strong[text()='International Units:']]"")"),"Loading...")</f>
        <v>Loading...</v>
      </c>
      <c r="T378" s="44"/>
      <c r="U378" s="19" t="str">
        <f ca="1">IFERROR(__xludf.DUMMYFUNCTION("IMPORTXML(AI378, ""//li[strong[text()='Percent Franchised:']]"")"),"Loading...")</f>
        <v>Loading...</v>
      </c>
      <c r="V378" s="24"/>
      <c r="W378" s="19" t="str">
        <f ca="1">IFERROR(__xludf.DUMMYFUNCTION("IMPORTXML(AI378, ""//li[strong[text()='% International Units:']]"")"),"Loading...")</f>
        <v>Loading...</v>
      </c>
      <c r="X378" s="24"/>
      <c r="Y378" s="19" t="str">
        <f ca="1">IFERROR(__xludf.DUMMYFUNCTION("IMPORTXML(AI378, ""//li[strong[text()='US Franchised Units:']]"")"),"Loading...")</f>
        <v>Loading...</v>
      </c>
      <c r="Z378" s="24"/>
      <c r="AA378" s="14" t="str">
        <f t="shared" si="4"/>
        <v/>
      </c>
      <c r="AB378" s="19" t="str">
        <f ca="1">IFERROR(__xludf.DUMMYFUNCTION("IMPORTXML(AI378, ""//li[strong[text()='International Franchised Units:']]"")"),"Loading...")</f>
        <v>Loading...</v>
      </c>
      <c r="AC378" s="24"/>
      <c r="AD378" s="14" t="str">
        <f t="shared" si="5"/>
        <v/>
      </c>
      <c r="AE378" s="25" t="str">
        <f ca="1">IFERROR(__xludf.DUMMYFUNCTION("IMPORTXML(AI378, ""//li[strong[text()='Sales Growth %:']]"")"),"Loading...")</f>
        <v>Loading...</v>
      </c>
      <c r="AF378" s="24"/>
      <c r="AG378" s="25" t="str">
        <f ca="1">IFERROR(__xludf.DUMMYFUNCTION("IMPORTXML(AI378, ""//li[strong[text()='Unit Growth %:']]"")"),"Loading...")</f>
        <v>Loading...</v>
      </c>
      <c r="AH378" s="25"/>
      <c r="AI378" s="48" t="s">
        <v>384</v>
      </c>
      <c r="AJ378" s="27"/>
      <c r="AK378" s="27"/>
      <c r="AL378" s="27"/>
      <c r="AM378" s="27"/>
      <c r="AN378" s="27"/>
      <c r="AO378" s="27"/>
      <c r="AP378" s="27"/>
      <c r="AQ378" s="27"/>
    </row>
    <row r="379" spans="1:43" ht="14.25" customHeight="1">
      <c r="A379" s="42">
        <v>24.3780000000001</v>
      </c>
      <c r="B379" s="14">
        <v>2024</v>
      </c>
      <c r="C379" s="36">
        <v>378</v>
      </c>
      <c r="D379" s="16" t="str">
        <f ca="1">IFERROR(__xludf.DUMMYFUNCTION("IMPORTXML(AI379, ""//h1[@itemprop='headline']/span"")"),"378. Rodizio Grill")</f>
        <v>378. Rodizio Grill</v>
      </c>
      <c r="E379" s="17" t="str">
        <f ca="1">IFERROR(__xludf.DUMMYFUNCTION("REGEXEXTRACT(D379, ""\.\s*(.+)"")"),"Rodizio Grill")</f>
        <v>Rodizio Grill</v>
      </c>
      <c r="F379" s="18" t="str">
        <f ca="1">IFERROR(__xludf.DUMMYFUNCTION("IMPORTXML(AI379, ""//li[strong[text()='Investment Range:']]"")"),"Investment Range:")</f>
        <v>Investment Range:</v>
      </c>
      <c r="G379" s="43" t="str">
        <f ca="1">IFERROR(__xludf.DUMMYFUNCTION("""COMPUTED_VALUE""")," $629,000 - $1,634,000")</f>
        <v xml:space="preserve"> $629,000 - $1,634,000</v>
      </c>
      <c r="H379" s="18" t="str">
        <f ca="1">IFERROR(__xludf.DUMMYFUNCTION("SUBSTITUTE(REGEXEXTRACT(G379, ""\$(\d{1,3}(?:,\d{3})*)""), "","", ""."")
"),"629.000")</f>
        <v>629.000</v>
      </c>
      <c r="I379" s="19" t="str">
        <f ca="1">IFERROR(__xludf.DUMMYFUNCTION("SUBSTITUTE(REGEXEXTRACT(G379, ""-\s*\$(\d{1,3}(?:,\d{3})*)""), "","", ""."")
"),"1.634.000")</f>
        <v>1.634.000</v>
      </c>
      <c r="J379" s="19" t="str">
        <f ca="1">IFERROR(__xludf.DUMMYFUNCTION("IMPORTXML(AI379, ""//li[strong[text()='Initial Investment:']]"")"),"Loading...")</f>
        <v>Loading...</v>
      </c>
      <c r="K379" s="24"/>
      <c r="L379" s="20" t="str">
        <f ca="1">IFERROR(__xludf.DUMMYFUNCTION("IMPORTXML(AI379, ""//li[strong[text()='Category:']]"")"),"Loading...")</f>
        <v>Loading...</v>
      </c>
      <c r="M379" s="24"/>
      <c r="N379" s="19" t="str">
        <f ca="1">IFERROR(__xludf.DUMMYFUNCTION("IMPORTXML(AI379, ""//li[strong[text()='Global Sales:']]"")"),"Loading...")</f>
        <v>Loading...</v>
      </c>
      <c r="O379" s="24"/>
      <c r="P379" s="19" t="str">
        <f t="shared" si="3"/>
        <v/>
      </c>
      <c r="Q379" s="19" t="str">
        <f ca="1">IFERROR(__xludf.DUMMYFUNCTION("IMPORTXML(AI379, ""//li[strong[text()='US Units:']]"")"),"Loading...")</f>
        <v>Loading...</v>
      </c>
      <c r="R379" s="24"/>
      <c r="S379" s="19" t="str">
        <f ca="1">IFERROR(__xludf.DUMMYFUNCTION("IMPORTXML(AI379, ""//li[strong[text()='International Units:']]"")"),"Loading...")</f>
        <v>Loading...</v>
      </c>
      <c r="T379" s="44"/>
      <c r="U379" s="19" t="str">
        <f ca="1">IFERROR(__xludf.DUMMYFUNCTION("IMPORTXML(AI379, ""//li[strong[text()='Percent Franchised:']]"")"),"Loading...")</f>
        <v>Loading...</v>
      </c>
      <c r="V379" s="24"/>
      <c r="W379" s="19" t="str">
        <f ca="1">IFERROR(__xludf.DUMMYFUNCTION("IMPORTXML(AI379, ""//li[strong[text()='% International Units:']]"")"),"Loading...")</f>
        <v>Loading...</v>
      </c>
      <c r="X379" s="24"/>
      <c r="Y379" s="19" t="str">
        <f ca="1">IFERROR(__xludf.DUMMYFUNCTION("IMPORTXML(AI379, ""//li[strong[text()='US Franchised Units:']]"")"),"Loading...")</f>
        <v>Loading...</v>
      </c>
      <c r="Z379" s="24"/>
      <c r="AA379" s="14" t="str">
        <f t="shared" si="4"/>
        <v/>
      </c>
      <c r="AB379" s="19" t="str">
        <f ca="1">IFERROR(__xludf.DUMMYFUNCTION("IMPORTXML(AI379, ""//li[strong[text()='International Franchised Units:']]"")"),"Loading...")</f>
        <v>Loading...</v>
      </c>
      <c r="AC379" s="24"/>
      <c r="AD379" s="14" t="str">
        <f t="shared" si="5"/>
        <v/>
      </c>
      <c r="AE379" s="25" t="str">
        <f ca="1">IFERROR(__xludf.DUMMYFUNCTION("IMPORTXML(AI379, ""//li[strong[text()='Sales Growth %:']]"")"),"Loading...")</f>
        <v>Loading...</v>
      </c>
      <c r="AF379" s="24"/>
      <c r="AG379" s="25" t="str">
        <f ca="1">IFERROR(__xludf.DUMMYFUNCTION("IMPORTXML(AI379, ""//li[strong[text()='Unit Growth %:']]"")"),"Loading...")</f>
        <v>Loading...</v>
      </c>
      <c r="AH379" s="25"/>
      <c r="AI379" s="48" t="s">
        <v>385</v>
      </c>
      <c r="AJ379" s="27"/>
      <c r="AK379" s="27"/>
      <c r="AL379" s="27"/>
      <c r="AM379" s="27"/>
      <c r="AN379" s="27"/>
      <c r="AO379" s="27"/>
      <c r="AP379" s="27"/>
      <c r="AQ379" s="27"/>
    </row>
    <row r="380" spans="1:43" ht="14.25" customHeight="1">
      <c r="A380" s="42">
        <v>24.379000000000101</v>
      </c>
      <c r="B380" s="14">
        <v>2024</v>
      </c>
      <c r="C380" s="36">
        <v>379</v>
      </c>
      <c r="D380" s="16" t="str">
        <f ca="1">IFERROR(__xludf.DUMMYFUNCTION("IMPORTXML(AI380, ""//h1[@itemprop='headline']/span"")"),"379. British Swim School")</f>
        <v>379. British Swim School</v>
      </c>
      <c r="E380" s="17" t="str">
        <f ca="1">IFERROR(__xludf.DUMMYFUNCTION("REGEXEXTRACT(D380, ""\.\s*(.+)"")"),"British Swim School")</f>
        <v>British Swim School</v>
      </c>
      <c r="F380" s="18" t="str">
        <f ca="1">IFERROR(__xludf.DUMMYFUNCTION("IMPORTXML(AI380, ""//li[strong[text()='Investment Range:']]"")"),"Investment Range:")</f>
        <v>Investment Range:</v>
      </c>
      <c r="G380" s="43" t="str">
        <f ca="1">IFERROR(__xludf.DUMMYFUNCTION("""COMPUTED_VALUE""")," $99,960 - $135,010")</f>
        <v xml:space="preserve"> $99,960 - $135,010</v>
      </c>
      <c r="H380" s="18" t="str">
        <f ca="1">IFERROR(__xludf.DUMMYFUNCTION("SUBSTITUTE(REGEXEXTRACT(G380, ""\$(\d{1,3}(?:,\d{3})*)""), "","", ""."")
"),"99.960")</f>
        <v>99.960</v>
      </c>
      <c r="I380" s="19" t="str">
        <f ca="1">IFERROR(__xludf.DUMMYFUNCTION("SUBSTITUTE(REGEXEXTRACT(G380, ""-\s*\$(\d{1,3}(?:,\d{3})*)""), "","", ""."")
"),"135.010")</f>
        <v>135.010</v>
      </c>
      <c r="J380" s="19" t="str">
        <f ca="1">IFERROR(__xludf.DUMMYFUNCTION("IMPORTXML(AI380, ""//li[strong[text()='Initial Investment:']]"")"),"Loading...")</f>
        <v>Loading...</v>
      </c>
      <c r="K380" s="24"/>
      <c r="L380" s="20" t="str">
        <f ca="1">IFERROR(__xludf.DUMMYFUNCTION("IMPORTXML(AI380, ""//li[strong[text()='Category:']]"")"),"Loading...")</f>
        <v>Loading...</v>
      </c>
      <c r="M380" s="24"/>
      <c r="N380" s="19" t="str">
        <f ca="1">IFERROR(__xludf.DUMMYFUNCTION("IMPORTXML(AI380, ""//li[strong[text()='Global Sales:']]"")"),"Loading...")</f>
        <v>Loading...</v>
      </c>
      <c r="O380" s="24"/>
      <c r="P380" s="19" t="str">
        <f t="shared" si="3"/>
        <v/>
      </c>
      <c r="Q380" s="19" t="str">
        <f ca="1">IFERROR(__xludf.DUMMYFUNCTION("IMPORTXML(AI380, ""//li[strong[text()='US Units:']]"")"),"Loading...")</f>
        <v>Loading...</v>
      </c>
      <c r="R380" s="24"/>
      <c r="S380" s="19" t="str">
        <f ca="1">IFERROR(__xludf.DUMMYFUNCTION("IMPORTXML(AI380, ""//li[strong[text()='International Units:']]"")"),"Loading...")</f>
        <v>Loading...</v>
      </c>
      <c r="T380" s="44"/>
      <c r="U380" s="19" t="str">
        <f ca="1">IFERROR(__xludf.DUMMYFUNCTION("IMPORTXML(AI380, ""//li[strong[text()='Percent Franchised:']]"")"),"Loading...")</f>
        <v>Loading...</v>
      </c>
      <c r="V380" s="24"/>
      <c r="W380" s="19" t="str">
        <f ca="1">IFERROR(__xludf.DUMMYFUNCTION("IMPORTXML(AI380, ""//li[strong[text()='% International Units:']]"")"),"Loading...")</f>
        <v>Loading...</v>
      </c>
      <c r="X380" s="24"/>
      <c r="Y380" s="19" t="str">
        <f ca="1">IFERROR(__xludf.DUMMYFUNCTION("IMPORTXML(AI380, ""//li[strong[text()='US Franchised Units:']]"")"),"Loading...")</f>
        <v>Loading...</v>
      </c>
      <c r="Z380" s="24"/>
      <c r="AA380" s="14" t="str">
        <f t="shared" si="4"/>
        <v/>
      </c>
      <c r="AB380" s="19" t="str">
        <f ca="1">IFERROR(__xludf.DUMMYFUNCTION("IMPORTXML(AI380, ""//li[strong[text()='International Franchised Units:']]"")"),"Loading...")</f>
        <v>Loading...</v>
      </c>
      <c r="AC380" s="24"/>
      <c r="AD380" s="14" t="str">
        <f t="shared" si="5"/>
        <v/>
      </c>
      <c r="AE380" s="25" t="str">
        <f ca="1">IFERROR(__xludf.DUMMYFUNCTION("IMPORTXML(AI380, ""//li[strong[text()='Sales Growth %:']]"")"),"Loading...")</f>
        <v>Loading...</v>
      </c>
      <c r="AF380" s="24"/>
      <c r="AG380" s="25" t="str">
        <f ca="1">IFERROR(__xludf.DUMMYFUNCTION("IMPORTXML(AI380, ""//li[strong[text()='Unit Growth %:']]"")"),"Loading...")</f>
        <v>Loading...</v>
      </c>
      <c r="AH380" s="25"/>
      <c r="AI380" s="48" t="s">
        <v>386</v>
      </c>
      <c r="AJ380" s="27"/>
      <c r="AK380" s="27"/>
      <c r="AL380" s="27"/>
      <c r="AM380" s="27"/>
      <c r="AN380" s="27"/>
      <c r="AO380" s="27"/>
      <c r="AP380" s="27"/>
      <c r="AQ380" s="27"/>
    </row>
    <row r="381" spans="1:43" ht="14.25" customHeight="1">
      <c r="A381" s="42">
        <v>24.380000000000098</v>
      </c>
      <c r="B381" s="14">
        <v>2024</v>
      </c>
      <c r="C381" s="15">
        <v>380</v>
      </c>
      <c r="D381" s="16" t="str">
        <f ca="1">IFERROR(__xludf.DUMMYFUNCTION("IMPORTXML(AI381, ""//h1[@itemprop='headline']/span"")"),"380. Caring Transitions")</f>
        <v>380. Caring Transitions</v>
      </c>
      <c r="E381" s="17" t="str">
        <f ca="1">IFERROR(__xludf.DUMMYFUNCTION("REGEXEXTRACT(D381, ""\.\s*(.+)"")"),"Caring Transitions")</f>
        <v>Caring Transitions</v>
      </c>
      <c r="F381" s="18" t="str">
        <f ca="1">IFERROR(__xludf.DUMMYFUNCTION("IMPORTXML(AI381, ""//li[strong[text()='Investment Range:']]"")"),"#N/A")</f>
        <v>#N/A</v>
      </c>
      <c r="G381" s="43"/>
      <c r="H381" s="18" t="str">
        <f ca="1">IFERROR(__xludf.DUMMYFUNCTION("SUBSTITUTE(REGEXEXTRACT(G381, ""\$(\d{1,3}(?:,\d{3})*)""), "","", ""."")
"),"#N/A")</f>
        <v>#N/A</v>
      </c>
      <c r="I381" s="19" t="str">
        <f ca="1">IFERROR(__xludf.DUMMYFUNCTION("SUBSTITUTE(REGEXEXTRACT(G381, ""-\s*\$(\d{1,3}(?:,\d{3})*)""), "","", ""."")
"),"#N/A")</f>
        <v>#N/A</v>
      </c>
      <c r="J381" s="19" t="str">
        <f ca="1">IFERROR(__xludf.DUMMYFUNCTION("IMPORTXML(AI381, ""//li[strong[text()='Initial Investment:']]"")"),"Loading...")</f>
        <v>Loading...</v>
      </c>
      <c r="K381" s="24"/>
      <c r="L381" s="20" t="str">
        <f ca="1">IFERROR(__xludf.DUMMYFUNCTION("IMPORTXML(AI381, ""//li[strong[text()='Category:']]"")"),"#N/A")</f>
        <v>#N/A</v>
      </c>
      <c r="M381" s="24"/>
      <c r="N381" s="19" t="str">
        <f ca="1">IFERROR(__xludf.DUMMYFUNCTION("IMPORTXML(AI381, ""//li[strong[text()='Global Sales:']]"")"),"Loading...")</f>
        <v>Loading...</v>
      </c>
      <c r="O381" s="24"/>
      <c r="P381" s="19" t="str">
        <f t="shared" si="3"/>
        <v/>
      </c>
      <c r="Q381" s="19" t="str">
        <f ca="1">IFERROR(__xludf.DUMMYFUNCTION("IMPORTXML(AI381, ""//li[strong[text()='US Units:']]"")"),"Loading...")</f>
        <v>Loading...</v>
      </c>
      <c r="R381" s="24"/>
      <c r="S381" s="19" t="str">
        <f ca="1">IFERROR(__xludf.DUMMYFUNCTION("IMPORTXML(AI381, ""//li[strong[text()='International Units:']]"")"),"Loading...")</f>
        <v>Loading...</v>
      </c>
      <c r="T381" s="44"/>
      <c r="U381" s="19" t="str">
        <f ca="1">IFERROR(__xludf.DUMMYFUNCTION("IMPORTXML(AI381, ""//li[strong[text()='Percent Franchised:']]"")"),"Loading...")</f>
        <v>Loading...</v>
      </c>
      <c r="V381" s="24"/>
      <c r="W381" s="19" t="str">
        <f ca="1">IFERROR(__xludf.DUMMYFUNCTION("IMPORTXML(AI381, ""//li[strong[text()='% International Units:']]"")"),"Loading...")</f>
        <v>Loading...</v>
      </c>
      <c r="X381" s="24"/>
      <c r="Y381" s="19" t="str">
        <f ca="1">IFERROR(__xludf.DUMMYFUNCTION("IMPORTXML(AI381, ""//li[strong[text()='US Franchised Units:']]"")"),"Loading...")</f>
        <v>Loading...</v>
      </c>
      <c r="Z381" s="24"/>
      <c r="AA381" s="14" t="str">
        <f t="shared" si="4"/>
        <v/>
      </c>
      <c r="AB381" s="19" t="str">
        <f ca="1">IFERROR(__xludf.DUMMYFUNCTION("IMPORTXML(AI381, ""//li[strong[text()='International Franchised Units:']]"")"),"Loading...")</f>
        <v>Loading...</v>
      </c>
      <c r="AC381" s="24"/>
      <c r="AD381" s="14" t="str">
        <f t="shared" si="5"/>
        <v/>
      </c>
      <c r="AE381" s="25" t="str">
        <f ca="1">IFERROR(__xludf.DUMMYFUNCTION("IMPORTXML(AI381, ""//li[strong[text()='Sales Growth %:']]"")"),"Loading...")</f>
        <v>Loading...</v>
      </c>
      <c r="AF381" s="24"/>
      <c r="AG381" s="25" t="str">
        <f ca="1">IFERROR(__xludf.DUMMYFUNCTION("IMPORTXML(AI381, ""//li[strong[text()='Unit Growth %:']]"")"),"Loading...")</f>
        <v>Loading...</v>
      </c>
      <c r="AH381" s="25"/>
      <c r="AI381" s="48" t="s">
        <v>387</v>
      </c>
      <c r="AJ381" s="27"/>
      <c r="AK381" s="27"/>
      <c r="AL381" s="27"/>
      <c r="AM381" s="27"/>
      <c r="AN381" s="27"/>
      <c r="AO381" s="27"/>
      <c r="AP381" s="27"/>
      <c r="AQ381" s="27"/>
    </row>
    <row r="382" spans="1:43" ht="14.25" customHeight="1">
      <c r="A382" s="42">
        <v>24.3810000000001</v>
      </c>
      <c r="B382" s="14">
        <v>2024</v>
      </c>
      <c r="C382" s="32">
        <v>381</v>
      </c>
      <c r="D382" s="16" t="str">
        <f ca="1">IFERROR(__xludf.DUMMYFUNCTION("IMPORTXML(AI382, ""//h1[@itemprop='headline']/span"")"),"381. Pretzelmaker")</f>
        <v>381. Pretzelmaker</v>
      </c>
      <c r="E382" s="17" t="str">
        <f ca="1">IFERROR(__xludf.DUMMYFUNCTION("REGEXEXTRACT(D382, ""\.\s*(.+)"")"),"Pretzelmaker")</f>
        <v>Pretzelmaker</v>
      </c>
      <c r="F382" s="18" t="str">
        <f ca="1">IFERROR(__xludf.DUMMYFUNCTION("IMPORTXML(AI382, ""//li[strong[text()='Investment Range:']]"")"),"Investment Range:")</f>
        <v>Investment Range:</v>
      </c>
      <c r="G382" s="43" t="str">
        <f ca="1">IFERROR(__xludf.DUMMYFUNCTION("""COMPUTED_VALUE""")," $302,500 - $583,000")</f>
        <v xml:space="preserve"> $302,500 - $583,000</v>
      </c>
      <c r="H382" s="18" t="str">
        <f ca="1">IFERROR(__xludf.DUMMYFUNCTION("SUBSTITUTE(REGEXEXTRACT(G382, ""\$(\d{1,3}(?:,\d{3})*)""), "","", ""."")
"),"302.500")</f>
        <v>302.500</v>
      </c>
      <c r="I382" s="19" t="str">
        <f ca="1">IFERROR(__xludf.DUMMYFUNCTION("SUBSTITUTE(REGEXEXTRACT(G382, ""-\s*\$(\d{1,3}(?:,\d{3})*)""), "","", ""."")
"),"583.000")</f>
        <v>583.000</v>
      </c>
      <c r="J382" s="19" t="str">
        <f ca="1">IFERROR(__xludf.DUMMYFUNCTION("IMPORTXML(AI382, ""//li[strong[text()='Initial Investment:']]"")"),"Loading...")</f>
        <v>Loading...</v>
      </c>
      <c r="K382" s="24"/>
      <c r="L382" s="20" t="str">
        <f ca="1">IFERROR(__xludf.DUMMYFUNCTION("IMPORTXML(AI382, ""//li[strong[text()='Category:']]"")"),"Loading...")</f>
        <v>Loading...</v>
      </c>
      <c r="M382" s="24"/>
      <c r="N382" s="19" t="str">
        <f ca="1">IFERROR(__xludf.DUMMYFUNCTION("IMPORTXML(AI382, ""//li[strong[text()='Global Sales:']]"")"),"Loading...")</f>
        <v>Loading...</v>
      </c>
      <c r="O382" s="24"/>
      <c r="P382" s="19" t="str">
        <f t="shared" si="3"/>
        <v/>
      </c>
      <c r="Q382" s="19" t="str">
        <f ca="1">IFERROR(__xludf.DUMMYFUNCTION("IMPORTXML(AI382, ""//li[strong[text()='US Units:']]"")"),"Loading...")</f>
        <v>Loading...</v>
      </c>
      <c r="R382" s="24"/>
      <c r="S382" s="19" t="str">
        <f ca="1">IFERROR(__xludf.DUMMYFUNCTION("IMPORTXML(AI382, ""//li[strong[text()='International Units:']]"")"),"Loading...")</f>
        <v>Loading...</v>
      </c>
      <c r="T382" s="44"/>
      <c r="U382" s="19" t="str">
        <f ca="1">IFERROR(__xludf.DUMMYFUNCTION("IMPORTXML(AI382, ""//li[strong[text()='Percent Franchised:']]"")"),"Loading...")</f>
        <v>Loading...</v>
      </c>
      <c r="V382" s="24"/>
      <c r="W382" s="19" t="str">
        <f ca="1">IFERROR(__xludf.DUMMYFUNCTION("IMPORTXML(AI382, ""//li[strong[text()='% International Units:']]"")"),"Loading...")</f>
        <v>Loading...</v>
      </c>
      <c r="X382" s="24"/>
      <c r="Y382" s="19" t="str">
        <f ca="1">IFERROR(__xludf.DUMMYFUNCTION("IMPORTXML(AI382, ""//li[strong[text()='US Franchised Units:']]"")"),"US Franchised Units:")</f>
        <v>US Franchised Units:</v>
      </c>
      <c r="Z382" s="24">
        <f ca="1">IFERROR(__xludf.DUMMYFUNCTION("""COMPUTED_VALUE"""),134)</f>
        <v>134</v>
      </c>
      <c r="AA382" s="14" t="str">
        <f t="shared" ca="1" si="4"/>
        <v>134</v>
      </c>
      <c r="AB382" s="19" t="str">
        <f ca="1">IFERROR(__xludf.DUMMYFUNCTION("IMPORTXML(AI382, ""//li[strong[text()='International Franchised Units:']]"")"),"Loading...")</f>
        <v>Loading...</v>
      </c>
      <c r="AC382" s="24"/>
      <c r="AD382" s="14" t="str">
        <f t="shared" si="5"/>
        <v/>
      </c>
      <c r="AE382" s="25" t="str">
        <f ca="1">IFERROR(__xludf.DUMMYFUNCTION("IMPORTXML(AI382, ""//li[strong[text()='Sales Growth %:']]"")"),"Loading...")</f>
        <v>Loading...</v>
      </c>
      <c r="AF382" s="24"/>
      <c r="AG382" s="25" t="str">
        <f ca="1">IFERROR(__xludf.DUMMYFUNCTION("IMPORTXML(AI382, ""//li[strong[text()='Unit Growth %:']]"")"),"Loading...")</f>
        <v>Loading...</v>
      </c>
      <c r="AH382" s="25"/>
      <c r="AI382" s="48" t="s">
        <v>388</v>
      </c>
      <c r="AJ382" s="27"/>
      <c r="AK382" s="27"/>
      <c r="AL382" s="27"/>
      <c r="AM382" s="27"/>
      <c r="AN382" s="27"/>
      <c r="AO382" s="27"/>
      <c r="AP382" s="27"/>
      <c r="AQ382" s="27"/>
    </row>
    <row r="383" spans="1:43" ht="14.25" customHeight="1">
      <c r="A383" s="42">
        <v>24.382000000000101</v>
      </c>
      <c r="B383" s="14">
        <v>2024</v>
      </c>
      <c r="C383" s="36">
        <v>382</v>
      </c>
      <c r="D383" s="16" t="str">
        <f ca="1">IFERROR(__xludf.DUMMYFUNCTION("IMPORTXML(AI383, ""//h1[@itemprop='headline']/span"")"),"382. MassageLuXe")</f>
        <v>382. MassageLuXe</v>
      </c>
      <c r="E383" s="17" t="str">
        <f ca="1">IFERROR(__xludf.DUMMYFUNCTION("REGEXEXTRACT(D383, ""\.\s*(.+)"")"),"MassageLuXe")</f>
        <v>MassageLuXe</v>
      </c>
      <c r="F383" s="18" t="str">
        <f ca="1">IFERROR(__xludf.DUMMYFUNCTION("IMPORTXML(AI383, ""//li[strong[text()='Investment Range:']]"")"),"Investment Range:")</f>
        <v>Investment Range:</v>
      </c>
      <c r="G383" s="43" t="str">
        <f ca="1">IFERROR(__xludf.DUMMYFUNCTION("""COMPUTED_VALUE""")," $569,600 - $799,900")</f>
        <v xml:space="preserve"> $569,600 - $799,900</v>
      </c>
      <c r="H383" s="18" t="str">
        <f ca="1">IFERROR(__xludf.DUMMYFUNCTION("SUBSTITUTE(REGEXEXTRACT(G383, ""\$(\d{1,3}(?:,\d{3})*)""), "","", ""."")
"),"569.600")</f>
        <v>569.600</v>
      </c>
      <c r="I383" s="19" t="str">
        <f ca="1">IFERROR(__xludf.DUMMYFUNCTION("SUBSTITUTE(REGEXEXTRACT(G383, ""-\s*\$(\d{1,3}(?:,\d{3})*)""), "","", ""."")
"),"799.900")</f>
        <v>799.900</v>
      </c>
      <c r="J383" s="19" t="str">
        <f ca="1">IFERROR(__xludf.DUMMYFUNCTION("IMPORTXML(AI383, ""//li[strong[text()='Initial Investment:']]"")"),"Loading...")</f>
        <v>Loading...</v>
      </c>
      <c r="K383" s="24"/>
      <c r="L383" s="20" t="str">
        <f ca="1">IFERROR(__xludf.DUMMYFUNCTION("IMPORTXML(AI383, ""//li[strong[text()='Category:']]"")"),"Loading...")</f>
        <v>Loading...</v>
      </c>
      <c r="M383" s="24"/>
      <c r="N383" s="19" t="str">
        <f ca="1">IFERROR(__xludf.DUMMYFUNCTION("IMPORTXML(AI383, ""//li[strong[text()='Global Sales:']]"")"),"Loading...")</f>
        <v>Loading...</v>
      </c>
      <c r="O383" s="24"/>
      <c r="P383" s="19" t="str">
        <f t="shared" si="3"/>
        <v/>
      </c>
      <c r="Q383" s="19" t="str">
        <f ca="1">IFERROR(__xludf.DUMMYFUNCTION("IMPORTXML(AI383, ""//li[strong[text()='US Units:']]"")"),"Loading...")</f>
        <v>Loading...</v>
      </c>
      <c r="R383" s="24"/>
      <c r="S383" s="19" t="str">
        <f ca="1">IFERROR(__xludf.DUMMYFUNCTION("IMPORTXML(AI383, ""//li[strong[text()='International Units:']]"")"),"Loading...")</f>
        <v>Loading...</v>
      </c>
      <c r="T383" s="44"/>
      <c r="U383" s="19" t="str">
        <f ca="1">IFERROR(__xludf.DUMMYFUNCTION("IMPORTXML(AI383, ""//li[strong[text()='Percent Franchised:']]"")"),"Loading...")</f>
        <v>Loading...</v>
      </c>
      <c r="V383" s="24"/>
      <c r="W383" s="19" t="str">
        <f ca="1">IFERROR(__xludf.DUMMYFUNCTION("IMPORTXML(AI383, ""//li[strong[text()='% International Units:']]"")"),"Loading...")</f>
        <v>Loading...</v>
      </c>
      <c r="X383" s="24"/>
      <c r="Y383" s="19" t="str">
        <f ca="1">IFERROR(__xludf.DUMMYFUNCTION("IMPORTXML(AI383, ""//li[strong[text()='US Franchised Units:']]"")"),"US Franchised Units:")</f>
        <v>US Franchised Units:</v>
      </c>
      <c r="Z383" s="24">
        <f ca="1">IFERROR(__xludf.DUMMYFUNCTION("""COMPUTED_VALUE"""),86)</f>
        <v>86</v>
      </c>
      <c r="AA383" s="14" t="str">
        <f t="shared" ca="1" si="4"/>
        <v>86</v>
      </c>
      <c r="AB383" s="19" t="str">
        <f ca="1">IFERROR(__xludf.DUMMYFUNCTION("IMPORTXML(AI383, ""//li[strong[text()='International Franchised Units:']]"")"),"Loading...")</f>
        <v>Loading...</v>
      </c>
      <c r="AC383" s="24"/>
      <c r="AD383" s="14" t="str">
        <f t="shared" si="5"/>
        <v/>
      </c>
      <c r="AE383" s="25" t="str">
        <f ca="1">IFERROR(__xludf.DUMMYFUNCTION("IMPORTXML(AI383, ""//li[strong[text()='Sales Growth %:']]"")"),"Loading...")</f>
        <v>Loading...</v>
      </c>
      <c r="AF383" s="24"/>
      <c r="AG383" s="25" t="str">
        <f ca="1">IFERROR(__xludf.DUMMYFUNCTION("IMPORTXML(AI383, ""//li[strong[text()='Unit Growth %:']]"")"),"Loading...")</f>
        <v>Loading...</v>
      </c>
      <c r="AH383" s="25"/>
      <c r="AI383" s="48" t="s">
        <v>389</v>
      </c>
      <c r="AJ383" s="27"/>
      <c r="AK383" s="27"/>
      <c r="AL383" s="27"/>
      <c r="AM383" s="27"/>
      <c r="AN383" s="27"/>
      <c r="AO383" s="27"/>
      <c r="AP383" s="27"/>
      <c r="AQ383" s="27"/>
    </row>
    <row r="384" spans="1:43" ht="14.25" customHeight="1">
      <c r="A384" s="42">
        <v>24.383000000000099</v>
      </c>
      <c r="B384" s="14">
        <v>2024</v>
      </c>
      <c r="C384" s="36">
        <v>383</v>
      </c>
      <c r="D384" s="16" t="str">
        <f ca="1">IFERROR(__xludf.DUMMYFUNCTION("IMPORTXML(AI384, ""//h1[@itemprop='headline']/span"")"),"383. Iron Valley Real Estate")</f>
        <v>383. Iron Valley Real Estate</v>
      </c>
      <c r="E384" s="17" t="str">
        <f ca="1">IFERROR(__xludf.DUMMYFUNCTION("REGEXEXTRACT(D384, ""\.\s*(.+)"")"),"Iron Valley Real Estate")</f>
        <v>Iron Valley Real Estate</v>
      </c>
      <c r="F384" s="18" t="str">
        <f ca="1">IFERROR(__xludf.DUMMYFUNCTION("IMPORTXML(AI384, ""//li[strong[text()='Investment Range:']]"")"),"Investment Range:")</f>
        <v>Investment Range:</v>
      </c>
      <c r="G384" s="43" t="str">
        <f ca="1">IFERROR(__xludf.DUMMYFUNCTION("""COMPUTED_VALUE""")," $58,500 - $206,500")</f>
        <v xml:space="preserve"> $58,500 - $206,500</v>
      </c>
      <c r="H384" s="18" t="str">
        <f ca="1">IFERROR(__xludf.DUMMYFUNCTION("SUBSTITUTE(REGEXEXTRACT(G384, ""\$(\d{1,3}(?:,\d{3})*)""), "","", ""."")
"),"58.500")</f>
        <v>58.500</v>
      </c>
      <c r="I384" s="19" t="str">
        <f ca="1">IFERROR(__xludf.DUMMYFUNCTION("SUBSTITUTE(REGEXEXTRACT(G384, ""-\s*\$(\d{1,3}(?:,\d{3})*)""), "","", ""."")
"),"206.500")</f>
        <v>206.500</v>
      </c>
      <c r="J384" s="19" t="str">
        <f ca="1">IFERROR(__xludf.DUMMYFUNCTION("IMPORTXML(AI384, ""//li[strong[text()='Initial Investment:']]"")"),"Loading...")</f>
        <v>Loading...</v>
      </c>
      <c r="K384" s="24"/>
      <c r="L384" s="20" t="str">
        <f ca="1">IFERROR(__xludf.DUMMYFUNCTION("IMPORTXML(AI384, ""//li[strong[text()='Category:']]"")"),"Loading...")</f>
        <v>Loading...</v>
      </c>
      <c r="M384" s="24"/>
      <c r="N384" s="19" t="str">
        <f ca="1">IFERROR(__xludf.DUMMYFUNCTION("IMPORTXML(AI384, ""//li[strong[text()='Global Sales:']]"")"),"Loading...")</f>
        <v>Loading...</v>
      </c>
      <c r="O384" s="24"/>
      <c r="P384" s="19" t="str">
        <f t="shared" si="3"/>
        <v/>
      </c>
      <c r="Q384" s="19" t="str">
        <f ca="1">IFERROR(__xludf.DUMMYFUNCTION("IMPORTXML(AI384, ""//li[strong[text()='US Units:']]"")"),"Loading...")</f>
        <v>Loading...</v>
      </c>
      <c r="R384" s="24"/>
      <c r="S384" s="19" t="str">
        <f ca="1">IFERROR(__xludf.DUMMYFUNCTION("IMPORTXML(AI384, ""//li[strong[text()='International Units:']]"")"),"Loading...")</f>
        <v>Loading...</v>
      </c>
      <c r="T384" s="44"/>
      <c r="U384" s="19" t="str">
        <f ca="1">IFERROR(__xludf.DUMMYFUNCTION("IMPORTXML(AI384, ""//li[strong[text()='Percent Franchised:']]"")"),"Loading...")</f>
        <v>Loading...</v>
      </c>
      <c r="V384" s="24"/>
      <c r="W384" s="19" t="str">
        <f ca="1">IFERROR(__xludf.DUMMYFUNCTION("IMPORTXML(AI384, ""//li[strong[text()='% International Units:']]"")"),"Loading...")</f>
        <v>Loading...</v>
      </c>
      <c r="X384" s="24"/>
      <c r="Y384" s="19" t="str">
        <f ca="1">IFERROR(__xludf.DUMMYFUNCTION("IMPORTXML(AI384, ""//li[strong[text()='US Franchised Units:']]"")"),"Loading...")</f>
        <v>Loading...</v>
      </c>
      <c r="Z384" s="24"/>
      <c r="AA384" s="14" t="str">
        <f t="shared" si="4"/>
        <v/>
      </c>
      <c r="AB384" s="19" t="str">
        <f ca="1">IFERROR(__xludf.DUMMYFUNCTION("IMPORTXML(AI384, ""//li[strong[text()='International Franchised Units:']]"")"),"Loading...")</f>
        <v>Loading...</v>
      </c>
      <c r="AC384" s="24"/>
      <c r="AD384" s="14" t="str">
        <f t="shared" si="5"/>
        <v/>
      </c>
      <c r="AE384" s="25" t="str">
        <f ca="1">IFERROR(__xludf.DUMMYFUNCTION("IMPORTXML(AI384, ""//li[strong[text()='Sales Growth %:']]"")"),"Loading...")</f>
        <v>Loading...</v>
      </c>
      <c r="AF384" s="24"/>
      <c r="AG384" s="25" t="str">
        <f ca="1">IFERROR(__xludf.DUMMYFUNCTION("IMPORTXML(AI384, ""//li[strong[text()='Unit Growth %:']]"")"),"Loading...")</f>
        <v>Loading...</v>
      </c>
      <c r="AH384" s="25"/>
      <c r="AI384" s="48" t="s">
        <v>390</v>
      </c>
      <c r="AJ384" s="27"/>
      <c r="AK384" s="27"/>
      <c r="AL384" s="27"/>
      <c r="AM384" s="27"/>
      <c r="AN384" s="27"/>
      <c r="AO384" s="27"/>
      <c r="AP384" s="27"/>
      <c r="AQ384" s="27"/>
    </row>
    <row r="385" spans="1:43" ht="14.25" customHeight="1">
      <c r="A385" s="42">
        <v>24.3840000000001</v>
      </c>
      <c r="B385" s="14">
        <v>2024</v>
      </c>
      <c r="C385" s="15">
        <v>384</v>
      </c>
      <c r="D385" s="16" t="str">
        <f ca="1">IFERROR(__xludf.DUMMYFUNCTION("IMPORTXML(AI385, ""//h1[@itemprop='headline']/span"")"),"384. Maid Brigade")</f>
        <v>384. Maid Brigade</v>
      </c>
      <c r="E385" s="17" t="str">
        <f ca="1">IFERROR(__xludf.DUMMYFUNCTION("REGEXEXTRACT(D385, ""\.\s*(.+)"")"),"Maid Brigade")</f>
        <v>Maid Brigade</v>
      </c>
      <c r="F385" s="18" t="str">
        <f ca="1">IFERROR(__xludf.DUMMYFUNCTION("IMPORTXML(AI385, ""//li[strong[text()='Investment Range:']]"")"),"#N/A")</f>
        <v>#N/A</v>
      </c>
      <c r="G385" s="43"/>
      <c r="H385" s="18" t="str">
        <f ca="1">IFERROR(__xludf.DUMMYFUNCTION("SUBSTITUTE(REGEXEXTRACT(G385, ""\$(\d{1,3}(?:,\d{3})*)""), "","", ""."")
"),"#N/A")</f>
        <v>#N/A</v>
      </c>
      <c r="I385" s="19" t="str">
        <f ca="1">IFERROR(__xludf.DUMMYFUNCTION("SUBSTITUTE(REGEXEXTRACT(G385, ""-\s*\$(\d{1,3}(?:,\d{3})*)""), "","", ""."")
"),"#N/A")</f>
        <v>#N/A</v>
      </c>
      <c r="J385" s="19" t="str">
        <f ca="1">IFERROR(__xludf.DUMMYFUNCTION("IMPORTXML(AI385, ""//li[strong[text()='Initial Investment:']]"")"),"Loading...")</f>
        <v>Loading...</v>
      </c>
      <c r="K385" s="24"/>
      <c r="L385" s="20" t="str">
        <f ca="1">IFERROR(__xludf.DUMMYFUNCTION("IMPORTXML(AI385, ""//li[strong[text()='Category:']]"")"),"Loading...")</f>
        <v>Loading...</v>
      </c>
      <c r="M385" s="24"/>
      <c r="N385" s="19" t="str">
        <f ca="1">IFERROR(__xludf.DUMMYFUNCTION("IMPORTXML(AI385, ""//li[strong[text()='Global Sales:']]"")"),"Loading...")</f>
        <v>Loading...</v>
      </c>
      <c r="O385" s="24"/>
      <c r="P385" s="19" t="str">
        <f t="shared" si="3"/>
        <v/>
      </c>
      <c r="Q385" s="19" t="str">
        <f ca="1">IFERROR(__xludf.DUMMYFUNCTION("IMPORTXML(AI385, ""//li[strong[text()='US Units:']]"")"),"Loading...")</f>
        <v>Loading...</v>
      </c>
      <c r="R385" s="24"/>
      <c r="S385" s="19" t="str">
        <f ca="1">IFERROR(__xludf.DUMMYFUNCTION("IMPORTXML(AI385, ""//li[strong[text()='International Units:']]"")"),"Loading...")</f>
        <v>Loading...</v>
      </c>
      <c r="T385" s="44"/>
      <c r="U385" s="19" t="str">
        <f ca="1">IFERROR(__xludf.DUMMYFUNCTION("IMPORTXML(AI385, ""//li[strong[text()='Percent Franchised:']]"")"),"Loading...")</f>
        <v>Loading...</v>
      </c>
      <c r="V385" s="24"/>
      <c r="W385" s="19" t="str">
        <f ca="1">IFERROR(__xludf.DUMMYFUNCTION("IMPORTXML(AI385, ""//li[strong[text()='% International Units:']]"")"),"Loading...")</f>
        <v>Loading...</v>
      </c>
      <c r="X385" s="24"/>
      <c r="Y385" s="19" t="str">
        <f ca="1">IFERROR(__xludf.DUMMYFUNCTION("IMPORTXML(AI385, ""//li[strong[text()='US Franchised Units:']]"")"),"Loading...")</f>
        <v>Loading...</v>
      </c>
      <c r="Z385" s="24"/>
      <c r="AA385" s="14" t="str">
        <f t="shared" si="4"/>
        <v/>
      </c>
      <c r="AB385" s="19" t="str">
        <f ca="1">IFERROR(__xludf.DUMMYFUNCTION("IMPORTXML(AI385, ""//li[strong[text()='International Franchised Units:']]"")"),"Loading...")</f>
        <v>Loading...</v>
      </c>
      <c r="AC385" s="24"/>
      <c r="AD385" s="14" t="str">
        <f t="shared" si="5"/>
        <v/>
      </c>
      <c r="AE385" s="25" t="str">
        <f ca="1">IFERROR(__xludf.DUMMYFUNCTION("IMPORTXML(AI385, ""//li[strong[text()='Sales Growth %:']]"")"),"Loading...")</f>
        <v>Loading...</v>
      </c>
      <c r="AF385" s="24"/>
      <c r="AG385" s="25" t="str">
        <f ca="1">IFERROR(__xludf.DUMMYFUNCTION("IMPORTXML(AI385, ""//li[strong[text()='Unit Growth %:']]"")"),"Loading...")</f>
        <v>Loading...</v>
      </c>
      <c r="AH385" s="25"/>
      <c r="AI385" s="48" t="s">
        <v>391</v>
      </c>
      <c r="AJ385" s="27"/>
      <c r="AK385" s="27"/>
      <c r="AL385" s="27"/>
      <c r="AM385" s="27"/>
      <c r="AN385" s="27"/>
      <c r="AO385" s="27"/>
      <c r="AP385" s="27"/>
      <c r="AQ385" s="27"/>
    </row>
    <row r="386" spans="1:43" ht="14.25" customHeight="1">
      <c r="A386" s="42">
        <v>24.385000000000101</v>
      </c>
      <c r="B386" s="14">
        <v>2024</v>
      </c>
      <c r="C386" s="32">
        <v>385</v>
      </c>
      <c r="D386" s="16" t="str">
        <f ca="1">IFERROR(__xludf.DUMMYFUNCTION("IMPORTXML(AI386, ""//h1[@itemprop='headline']/span"")"),"385. Any Lab Test Now")</f>
        <v>385. Any Lab Test Now</v>
      </c>
      <c r="E386" s="17" t="str">
        <f ca="1">IFERROR(__xludf.DUMMYFUNCTION("REGEXEXTRACT(D386, ""\.\s*(.+)"")"),"Any Lab Test Now")</f>
        <v>Any Lab Test Now</v>
      </c>
      <c r="F386" s="18" t="str">
        <f ca="1">IFERROR(__xludf.DUMMYFUNCTION("IMPORTXML(AI386, ""//li[strong[text()='Investment Range:']]"")"),"Investment Range:")</f>
        <v>Investment Range:</v>
      </c>
      <c r="G386" s="43" t="str">
        <f ca="1">IFERROR(__xludf.DUMMYFUNCTION("""COMPUTED_VALUE""")," $166,900 - 293,900")</f>
        <v xml:space="preserve"> $166,900 - 293,900</v>
      </c>
      <c r="H386" s="18" t="str">
        <f ca="1">IFERROR(__xludf.DUMMYFUNCTION("SUBSTITUTE(REGEXEXTRACT(G386, ""\$(\d{1,3}(?:,\d{3})*)""), "","", ""."")
"),"166.900")</f>
        <v>166.900</v>
      </c>
      <c r="I386" s="19" t="str">
        <f ca="1">IFERROR(__xludf.DUMMYFUNCTION("SUBSTITUTE(REGEXEXTRACT(G386, ""-\s*\$(\d{1,3}(?:,\d{3})*)""), "","", ""."")
"),"#N/A")</f>
        <v>#N/A</v>
      </c>
      <c r="J386" s="19" t="str">
        <f ca="1">IFERROR(__xludf.DUMMYFUNCTION("IMPORTXML(AI386, ""//li[strong[text()='Initial Investment:']]"")"),"Loading...")</f>
        <v>Loading...</v>
      </c>
      <c r="K386" s="24"/>
      <c r="L386" s="20" t="str">
        <f ca="1">IFERROR(__xludf.DUMMYFUNCTION("IMPORTXML(AI386, ""//li[strong[text()='Category:']]"")"),"Loading...")</f>
        <v>Loading...</v>
      </c>
      <c r="M386" s="24"/>
      <c r="N386" s="19" t="str">
        <f ca="1">IFERROR(__xludf.DUMMYFUNCTION("IMPORTXML(AI386, ""//li[strong[text()='Global Sales:']]"")"),"Loading...")</f>
        <v>Loading...</v>
      </c>
      <c r="O386" s="24"/>
      <c r="P386" s="19" t="str">
        <f t="shared" si="3"/>
        <v/>
      </c>
      <c r="Q386" s="19" t="str">
        <f ca="1">IFERROR(__xludf.DUMMYFUNCTION("IMPORTXML(AI386, ""//li[strong[text()='US Units:']]"")"),"Loading...")</f>
        <v>Loading...</v>
      </c>
      <c r="R386" s="24"/>
      <c r="S386" s="19" t="str">
        <f ca="1">IFERROR(__xludf.DUMMYFUNCTION("IMPORTXML(AI386, ""//li[strong[text()='International Units:']]"")"),"Loading...")</f>
        <v>Loading...</v>
      </c>
      <c r="T386" s="44"/>
      <c r="U386" s="19" t="str">
        <f ca="1">IFERROR(__xludf.DUMMYFUNCTION("IMPORTXML(AI386, ""//li[strong[text()='Percent Franchised:']]"")"),"Loading...")</f>
        <v>Loading...</v>
      </c>
      <c r="V386" s="24"/>
      <c r="W386" s="19" t="str">
        <f ca="1">IFERROR(__xludf.DUMMYFUNCTION("IMPORTXML(AI386, ""//li[strong[text()='% International Units:']]"")"),"Loading...")</f>
        <v>Loading...</v>
      </c>
      <c r="X386" s="24"/>
      <c r="Y386" s="19" t="str">
        <f ca="1">IFERROR(__xludf.DUMMYFUNCTION("IMPORTXML(AI386, ""//li[strong[text()='US Franchised Units:']]"")"),"Loading...")</f>
        <v>Loading...</v>
      </c>
      <c r="Z386" s="24"/>
      <c r="AA386" s="14" t="str">
        <f t="shared" si="4"/>
        <v/>
      </c>
      <c r="AB386" s="19" t="str">
        <f ca="1">IFERROR(__xludf.DUMMYFUNCTION("IMPORTXML(AI386, ""//li[strong[text()='International Franchised Units:']]"")"),"Loading...")</f>
        <v>Loading...</v>
      </c>
      <c r="AC386" s="24"/>
      <c r="AD386" s="14" t="str">
        <f t="shared" si="5"/>
        <v/>
      </c>
      <c r="AE386" s="25" t="str">
        <f ca="1">IFERROR(__xludf.DUMMYFUNCTION("IMPORTXML(AI386, ""//li[strong[text()='Sales Growth %:']]"")"),"Loading...")</f>
        <v>Loading...</v>
      </c>
      <c r="AF386" s="24"/>
      <c r="AG386" s="25" t="str">
        <f ca="1">IFERROR(__xludf.DUMMYFUNCTION("IMPORTXML(AI386, ""//li[strong[text()='Unit Growth %:']]"")"),"Loading...")</f>
        <v>Loading...</v>
      </c>
      <c r="AH386" s="25"/>
      <c r="AI386" s="48" t="s">
        <v>392</v>
      </c>
      <c r="AJ386" s="27"/>
      <c r="AK386" s="27"/>
      <c r="AL386" s="27"/>
      <c r="AM386" s="27"/>
      <c r="AN386" s="27"/>
      <c r="AO386" s="27"/>
      <c r="AP386" s="27"/>
      <c r="AQ386" s="27"/>
    </row>
    <row r="387" spans="1:43" ht="14.25" customHeight="1">
      <c r="A387" s="42">
        <v>24.386000000000099</v>
      </c>
      <c r="B387" s="14">
        <v>2024</v>
      </c>
      <c r="C387" s="36">
        <v>386</v>
      </c>
      <c r="D387" s="16" t="str">
        <f ca="1">IFERROR(__xludf.DUMMYFUNCTION("IMPORTXML(AI387, ""//h1[@itemprop='headline']/span"")"),"386. Rock N Roll Sushi")</f>
        <v>386. Rock N Roll Sushi</v>
      </c>
      <c r="E387" s="17" t="str">
        <f ca="1">IFERROR(__xludf.DUMMYFUNCTION("REGEXEXTRACT(D387, ""\.\s*(.+)"")"),"Rock N Roll Sushi")</f>
        <v>Rock N Roll Sushi</v>
      </c>
      <c r="F387" s="18" t="str">
        <f ca="1">IFERROR(__xludf.DUMMYFUNCTION("IMPORTXML(AI387, ""//li[strong[text()='Investment Range:']]"")"),"#N/A")</f>
        <v>#N/A</v>
      </c>
      <c r="G387" s="43"/>
      <c r="H387" s="18" t="str">
        <f ca="1">IFERROR(__xludf.DUMMYFUNCTION("SUBSTITUTE(REGEXEXTRACT(G387, ""\$(\d{1,3}(?:,\d{3})*)""), "","", ""."")
"),"#N/A")</f>
        <v>#N/A</v>
      </c>
      <c r="I387" s="19" t="str">
        <f ca="1">IFERROR(__xludf.DUMMYFUNCTION("SUBSTITUTE(REGEXEXTRACT(G387, ""-\s*\$(\d{1,3}(?:,\d{3})*)""), "","", ""."")
"),"#N/A")</f>
        <v>#N/A</v>
      </c>
      <c r="J387" s="19" t="str">
        <f ca="1">IFERROR(__xludf.DUMMYFUNCTION("IMPORTXML(AI387, ""//li[strong[text()='Initial Investment:']]"")"),"Loading...")</f>
        <v>Loading...</v>
      </c>
      <c r="K387" s="24"/>
      <c r="L387" s="20" t="str">
        <f ca="1">IFERROR(__xludf.DUMMYFUNCTION("IMPORTXML(AI387, ""//li[strong[text()='Category:']]"")"),"Loading...")</f>
        <v>Loading...</v>
      </c>
      <c r="M387" s="24"/>
      <c r="N387" s="19" t="str">
        <f ca="1">IFERROR(__xludf.DUMMYFUNCTION("IMPORTXML(AI387, ""//li[strong[text()='Global Sales:']]"")"),"Loading...")</f>
        <v>Loading...</v>
      </c>
      <c r="O387" s="24"/>
      <c r="P387" s="19" t="str">
        <f t="shared" si="3"/>
        <v/>
      </c>
      <c r="Q387" s="19" t="str">
        <f ca="1">IFERROR(__xludf.DUMMYFUNCTION("IMPORTXML(AI387, ""//li[strong[text()='US Units:']]"")"),"Loading...")</f>
        <v>Loading...</v>
      </c>
      <c r="R387" s="24"/>
      <c r="S387" s="19" t="str">
        <f ca="1">IFERROR(__xludf.DUMMYFUNCTION("IMPORTXML(AI387, ""//li[strong[text()='International Units:']]"")"),"Loading...")</f>
        <v>Loading...</v>
      </c>
      <c r="T387" s="44"/>
      <c r="U387" s="19" t="str">
        <f ca="1">IFERROR(__xludf.DUMMYFUNCTION("IMPORTXML(AI387, ""//li[strong[text()='Percent Franchised:']]"")"),"Loading...")</f>
        <v>Loading...</v>
      </c>
      <c r="V387" s="24"/>
      <c r="W387" s="19" t="str">
        <f ca="1">IFERROR(__xludf.DUMMYFUNCTION("IMPORTXML(AI387, ""//li[strong[text()='% International Units:']]"")"),"Loading...")</f>
        <v>Loading...</v>
      </c>
      <c r="X387" s="24"/>
      <c r="Y387" s="19" t="str">
        <f ca="1">IFERROR(__xludf.DUMMYFUNCTION("IMPORTXML(AI387, ""//li[strong[text()='US Franchised Units:']]"")"),"Loading...")</f>
        <v>Loading...</v>
      </c>
      <c r="Z387" s="24"/>
      <c r="AA387" s="14" t="str">
        <f t="shared" si="4"/>
        <v/>
      </c>
      <c r="AB387" s="19" t="str">
        <f ca="1">IFERROR(__xludf.DUMMYFUNCTION("IMPORTXML(AI387, ""//li[strong[text()='International Franchised Units:']]"")"),"Loading...")</f>
        <v>Loading...</v>
      </c>
      <c r="AC387" s="24"/>
      <c r="AD387" s="14" t="str">
        <f t="shared" si="5"/>
        <v/>
      </c>
      <c r="AE387" s="25" t="str">
        <f ca="1">IFERROR(__xludf.DUMMYFUNCTION("IMPORTXML(AI387, ""//li[strong[text()='Sales Growth %:']]"")"),"Loading...")</f>
        <v>Loading...</v>
      </c>
      <c r="AF387" s="24"/>
      <c r="AG387" s="25" t="str">
        <f ca="1">IFERROR(__xludf.DUMMYFUNCTION("IMPORTXML(AI387, ""//li[strong[text()='Unit Growth %:']]"")"),"#N/A")</f>
        <v>#N/A</v>
      </c>
      <c r="AH387" s="25"/>
      <c r="AI387" s="48" t="s">
        <v>393</v>
      </c>
      <c r="AJ387" s="27"/>
      <c r="AK387" s="27"/>
      <c r="AL387" s="27"/>
      <c r="AM387" s="27"/>
      <c r="AN387" s="27"/>
      <c r="AO387" s="27"/>
      <c r="AP387" s="27"/>
      <c r="AQ387" s="27"/>
    </row>
    <row r="388" spans="1:43" ht="14.25" customHeight="1">
      <c r="A388" s="42">
        <v>24.3870000000001</v>
      </c>
      <c r="B388" s="14">
        <v>2024</v>
      </c>
      <c r="C388" s="36">
        <v>387</v>
      </c>
      <c r="D388" s="16" t="str">
        <f ca="1">IFERROR(__xludf.DUMMYFUNCTION("IMPORTXML(AI388, ""//h1[@itemprop='headline']/span"")"),"387. Duck Donuts")</f>
        <v>387. Duck Donuts</v>
      </c>
      <c r="E388" s="17" t="str">
        <f ca="1">IFERROR(__xludf.DUMMYFUNCTION("REGEXEXTRACT(D388, ""\.\s*(.+)"")"),"Duck Donuts")</f>
        <v>Duck Donuts</v>
      </c>
      <c r="F388" s="18" t="str">
        <f ca="1">IFERROR(__xludf.DUMMYFUNCTION("IMPORTXML(AI388, ""//li[strong[text()='Investment Range:']]"")"),"Investment Range:")</f>
        <v>Investment Range:</v>
      </c>
      <c r="G388" s="43" t="str">
        <f ca="1">IFERROR(__xludf.DUMMYFUNCTION("""COMPUTED_VALUE""")," $464,650 - $705,500")</f>
        <v xml:space="preserve"> $464,650 - $705,500</v>
      </c>
      <c r="H388" s="18" t="str">
        <f ca="1">IFERROR(__xludf.DUMMYFUNCTION("SUBSTITUTE(REGEXEXTRACT(G388, ""\$(\d{1,3}(?:,\d{3})*)""), "","", ""."")
"),"464.650")</f>
        <v>464.650</v>
      </c>
      <c r="I388" s="19" t="str">
        <f ca="1">IFERROR(__xludf.DUMMYFUNCTION("SUBSTITUTE(REGEXEXTRACT(G388, ""-\s*\$(\d{1,3}(?:,\d{3})*)""), "","", ""."")
"),"705.500")</f>
        <v>705.500</v>
      </c>
      <c r="J388" s="19" t="str">
        <f ca="1">IFERROR(__xludf.DUMMYFUNCTION("IMPORTXML(AI388, ""//li[strong[text()='Initial Investment:']]"")"),"Loading...")</f>
        <v>Loading...</v>
      </c>
      <c r="K388" s="24"/>
      <c r="L388" s="20" t="str">
        <f ca="1">IFERROR(__xludf.DUMMYFUNCTION("IMPORTXML(AI388, ""//li[strong[text()='Category:']]"")"),"Loading...")</f>
        <v>Loading...</v>
      </c>
      <c r="M388" s="24"/>
      <c r="N388" s="19" t="str">
        <f ca="1">IFERROR(__xludf.DUMMYFUNCTION("IMPORTXML(AI388, ""//li[strong[text()='Global Sales:']]"")"),"Loading...")</f>
        <v>Loading...</v>
      </c>
      <c r="O388" s="24"/>
      <c r="P388" s="19" t="str">
        <f t="shared" si="3"/>
        <v/>
      </c>
      <c r="Q388" s="19" t="str">
        <f ca="1">IFERROR(__xludf.DUMMYFUNCTION("IMPORTXML(AI388, ""//li[strong[text()='US Units:']]"")"),"Loading...")</f>
        <v>Loading...</v>
      </c>
      <c r="R388" s="24"/>
      <c r="S388" s="19" t="str">
        <f ca="1">IFERROR(__xludf.DUMMYFUNCTION("IMPORTXML(AI388, ""//li[strong[text()='International Units:']]"")"),"Loading...")</f>
        <v>Loading...</v>
      </c>
      <c r="T388" s="44"/>
      <c r="U388" s="19" t="str">
        <f ca="1">IFERROR(__xludf.DUMMYFUNCTION("IMPORTXML(AI388, ""//li[strong[text()='Percent Franchised:']]"")"),"Loading...")</f>
        <v>Loading...</v>
      </c>
      <c r="V388" s="24"/>
      <c r="W388" s="19" t="str">
        <f ca="1">IFERROR(__xludf.DUMMYFUNCTION("IMPORTXML(AI388, ""//li[strong[text()='% International Units:']]"")"),"Loading...")</f>
        <v>Loading...</v>
      </c>
      <c r="X388" s="24"/>
      <c r="Y388" s="19" t="str">
        <f ca="1">IFERROR(__xludf.DUMMYFUNCTION("IMPORTXML(AI388, ""//li[strong[text()='US Franchised Units:']]"")"),"Loading...")</f>
        <v>Loading...</v>
      </c>
      <c r="Z388" s="24"/>
      <c r="AA388" s="14" t="str">
        <f t="shared" si="4"/>
        <v/>
      </c>
      <c r="AB388" s="19" t="str">
        <f ca="1">IFERROR(__xludf.DUMMYFUNCTION("IMPORTXML(AI388, ""//li[strong[text()='International Franchised Units:']]"")"),"Loading...")</f>
        <v>Loading...</v>
      </c>
      <c r="AC388" s="24"/>
      <c r="AD388" s="14" t="str">
        <f t="shared" si="5"/>
        <v/>
      </c>
      <c r="AE388" s="25" t="str">
        <f ca="1">IFERROR(__xludf.DUMMYFUNCTION("IMPORTXML(AI388, ""//li[strong[text()='Sales Growth %:']]"")"),"Loading...")</f>
        <v>Loading...</v>
      </c>
      <c r="AF388" s="24"/>
      <c r="AG388" s="25" t="str">
        <f ca="1">IFERROR(__xludf.DUMMYFUNCTION("IMPORTXML(AI388, ""//li[strong[text()='Unit Growth %:']]"")"),"Loading...")</f>
        <v>Loading...</v>
      </c>
      <c r="AH388" s="25"/>
      <c r="AI388" s="48" t="s">
        <v>394</v>
      </c>
      <c r="AJ388" s="27"/>
      <c r="AK388" s="27"/>
      <c r="AL388" s="27"/>
      <c r="AM388" s="27"/>
      <c r="AN388" s="27"/>
      <c r="AO388" s="27"/>
      <c r="AP388" s="27"/>
      <c r="AQ388" s="27"/>
    </row>
    <row r="389" spans="1:43" ht="14.25" customHeight="1">
      <c r="A389" s="42">
        <v>24.388000000000101</v>
      </c>
      <c r="B389" s="14">
        <v>2024</v>
      </c>
      <c r="C389" s="15">
        <v>388</v>
      </c>
      <c r="D389" s="16" t="str">
        <f ca="1">IFERROR(__xludf.DUMMYFUNCTION("IMPORTXML(AI389, ""//h1[@itemprop='headline']/span"")"),"388. The Lash Lounge")</f>
        <v>388. The Lash Lounge</v>
      </c>
      <c r="E389" s="17" t="str">
        <f ca="1">IFERROR(__xludf.DUMMYFUNCTION("REGEXEXTRACT(D389, ""\.\s*(.+)"")"),"The Lash Lounge")</f>
        <v>The Lash Lounge</v>
      </c>
      <c r="F389" s="18" t="str">
        <f ca="1">IFERROR(__xludf.DUMMYFUNCTION("IMPORTXML(AI389, ""//li[strong[text()='Investment Range:']]"")"),"Investment Range:")</f>
        <v>Investment Range:</v>
      </c>
      <c r="G389" s="43" t="str">
        <f ca="1">IFERROR(__xludf.DUMMYFUNCTION("""COMPUTED_VALUE""")," $384,797 - $719,490")</f>
        <v xml:space="preserve"> $384,797 - $719,490</v>
      </c>
      <c r="H389" s="18" t="str">
        <f ca="1">IFERROR(__xludf.DUMMYFUNCTION("SUBSTITUTE(REGEXEXTRACT(G389, ""\$(\d{1,3}(?:,\d{3})*)""), "","", ""."")
"),"384.797")</f>
        <v>384.797</v>
      </c>
      <c r="I389" s="19" t="str">
        <f ca="1">IFERROR(__xludf.DUMMYFUNCTION("SUBSTITUTE(REGEXEXTRACT(G389, ""-\s*\$(\d{1,3}(?:,\d{3})*)""), "","", ""."")
"),"719.490")</f>
        <v>719.490</v>
      </c>
      <c r="J389" s="19" t="str">
        <f ca="1">IFERROR(__xludf.DUMMYFUNCTION("IMPORTXML(AI389, ""//li[strong[text()='Initial Investment:']]"")"),"Loading...")</f>
        <v>Loading...</v>
      </c>
      <c r="K389" s="24"/>
      <c r="L389" s="20" t="str">
        <f ca="1">IFERROR(__xludf.DUMMYFUNCTION("IMPORTXML(AI389, ""//li[strong[text()='Category:']]"")"),"Loading...")</f>
        <v>Loading...</v>
      </c>
      <c r="M389" s="24"/>
      <c r="N389" s="19" t="str">
        <f ca="1">IFERROR(__xludf.DUMMYFUNCTION("IMPORTXML(AI389, ""//li[strong[text()='Global Sales:']]"")"),"Loading...")</f>
        <v>Loading...</v>
      </c>
      <c r="O389" s="24"/>
      <c r="P389" s="19" t="str">
        <f t="shared" si="3"/>
        <v/>
      </c>
      <c r="Q389" s="19" t="str">
        <f ca="1">IFERROR(__xludf.DUMMYFUNCTION("IMPORTXML(AI389, ""//li[strong[text()='US Units:']]"")"),"Loading...")</f>
        <v>Loading...</v>
      </c>
      <c r="R389" s="24"/>
      <c r="S389" s="19" t="str">
        <f ca="1">IFERROR(__xludf.DUMMYFUNCTION("IMPORTXML(AI389, ""//li[strong[text()='International Units:']]"")"),"Loading...")</f>
        <v>Loading...</v>
      </c>
      <c r="T389" s="44"/>
      <c r="U389" s="19" t="str">
        <f ca="1">IFERROR(__xludf.DUMMYFUNCTION("IMPORTXML(AI389, ""//li[strong[text()='Percent Franchised:']]"")"),"Loading...")</f>
        <v>Loading...</v>
      </c>
      <c r="V389" s="24"/>
      <c r="W389" s="19" t="str">
        <f ca="1">IFERROR(__xludf.DUMMYFUNCTION("IMPORTXML(AI389, ""//li[strong[text()='% International Units:']]"")"),"Loading...")</f>
        <v>Loading...</v>
      </c>
      <c r="X389" s="24"/>
      <c r="Y389" s="19" t="str">
        <f ca="1">IFERROR(__xludf.DUMMYFUNCTION("IMPORTXML(AI389, ""//li[strong[text()='US Franchised Units:']]"")"),"Loading...")</f>
        <v>Loading...</v>
      </c>
      <c r="Z389" s="24"/>
      <c r="AA389" s="14" t="str">
        <f t="shared" si="4"/>
        <v/>
      </c>
      <c r="AB389" s="19" t="str">
        <f ca="1">IFERROR(__xludf.DUMMYFUNCTION("IMPORTXML(AI389, ""//li[strong[text()='International Franchised Units:']]"")"),"Loading...")</f>
        <v>Loading...</v>
      </c>
      <c r="AC389" s="24"/>
      <c r="AD389" s="14" t="str">
        <f t="shared" si="5"/>
        <v/>
      </c>
      <c r="AE389" s="25" t="str">
        <f ca="1">IFERROR(__xludf.DUMMYFUNCTION("IMPORTXML(AI389, ""//li[strong[text()='Sales Growth %:']]"")"),"Loading...")</f>
        <v>Loading...</v>
      </c>
      <c r="AF389" s="24"/>
      <c r="AG389" s="25" t="str">
        <f ca="1">IFERROR(__xludf.DUMMYFUNCTION("IMPORTXML(AI389, ""//li[strong[text()='Unit Growth %:']]"")"),"Loading...")</f>
        <v>Loading...</v>
      </c>
      <c r="AH389" s="25"/>
      <c r="AI389" s="48" t="s">
        <v>395</v>
      </c>
      <c r="AJ389" s="27"/>
      <c r="AK389" s="27"/>
      <c r="AL389" s="27"/>
      <c r="AM389" s="27"/>
      <c r="AN389" s="27"/>
      <c r="AO389" s="27"/>
      <c r="AP389" s="27"/>
      <c r="AQ389" s="27"/>
    </row>
    <row r="390" spans="1:43" ht="14.25" customHeight="1">
      <c r="A390" s="42">
        <v>24.389000000000099</v>
      </c>
      <c r="B390" s="14">
        <v>2024</v>
      </c>
      <c r="C390" s="32">
        <v>389</v>
      </c>
      <c r="D390" s="16" t="str">
        <f ca="1">IFERROR(__xludf.DUMMYFUNCTION("IMPORTXML(AI390, ""//h1[@itemprop='headline']/span"")"),"389. The Flying Biscuit Cafe")</f>
        <v>389. The Flying Biscuit Cafe</v>
      </c>
      <c r="E390" s="17" t="str">
        <f ca="1">IFERROR(__xludf.DUMMYFUNCTION("REGEXEXTRACT(D390, ""\.\s*(.+)"")"),"The Flying Biscuit Cafe")</f>
        <v>The Flying Biscuit Cafe</v>
      </c>
      <c r="F390" s="18" t="str">
        <f ca="1">IFERROR(__xludf.DUMMYFUNCTION("IMPORTXML(AI390, ""//li[strong[text()='Investment Range:']]"")"),"Investment Range:")</f>
        <v>Investment Range:</v>
      </c>
      <c r="G390" s="43" t="str">
        <f ca="1">IFERROR(__xludf.DUMMYFUNCTION("""COMPUTED_VALUE""")," $776,750 - $1,171,350")</f>
        <v xml:space="preserve"> $776,750 - $1,171,350</v>
      </c>
      <c r="H390" s="18" t="str">
        <f ca="1">IFERROR(__xludf.DUMMYFUNCTION("SUBSTITUTE(REGEXEXTRACT(G390, ""\$(\d{1,3}(?:,\d{3})*)""), "","", ""."")
"),"776.750")</f>
        <v>776.750</v>
      </c>
      <c r="I390" s="19" t="str">
        <f ca="1">IFERROR(__xludf.DUMMYFUNCTION("SUBSTITUTE(REGEXEXTRACT(G390, ""-\s*\$(\d{1,3}(?:,\d{3})*)""), "","", ""."")
"),"1.171.350")</f>
        <v>1.171.350</v>
      </c>
      <c r="J390" s="19" t="str">
        <f ca="1">IFERROR(__xludf.DUMMYFUNCTION("IMPORTXML(AI390, ""//li[strong[text()='Initial Investment:']]"")"),"Initial Investment:")</f>
        <v>Initial Investment:</v>
      </c>
      <c r="K390" s="24" t="str">
        <f ca="1">IFERROR(__xludf.DUMMYFUNCTION("""COMPUTED_VALUE""")," $45,000")</f>
        <v xml:space="preserve"> $45,000</v>
      </c>
      <c r="L390" s="20" t="str">
        <f ca="1">IFERROR(__xludf.DUMMYFUNCTION("IMPORTXML(AI390, ""//li[strong[text()='Category:']]"")"),"Loading...")</f>
        <v>Loading...</v>
      </c>
      <c r="M390" s="24"/>
      <c r="N390" s="19" t="str">
        <f ca="1">IFERROR(__xludf.DUMMYFUNCTION("IMPORTXML(AI390, ""//li[strong[text()='Global Sales:']]"")"),"Loading...")</f>
        <v>Loading...</v>
      </c>
      <c r="O390" s="24"/>
      <c r="P390" s="19" t="str">
        <f t="shared" si="3"/>
        <v/>
      </c>
      <c r="Q390" s="19" t="str">
        <f ca="1">IFERROR(__xludf.DUMMYFUNCTION("IMPORTXML(AI390, ""//li[strong[text()='US Units:']]"")"),"Loading...")</f>
        <v>Loading...</v>
      </c>
      <c r="R390" s="24"/>
      <c r="S390" s="19" t="str">
        <f ca="1">IFERROR(__xludf.DUMMYFUNCTION("IMPORTXML(AI390, ""//li[strong[text()='International Units:']]"")"),"Loading...")</f>
        <v>Loading...</v>
      </c>
      <c r="T390" s="44"/>
      <c r="U390" s="19" t="str">
        <f ca="1">IFERROR(__xludf.DUMMYFUNCTION("IMPORTXML(AI390, ""//li[strong[text()='Percent Franchised:']]"")"),"Loading...")</f>
        <v>Loading...</v>
      </c>
      <c r="V390" s="24"/>
      <c r="W390" s="19" t="str">
        <f ca="1">IFERROR(__xludf.DUMMYFUNCTION("IMPORTXML(AI390, ""//li[strong[text()='% International Units:']]"")"),"Loading...")</f>
        <v>Loading...</v>
      </c>
      <c r="X390" s="24"/>
      <c r="Y390" s="19" t="str">
        <f ca="1">IFERROR(__xludf.DUMMYFUNCTION("IMPORTXML(AI390, ""//li[strong[text()='US Franchised Units:']]"")"),"Loading...")</f>
        <v>Loading...</v>
      </c>
      <c r="Z390" s="24"/>
      <c r="AA390" s="14" t="str">
        <f t="shared" si="4"/>
        <v/>
      </c>
      <c r="AB390" s="19" t="str">
        <f ca="1">IFERROR(__xludf.DUMMYFUNCTION("IMPORTXML(AI390, ""//li[strong[text()='International Franchised Units:']]"")"),"International Franchised Units:")</f>
        <v>International Franchised Units:</v>
      </c>
      <c r="AC390" s="24">
        <f ca="1">IFERROR(__xludf.DUMMYFUNCTION("""COMPUTED_VALUE"""),0)</f>
        <v>0</v>
      </c>
      <c r="AD390" s="14" t="str">
        <f t="shared" ca="1" si="5"/>
        <v>0</v>
      </c>
      <c r="AE390" s="25" t="str">
        <f ca="1">IFERROR(__xludf.DUMMYFUNCTION("IMPORTXML(AI390, ""//li[strong[text()='Sales Growth %:']]"")"),"Loading...")</f>
        <v>Loading...</v>
      </c>
      <c r="AF390" s="24"/>
      <c r="AG390" s="25" t="str">
        <f ca="1">IFERROR(__xludf.DUMMYFUNCTION("IMPORTXML(AI390, ""//li[strong[text()='Unit Growth %:']]"")"),"Loading...")</f>
        <v>Loading...</v>
      </c>
      <c r="AH390" s="25"/>
      <c r="AI390" s="48" t="s">
        <v>396</v>
      </c>
      <c r="AJ390" s="27"/>
      <c r="AK390" s="27"/>
      <c r="AL390" s="27"/>
      <c r="AM390" s="27"/>
      <c r="AN390" s="27"/>
      <c r="AO390" s="27"/>
      <c r="AP390" s="27"/>
      <c r="AQ390" s="27"/>
    </row>
    <row r="391" spans="1:43" ht="14.25" customHeight="1">
      <c r="A391" s="42">
        <v>24.3900000000001</v>
      </c>
      <c r="B391" s="14">
        <v>2024</v>
      </c>
      <c r="C391" s="36">
        <v>390</v>
      </c>
      <c r="D391" s="16" t="str">
        <f ca="1">IFERROR(__xludf.DUMMYFUNCTION("IMPORTXML(AI391, ""//h1[@itemprop='headline']/span"")"),"297. Tide Dry Cleaners")</f>
        <v>297. Tide Dry Cleaners</v>
      </c>
      <c r="E391" s="17" t="str">
        <f ca="1">IFERROR(__xludf.DUMMYFUNCTION("REGEXEXTRACT(D391, ""\.\s*(.+)"")"),"Tide Dry Cleaners")</f>
        <v>Tide Dry Cleaners</v>
      </c>
      <c r="F391" s="18" t="str">
        <f ca="1">IFERROR(__xludf.DUMMYFUNCTION("IMPORTXML(AI391, ""//li[strong[text()='Investment Range:']]"")"),"Investment Range:")</f>
        <v>Investment Range:</v>
      </c>
      <c r="G391" s="43" t="str">
        <f ca="1">IFERROR(__xludf.DUMMYFUNCTION("""COMPUTED_VALUE""")," $709,700 - $1,505,800")</f>
        <v xml:space="preserve"> $709,700 - $1,505,800</v>
      </c>
      <c r="H391" s="18" t="str">
        <f ca="1">IFERROR(__xludf.DUMMYFUNCTION("SUBSTITUTE(REGEXEXTRACT(G391, ""\$(\d{1,3}(?:,\d{3})*)""), "","", ""."")
"),"709.700")</f>
        <v>709.700</v>
      </c>
      <c r="I391" s="19" t="str">
        <f ca="1">IFERROR(__xludf.DUMMYFUNCTION("SUBSTITUTE(REGEXEXTRACT(G391, ""-\s*\$(\d{1,3}(?:,\d{3})*)""), "","", ""."")
"),"1.505.800")</f>
        <v>1.505.800</v>
      </c>
      <c r="J391" s="19" t="str">
        <f ca="1">IFERROR(__xludf.DUMMYFUNCTION("IMPORTXML(AI391, ""//li[strong[text()='Initial Investment:']]"")"),"Loading...")</f>
        <v>Loading...</v>
      </c>
      <c r="K391" s="24"/>
      <c r="L391" s="20" t="str">
        <f ca="1">IFERROR(__xludf.DUMMYFUNCTION("IMPORTXML(AI391, ""//li[strong[text()='Category:']]"")"),"Loading...")</f>
        <v>Loading...</v>
      </c>
      <c r="M391" s="24"/>
      <c r="N391" s="19" t="str">
        <f ca="1">IFERROR(__xludf.DUMMYFUNCTION("IMPORTXML(AI391, ""//li[strong[text()='Global Sales:']]"")"),"Loading...")</f>
        <v>Loading...</v>
      </c>
      <c r="O391" s="24"/>
      <c r="P391" s="19" t="str">
        <f t="shared" si="3"/>
        <v/>
      </c>
      <c r="Q391" s="19" t="str">
        <f ca="1">IFERROR(__xludf.DUMMYFUNCTION("IMPORTXML(AI391, ""//li[strong[text()='US Units:']]"")"),"Loading...")</f>
        <v>Loading...</v>
      </c>
      <c r="R391" s="24"/>
      <c r="S391" s="19" t="str">
        <f ca="1">IFERROR(__xludf.DUMMYFUNCTION("IMPORTXML(AI391, ""//li[strong[text()='International Units:']]"")"),"Loading...")</f>
        <v>Loading...</v>
      </c>
      <c r="T391" s="44"/>
      <c r="U391" s="19" t="str">
        <f ca="1">IFERROR(__xludf.DUMMYFUNCTION("IMPORTXML(AI391, ""//li[strong[text()='Percent Franchised:']]"")"),"Loading...")</f>
        <v>Loading...</v>
      </c>
      <c r="V391" s="24"/>
      <c r="W391" s="19" t="str">
        <f ca="1">IFERROR(__xludf.DUMMYFUNCTION("IMPORTXML(AI391, ""//li[strong[text()='% International Units:']]"")"),"Loading...")</f>
        <v>Loading...</v>
      </c>
      <c r="X391" s="24"/>
      <c r="Y391" s="19" t="str">
        <f ca="1">IFERROR(__xludf.DUMMYFUNCTION("IMPORTXML(AI391, ""//li[strong[text()='US Franchised Units:']]"")"),"Loading...")</f>
        <v>Loading...</v>
      </c>
      <c r="Z391" s="24"/>
      <c r="AA391" s="14" t="str">
        <f t="shared" si="4"/>
        <v/>
      </c>
      <c r="AB391" s="19" t="str">
        <f ca="1">IFERROR(__xludf.DUMMYFUNCTION("IMPORTXML(AI391, ""//li[strong[text()='International Franchised Units:']]"")"),"Loading...")</f>
        <v>Loading...</v>
      </c>
      <c r="AC391" s="24"/>
      <c r="AD391" s="14" t="str">
        <f t="shared" si="5"/>
        <v/>
      </c>
      <c r="AE391" s="25" t="str">
        <f ca="1">IFERROR(__xludf.DUMMYFUNCTION("IMPORTXML(AI391, ""//li[strong[text()='Sales Growth %:']]"")"),"Loading...")</f>
        <v>Loading...</v>
      </c>
      <c r="AF391" s="24"/>
      <c r="AG391" s="25" t="str">
        <f ca="1">IFERROR(__xludf.DUMMYFUNCTION("IMPORTXML(AI391, ""//li[strong[text()='Unit Growth %:']]"")"),"Loading...")</f>
        <v>Loading...</v>
      </c>
      <c r="AH391" s="25"/>
      <c r="AI391" s="48" t="s">
        <v>304</v>
      </c>
      <c r="AJ391" s="27"/>
      <c r="AK391" s="27"/>
      <c r="AL391" s="27"/>
      <c r="AM391" s="27"/>
      <c r="AN391" s="27"/>
      <c r="AO391" s="27"/>
      <c r="AP391" s="27"/>
      <c r="AQ391" s="27"/>
    </row>
    <row r="392" spans="1:43" ht="14.25" customHeight="1">
      <c r="A392" s="42">
        <v>24.391000000000101</v>
      </c>
      <c r="B392" s="14">
        <v>2024</v>
      </c>
      <c r="C392" s="36">
        <v>391</v>
      </c>
      <c r="D392" s="16" t="str">
        <f ca="1">IFERROR(__xludf.DUMMYFUNCTION("IMPORTXML(AI392, ""//h1[@itemprop='headline']/span"")"),"391. Healthsource Chiropractic")</f>
        <v>391. Healthsource Chiropractic</v>
      </c>
      <c r="E392" s="17" t="str">
        <f ca="1">IFERROR(__xludf.DUMMYFUNCTION("REGEXEXTRACT(D392, ""\.\s*(.+)"")"),"Healthsource Chiropractic")</f>
        <v>Healthsource Chiropractic</v>
      </c>
      <c r="F392" s="18" t="str">
        <f ca="1">IFERROR(__xludf.DUMMYFUNCTION("IMPORTXML(AI392, ""//li[strong[text()='Investment Range:']]"")"),"Investment Range:")</f>
        <v>Investment Range:</v>
      </c>
      <c r="G392" s="43" t="str">
        <f ca="1">IFERROR(__xludf.DUMMYFUNCTION("""COMPUTED_VALUE""")," $314,897 - $541,847")</f>
        <v xml:space="preserve"> $314,897 - $541,847</v>
      </c>
      <c r="H392" s="18" t="str">
        <f ca="1">IFERROR(__xludf.DUMMYFUNCTION("SUBSTITUTE(REGEXEXTRACT(G392, ""\$(\d{1,3}(?:,\d{3})*)""), "","", ""."")
"),"314.897")</f>
        <v>314.897</v>
      </c>
      <c r="I392" s="19" t="str">
        <f ca="1">IFERROR(__xludf.DUMMYFUNCTION("SUBSTITUTE(REGEXEXTRACT(G392, ""-\s*\$(\d{1,3}(?:,\d{3})*)""), "","", ""."")
"),"541.847")</f>
        <v>541.847</v>
      </c>
      <c r="J392" s="19" t="str">
        <f ca="1">IFERROR(__xludf.DUMMYFUNCTION("IMPORTXML(AI392, ""//li[strong[text()='Initial Investment:']]"")"),"Loading...")</f>
        <v>Loading...</v>
      </c>
      <c r="K392" s="24"/>
      <c r="L392" s="20" t="str">
        <f ca="1">IFERROR(__xludf.DUMMYFUNCTION("IMPORTXML(AI392, ""//li[strong[text()='Category:']]"")"),"Loading...")</f>
        <v>Loading...</v>
      </c>
      <c r="M392" s="24"/>
      <c r="N392" s="19" t="str">
        <f ca="1">IFERROR(__xludf.DUMMYFUNCTION("IMPORTXML(AI392, ""//li[strong[text()='Global Sales:']]"")"),"Loading...")</f>
        <v>Loading...</v>
      </c>
      <c r="O392" s="24"/>
      <c r="P392" s="19" t="str">
        <f t="shared" si="3"/>
        <v/>
      </c>
      <c r="Q392" s="19" t="str">
        <f ca="1">IFERROR(__xludf.DUMMYFUNCTION("IMPORTXML(AI392, ""//li[strong[text()='US Units:']]"")"),"Loading...")</f>
        <v>Loading...</v>
      </c>
      <c r="R392" s="24"/>
      <c r="S392" s="19" t="str">
        <f ca="1">IFERROR(__xludf.DUMMYFUNCTION("IMPORTXML(AI392, ""//li[strong[text()='International Units:']]"")"),"Loading...")</f>
        <v>Loading...</v>
      </c>
      <c r="T392" s="44"/>
      <c r="U392" s="19" t="str">
        <f ca="1">IFERROR(__xludf.DUMMYFUNCTION("IMPORTXML(AI392, ""//li[strong[text()='Percent Franchised:']]"")"),"Loading...")</f>
        <v>Loading...</v>
      </c>
      <c r="V392" s="24"/>
      <c r="W392" s="19" t="str">
        <f ca="1">IFERROR(__xludf.DUMMYFUNCTION("IMPORTXML(AI392, ""//li[strong[text()='% International Units:']]"")"),"Loading...")</f>
        <v>Loading...</v>
      </c>
      <c r="X392" s="24"/>
      <c r="Y392" s="19" t="str">
        <f ca="1">IFERROR(__xludf.DUMMYFUNCTION("IMPORTXML(AI392, ""//li[strong[text()='US Franchised Units:']]"")"),"Loading...")</f>
        <v>Loading...</v>
      </c>
      <c r="Z392" s="24"/>
      <c r="AA392" s="14" t="str">
        <f t="shared" si="4"/>
        <v/>
      </c>
      <c r="AB392" s="19" t="str">
        <f ca="1">IFERROR(__xludf.DUMMYFUNCTION("IMPORTXML(AI392, ""//li[strong[text()='International Franchised Units:']]"")"),"Loading...")</f>
        <v>Loading...</v>
      </c>
      <c r="AC392" s="24"/>
      <c r="AD392" s="14" t="str">
        <f t="shared" si="5"/>
        <v/>
      </c>
      <c r="AE392" s="25" t="str">
        <f ca="1">IFERROR(__xludf.DUMMYFUNCTION("IMPORTXML(AI392, ""//li[strong[text()='Sales Growth %:']]"")"),"Loading...")</f>
        <v>Loading...</v>
      </c>
      <c r="AF392" s="24"/>
      <c r="AG392" s="25" t="str">
        <f ca="1">IFERROR(__xludf.DUMMYFUNCTION("IMPORTXML(AI392, ""//li[strong[text()='Unit Growth %:']]"")"),"Loading...")</f>
        <v>Loading...</v>
      </c>
      <c r="AH392" s="25"/>
      <c r="AI392" s="48" t="s">
        <v>397</v>
      </c>
      <c r="AJ392" s="27"/>
      <c r="AK392" s="27"/>
      <c r="AL392" s="27"/>
      <c r="AM392" s="27"/>
      <c r="AN392" s="27"/>
      <c r="AO392" s="27"/>
      <c r="AP392" s="27"/>
      <c r="AQ392" s="27"/>
    </row>
    <row r="393" spans="1:43" ht="14.25" customHeight="1">
      <c r="A393" s="42">
        <v>24.392000000000099</v>
      </c>
      <c r="B393" s="14">
        <v>2024</v>
      </c>
      <c r="C393" s="15">
        <v>392</v>
      </c>
      <c r="D393" s="16" t="str">
        <f ca="1">IFERROR(__xludf.DUMMYFUNCTION("IMPORTXML(AI393, ""//h1[@itemprop='headline']/span"")"),"392. Ellie Mental Health")</f>
        <v>392. Ellie Mental Health</v>
      </c>
      <c r="E393" s="17" t="str">
        <f ca="1">IFERROR(__xludf.DUMMYFUNCTION("REGEXEXTRACT(D393, ""\.\s*(.+)"")"),"Ellie Mental Health")</f>
        <v>Ellie Mental Health</v>
      </c>
      <c r="F393" s="18" t="str">
        <f ca="1">IFERROR(__xludf.DUMMYFUNCTION("IMPORTXML(AI393, ""//li[strong[text()='Investment Range:']]"")"),"#N/A")</f>
        <v>#N/A</v>
      </c>
      <c r="G393" s="43"/>
      <c r="H393" s="18" t="str">
        <f ca="1">IFERROR(__xludf.DUMMYFUNCTION("SUBSTITUTE(REGEXEXTRACT(G393, ""\$(\d{1,3}(?:,\d{3})*)""), "","", ""."")
"),"#N/A")</f>
        <v>#N/A</v>
      </c>
      <c r="I393" s="19" t="str">
        <f ca="1">IFERROR(__xludf.DUMMYFUNCTION("SUBSTITUTE(REGEXEXTRACT(G393, ""-\s*\$(\d{1,3}(?:,\d{3})*)""), "","", ""."")
"),"#N/A")</f>
        <v>#N/A</v>
      </c>
      <c r="J393" s="19" t="str">
        <f ca="1">IFERROR(__xludf.DUMMYFUNCTION("IMPORTXML(AI393, ""//li[strong[text()='Initial Investment:']]"")"),"Loading...")</f>
        <v>Loading...</v>
      </c>
      <c r="K393" s="24"/>
      <c r="L393" s="20" t="str">
        <f ca="1">IFERROR(__xludf.DUMMYFUNCTION("IMPORTXML(AI393, ""//li[strong[text()='Category:']]"")"),"Loading...")</f>
        <v>Loading...</v>
      </c>
      <c r="M393" s="24"/>
      <c r="N393" s="19" t="str">
        <f ca="1">IFERROR(__xludf.DUMMYFUNCTION("IMPORTXML(AI393, ""//li[strong[text()='Global Sales:']]"")"),"Loading...")</f>
        <v>Loading...</v>
      </c>
      <c r="O393" s="24"/>
      <c r="P393" s="19" t="str">
        <f t="shared" si="3"/>
        <v/>
      </c>
      <c r="Q393" s="19" t="str">
        <f ca="1">IFERROR(__xludf.DUMMYFUNCTION("IMPORTXML(AI393, ""//li[strong[text()='US Units:']]"")"),"Loading...")</f>
        <v>Loading...</v>
      </c>
      <c r="R393" s="24"/>
      <c r="S393" s="19" t="str">
        <f ca="1">IFERROR(__xludf.DUMMYFUNCTION("IMPORTXML(AI393, ""//li[strong[text()='International Units:']]"")"),"Loading...")</f>
        <v>Loading...</v>
      </c>
      <c r="T393" s="44"/>
      <c r="U393" s="19" t="str">
        <f ca="1">IFERROR(__xludf.DUMMYFUNCTION("IMPORTXML(AI393, ""//li[strong[text()='Percent Franchised:']]"")"),"Loading...")</f>
        <v>Loading...</v>
      </c>
      <c r="V393" s="24"/>
      <c r="W393" s="19" t="str">
        <f ca="1">IFERROR(__xludf.DUMMYFUNCTION("IMPORTXML(AI393, ""//li[strong[text()='% International Units:']]"")"),"Loading...")</f>
        <v>Loading...</v>
      </c>
      <c r="X393" s="24"/>
      <c r="Y393" s="19" t="str">
        <f ca="1">IFERROR(__xludf.DUMMYFUNCTION("IMPORTXML(AI393, ""//li[strong[text()='US Franchised Units:']]"")"),"Loading...")</f>
        <v>Loading...</v>
      </c>
      <c r="Z393" s="24"/>
      <c r="AA393" s="14" t="str">
        <f t="shared" si="4"/>
        <v/>
      </c>
      <c r="AB393" s="19" t="str">
        <f ca="1">IFERROR(__xludf.DUMMYFUNCTION("IMPORTXML(AI393, ""//li[strong[text()='International Franchised Units:']]"")"),"Loading...")</f>
        <v>Loading...</v>
      </c>
      <c r="AC393" s="24"/>
      <c r="AD393" s="14" t="str">
        <f t="shared" si="5"/>
        <v/>
      </c>
      <c r="AE393" s="25" t="str">
        <f ca="1">IFERROR(__xludf.DUMMYFUNCTION("IMPORTXML(AI393, ""//li[strong[text()='Sales Growth %:']]"")"),"Loading...")</f>
        <v>Loading...</v>
      </c>
      <c r="AF393" s="24"/>
      <c r="AG393" s="25" t="str">
        <f ca="1">IFERROR(__xludf.DUMMYFUNCTION("IMPORTXML(AI393, ""//li[strong[text()='Unit Growth %:']]"")"),"Loading...")</f>
        <v>Loading...</v>
      </c>
      <c r="AH393" s="25"/>
      <c r="AI393" s="48" t="s">
        <v>398</v>
      </c>
      <c r="AJ393" s="27"/>
      <c r="AK393" s="27"/>
      <c r="AL393" s="27"/>
      <c r="AM393" s="27"/>
      <c r="AN393" s="27"/>
      <c r="AO393" s="27"/>
      <c r="AP393" s="27"/>
      <c r="AQ393" s="27"/>
    </row>
    <row r="394" spans="1:43" ht="14.25" customHeight="1">
      <c r="A394" s="42">
        <v>24.3930000000001</v>
      </c>
      <c r="B394" s="14">
        <v>2024</v>
      </c>
      <c r="C394" s="32">
        <v>393</v>
      </c>
      <c r="D394" s="16" t="str">
        <f ca="1">IFERROR(__xludf.DUMMYFUNCTION("IMPORTXML(AI394, ""//h1[@itemprop='headline']/span"")"),"393. Gotcha Covered")</f>
        <v>393. Gotcha Covered</v>
      </c>
      <c r="E394" s="17" t="str">
        <f ca="1">IFERROR(__xludf.DUMMYFUNCTION("REGEXEXTRACT(D394, ""\.\s*(.+)"")"),"Gotcha Covered")</f>
        <v>Gotcha Covered</v>
      </c>
      <c r="F394" s="18" t="str">
        <f ca="1">IFERROR(__xludf.DUMMYFUNCTION("IMPORTXML(AI394, ""//li[strong[text()='Investment Range:']]"")"),"Investment Range:")</f>
        <v>Investment Range:</v>
      </c>
      <c r="G394" s="43" t="str">
        <f ca="1">IFERROR(__xludf.DUMMYFUNCTION("""COMPUTED_VALUE""")," $103,160 - $136,400")</f>
        <v xml:space="preserve"> $103,160 - $136,400</v>
      </c>
      <c r="H394" s="18" t="str">
        <f ca="1">IFERROR(__xludf.DUMMYFUNCTION("SUBSTITUTE(REGEXEXTRACT(G394, ""\$(\d{1,3}(?:,\d{3})*)""), "","", ""."")
"),"103.160")</f>
        <v>103.160</v>
      </c>
      <c r="I394" s="19" t="str">
        <f ca="1">IFERROR(__xludf.DUMMYFUNCTION("SUBSTITUTE(REGEXEXTRACT(G394, ""-\s*\$(\d{1,3}(?:,\d{3})*)""), "","", ""."")
"),"136.400")</f>
        <v>136.400</v>
      </c>
      <c r="J394" s="19" t="str">
        <f ca="1">IFERROR(__xludf.DUMMYFUNCTION("IMPORTXML(AI394, ""//li[strong[text()='Initial Investment:']]"")"),"Loading...")</f>
        <v>Loading...</v>
      </c>
      <c r="K394" s="24"/>
      <c r="L394" s="20" t="str">
        <f ca="1">IFERROR(__xludf.DUMMYFUNCTION("IMPORTXML(AI394, ""//li[strong[text()='Category:']]"")"),"Loading...")</f>
        <v>Loading...</v>
      </c>
      <c r="M394" s="24"/>
      <c r="N394" s="19" t="str">
        <f ca="1">IFERROR(__xludf.DUMMYFUNCTION("IMPORTXML(AI394, ""//li[strong[text()='Global Sales:']]"")"),"Loading...")</f>
        <v>Loading...</v>
      </c>
      <c r="O394" s="24"/>
      <c r="P394" s="19" t="str">
        <f t="shared" si="3"/>
        <v/>
      </c>
      <c r="Q394" s="19" t="str">
        <f ca="1">IFERROR(__xludf.DUMMYFUNCTION("IMPORTXML(AI394, ""//li[strong[text()='US Units:']]"")"),"Loading...")</f>
        <v>Loading...</v>
      </c>
      <c r="R394" s="24"/>
      <c r="S394" s="19" t="str">
        <f ca="1">IFERROR(__xludf.DUMMYFUNCTION("IMPORTXML(AI394, ""//li[strong[text()='International Units:']]"")"),"Loading...")</f>
        <v>Loading...</v>
      </c>
      <c r="T394" s="44"/>
      <c r="U394" s="19" t="str">
        <f ca="1">IFERROR(__xludf.DUMMYFUNCTION("IMPORTXML(AI394, ""//li[strong[text()='Percent Franchised:']]"")"),"Loading...")</f>
        <v>Loading...</v>
      </c>
      <c r="V394" s="24"/>
      <c r="W394" s="19" t="str">
        <f ca="1">IFERROR(__xludf.DUMMYFUNCTION("IMPORTXML(AI394, ""//li[strong[text()='% International Units:']]"")"),"Loading...")</f>
        <v>Loading...</v>
      </c>
      <c r="X394" s="24"/>
      <c r="Y394" s="19" t="str">
        <f ca="1">IFERROR(__xludf.DUMMYFUNCTION("IMPORTXML(AI394, ""//li[strong[text()='US Franchised Units:']]"")"),"Loading...")</f>
        <v>Loading...</v>
      </c>
      <c r="Z394" s="24"/>
      <c r="AA394" s="14" t="str">
        <f t="shared" si="4"/>
        <v/>
      </c>
      <c r="AB394" s="19" t="str">
        <f ca="1">IFERROR(__xludf.DUMMYFUNCTION("IMPORTXML(AI394, ""//li[strong[text()='International Franchised Units:']]"")"),"Loading...")</f>
        <v>Loading...</v>
      </c>
      <c r="AC394" s="24"/>
      <c r="AD394" s="14" t="str">
        <f t="shared" si="5"/>
        <v/>
      </c>
      <c r="AE394" s="25" t="str">
        <f ca="1">IFERROR(__xludf.DUMMYFUNCTION("IMPORTXML(AI394, ""//li[strong[text()='Sales Growth %:']]"")"),"Loading...")</f>
        <v>Loading...</v>
      </c>
      <c r="AF394" s="24"/>
      <c r="AG394" s="25" t="str">
        <f ca="1">IFERROR(__xludf.DUMMYFUNCTION("IMPORTXML(AI394, ""//li[strong[text()='Unit Growth %:']]"")"),"Loading...")</f>
        <v>Loading...</v>
      </c>
      <c r="AH394" s="25"/>
      <c r="AI394" s="48" t="s">
        <v>399</v>
      </c>
      <c r="AJ394" s="27"/>
      <c r="AK394" s="27"/>
      <c r="AL394" s="27"/>
      <c r="AM394" s="27"/>
      <c r="AN394" s="27"/>
      <c r="AO394" s="27"/>
      <c r="AP394" s="27"/>
      <c r="AQ394" s="27"/>
    </row>
    <row r="395" spans="1:43" ht="14.25" customHeight="1">
      <c r="A395" s="42">
        <v>24.394000000000101</v>
      </c>
      <c r="B395" s="14">
        <v>2024</v>
      </c>
      <c r="C395" s="36">
        <v>394</v>
      </c>
      <c r="D395" s="16" t="str">
        <f ca="1">IFERROR(__xludf.DUMMYFUNCTION("IMPORTXML(AI395, ""//h1[@itemprop='headline']/span"")"),"394. Units Moving and Portable Storage")</f>
        <v>394. Units Moving and Portable Storage</v>
      </c>
      <c r="E395" s="17" t="str">
        <f ca="1">IFERROR(__xludf.DUMMYFUNCTION("REGEXEXTRACT(D395, ""\.\s*(.+)"")"),"Units Moving and Portable Storage")</f>
        <v>Units Moving and Portable Storage</v>
      </c>
      <c r="F395" s="18" t="str">
        <f ca="1">IFERROR(__xludf.DUMMYFUNCTION("IMPORTXML(AI395, ""//li[strong[text()='Investment Range:']]"")"),"Investment Range:")</f>
        <v>Investment Range:</v>
      </c>
      <c r="G395" s="43" t="str">
        <f ca="1">IFERROR(__xludf.DUMMYFUNCTION("""COMPUTED_VALUE""")," $707,640 - $1,244,400")</f>
        <v xml:space="preserve"> $707,640 - $1,244,400</v>
      </c>
      <c r="H395" s="18" t="str">
        <f ca="1">IFERROR(__xludf.DUMMYFUNCTION("SUBSTITUTE(REGEXEXTRACT(G395, ""\$(\d{1,3}(?:,\d{3})*)""), "","", ""."")
"),"707.640")</f>
        <v>707.640</v>
      </c>
      <c r="I395" s="19" t="str">
        <f ca="1">IFERROR(__xludf.DUMMYFUNCTION("SUBSTITUTE(REGEXEXTRACT(G395, ""-\s*\$(\d{1,3}(?:,\d{3})*)""), "","", ""."")
"),"1.244.400")</f>
        <v>1.244.400</v>
      </c>
      <c r="J395" s="19" t="str">
        <f ca="1">IFERROR(__xludf.DUMMYFUNCTION("IMPORTXML(AI395, ""//li[strong[text()='Initial Investment:']]"")"),"Loading...")</f>
        <v>Loading...</v>
      </c>
      <c r="K395" s="24"/>
      <c r="L395" s="20" t="str">
        <f ca="1">IFERROR(__xludf.DUMMYFUNCTION("IMPORTXML(AI395, ""//li[strong[text()='Category:']]"")"),"Loading...")</f>
        <v>Loading...</v>
      </c>
      <c r="M395" s="24"/>
      <c r="N395" s="19" t="str">
        <f ca="1">IFERROR(__xludf.DUMMYFUNCTION("IMPORTXML(AI395, ""//li[strong[text()='Global Sales:']]"")"),"Loading...")</f>
        <v>Loading...</v>
      </c>
      <c r="O395" s="24"/>
      <c r="P395" s="19" t="str">
        <f t="shared" si="3"/>
        <v/>
      </c>
      <c r="Q395" s="19" t="str">
        <f ca="1">IFERROR(__xludf.DUMMYFUNCTION("IMPORTXML(AI395, ""//li[strong[text()='US Units:']]"")"),"Loading...")</f>
        <v>Loading...</v>
      </c>
      <c r="R395" s="24"/>
      <c r="S395" s="19" t="str">
        <f ca="1">IFERROR(__xludf.DUMMYFUNCTION("IMPORTXML(AI395, ""//li[strong[text()='International Units:']]"")"),"Loading...")</f>
        <v>Loading...</v>
      </c>
      <c r="T395" s="44"/>
      <c r="U395" s="19" t="str">
        <f ca="1">IFERROR(__xludf.DUMMYFUNCTION("IMPORTXML(AI395, ""//li[strong[text()='Percent Franchised:']]"")"),"Loading...")</f>
        <v>Loading...</v>
      </c>
      <c r="V395" s="24"/>
      <c r="W395" s="19" t="str">
        <f ca="1">IFERROR(__xludf.DUMMYFUNCTION("IMPORTXML(AI395, ""//li[strong[text()='% International Units:']]"")"),"Loading...")</f>
        <v>Loading...</v>
      </c>
      <c r="X395" s="24"/>
      <c r="Y395" s="19" t="str">
        <f ca="1">IFERROR(__xludf.DUMMYFUNCTION("IMPORTXML(AI395, ""//li[strong[text()='US Franchised Units:']]"")"),"Loading...")</f>
        <v>Loading...</v>
      </c>
      <c r="Z395" s="24"/>
      <c r="AA395" s="14" t="str">
        <f t="shared" si="4"/>
        <v/>
      </c>
      <c r="AB395" s="19" t="str">
        <f ca="1">IFERROR(__xludf.DUMMYFUNCTION("IMPORTXML(AI395, ""//li[strong[text()='International Franchised Units:']]"")"),"Loading...")</f>
        <v>Loading...</v>
      </c>
      <c r="AC395" s="24"/>
      <c r="AD395" s="14" t="str">
        <f t="shared" si="5"/>
        <v/>
      </c>
      <c r="AE395" s="25" t="str">
        <f ca="1">IFERROR(__xludf.DUMMYFUNCTION("IMPORTXML(AI395, ""//li[strong[text()='Sales Growth %:']]"")"),"Loading...")</f>
        <v>Loading...</v>
      </c>
      <c r="AF395" s="24"/>
      <c r="AG395" s="25" t="str">
        <f ca="1">IFERROR(__xludf.DUMMYFUNCTION("IMPORTXML(AI395, ""//li[strong[text()='Unit Growth %:']]"")"),"Loading...")</f>
        <v>Loading...</v>
      </c>
      <c r="AH395" s="25"/>
      <c r="AI395" s="48" t="s">
        <v>400</v>
      </c>
      <c r="AJ395" s="27"/>
      <c r="AK395" s="27"/>
      <c r="AL395" s="27"/>
      <c r="AM395" s="27"/>
      <c r="AN395" s="27"/>
      <c r="AO395" s="27"/>
      <c r="AP395" s="27"/>
      <c r="AQ395" s="27"/>
    </row>
    <row r="396" spans="1:43" ht="14.25" customHeight="1">
      <c r="A396" s="42">
        <v>24.395000000000099</v>
      </c>
      <c r="B396" s="14">
        <v>2024</v>
      </c>
      <c r="C396" s="36">
        <v>395</v>
      </c>
      <c r="D396" s="16" t="str">
        <f ca="1">IFERROR(__xludf.DUMMYFUNCTION("IMPORTXML(AI396, ""//h1[@itemprop='headline']/span"")"),"395. HOODZ")</f>
        <v>395. HOODZ</v>
      </c>
      <c r="E396" s="17" t="str">
        <f ca="1">IFERROR(__xludf.DUMMYFUNCTION("REGEXEXTRACT(D396, ""\.\s*(.+)"")"),"HOODZ")</f>
        <v>HOODZ</v>
      </c>
      <c r="F396" s="18" t="str">
        <f ca="1">IFERROR(__xludf.DUMMYFUNCTION("IMPORTXML(AI396, ""//li[strong[text()='Investment Range:']]"")"),"Investment Range:")</f>
        <v>Investment Range:</v>
      </c>
      <c r="G396" s="43" t="str">
        <f ca="1">IFERROR(__xludf.DUMMYFUNCTION("""COMPUTED_VALUE""")," $183,838 - $231,992")</f>
        <v xml:space="preserve"> $183,838 - $231,992</v>
      </c>
      <c r="H396" s="18" t="str">
        <f ca="1">IFERROR(__xludf.DUMMYFUNCTION("SUBSTITUTE(REGEXEXTRACT(G396, ""\$(\d{1,3}(?:,\d{3})*)""), "","", ""."")
"),"183.838")</f>
        <v>183.838</v>
      </c>
      <c r="I396" s="19" t="str">
        <f ca="1">IFERROR(__xludf.DUMMYFUNCTION("SUBSTITUTE(REGEXEXTRACT(G396, ""-\s*\$(\d{1,3}(?:,\d{3})*)""), "","", ""."")
"),"231.992")</f>
        <v>231.992</v>
      </c>
      <c r="J396" s="19" t="str">
        <f ca="1">IFERROR(__xludf.DUMMYFUNCTION("IMPORTXML(AI396, ""//li[strong[text()='Initial Investment:']]"")"),"Loading...")</f>
        <v>Loading...</v>
      </c>
      <c r="K396" s="24"/>
      <c r="L396" s="20" t="str">
        <f ca="1">IFERROR(__xludf.DUMMYFUNCTION("IMPORTXML(AI396, ""//li[strong[text()='Category:']]"")"),"Loading...")</f>
        <v>Loading...</v>
      </c>
      <c r="M396" s="24"/>
      <c r="N396" s="19" t="str">
        <f ca="1">IFERROR(__xludf.DUMMYFUNCTION("IMPORTXML(AI396, ""//li[strong[text()='Global Sales:']]"")"),"Loading...")</f>
        <v>Loading...</v>
      </c>
      <c r="O396" s="24"/>
      <c r="P396" s="19" t="str">
        <f t="shared" si="3"/>
        <v/>
      </c>
      <c r="Q396" s="19" t="str">
        <f ca="1">IFERROR(__xludf.DUMMYFUNCTION("IMPORTXML(AI396, ""//li[strong[text()='US Units:']]"")"),"Loading...")</f>
        <v>Loading...</v>
      </c>
      <c r="R396" s="24"/>
      <c r="S396" s="19" t="str">
        <f ca="1">IFERROR(__xludf.DUMMYFUNCTION("IMPORTXML(AI396, ""//li[strong[text()='International Units:']]"")"),"Loading...")</f>
        <v>Loading...</v>
      </c>
      <c r="T396" s="44"/>
      <c r="U396" s="19" t="str">
        <f ca="1">IFERROR(__xludf.DUMMYFUNCTION("IMPORTXML(AI396, ""//li[strong[text()='Percent Franchised:']]"")"),"Percent Franchised:")</f>
        <v>Percent Franchised:</v>
      </c>
      <c r="V396" s="45">
        <f ca="1">IFERROR(__xludf.DUMMYFUNCTION("""COMPUTED_VALUE"""),0.96)</f>
        <v>0.96</v>
      </c>
      <c r="W396" s="19" t="str">
        <f ca="1">IFERROR(__xludf.DUMMYFUNCTION("IMPORTXML(AI396, ""//li[strong[text()='% International Units:']]"")"),"Loading...")</f>
        <v>Loading...</v>
      </c>
      <c r="X396" s="24"/>
      <c r="Y396" s="19" t="str">
        <f ca="1">IFERROR(__xludf.DUMMYFUNCTION("IMPORTXML(AI396, ""//li[strong[text()='US Franchised Units:']]"")"),"Loading...")</f>
        <v>Loading...</v>
      </c>
      <c r="Z396" s="24"/>
      <c r="AA396" s="14" t="str">
        <f t="shared" si="4"/>
        <v/>
      </c>
      <c r="AB396" s="19" t="str">
        <f ca="1">IFERROR(__xludf.DUMMYFUNCTION("IMPORTXML(AI396, ""//li[strong[text()='International Franchised Units:']]"")"),"Loading...")</f>
        <v>Loading...</v>
      </c>
      <c r="AC396" s="24"/>
      <c r="AD396" s="14" t="str">
        <f t="shared" si="5"/>
        <v/>
      </c>
      <c r="AE396" s="25" t="str">
        <f ca="1">IFERROR(__xludf.DUMMYFUNCTION("IMPORTXML(AI396, ""//li[strong[text()='Sales Growth %:']]"")"),"Loading...")</f>
        <v>Loading...</v>
      </c>
      <c r="AF396" s="24"/>
      <c r="AG396" s="25" t="str">
        <f ca="1">IFERROR(__xludf.DUMMYFUNCTION("IMPORTXML(AI396, ""//li[strong[text()='Unit Growth %:']]"")"),"Loading...")</f>
        <v>Loading...</v>
      </c>
      <c r="AH396" s="25"/>
      <c r="AI396" s="48" t="s">
        <v>401</v>
      </c>
      <c r="AJ396" s="27"/>
      <c r="AK396" s="27"/>
      <c r="AL396" s="27"/>
      <c r="AM396" s="27"/>
      <c r="AN396" s="27"/>
      <c r="AO396" s="27"/>
      <c r="AP396" s="27"/>
      <c r="AQ396" s="27"/>
    </row>
    <row r="397" spans="1:43" ht="14.25" customHeight="1">
      <c r="A397" s="42">
        <v>24.3960000000001</v>
      </c>
      <c r="B397" s="14">
        <v>2024</v>
      </c>
      <c r="C397" s="15">
        <v>396</v>
      </c>
      <c r="D397" s="16" t="str">
        <f ca="1">IFERROR(__xludf.DUMMYFUNCTION("IMPORTXML(AI397, ""//h1[@itemprop='headline']/span"")"),"396. Cousins Maine Lobster")</f>
        <v>396. Cousins Maine Lobster</v>
      </c>
      <c r="E397" s="17" t="str">
        <f ca="1">IFERROR(__xludf.DUMMYFUNCTION("REGEXEXTRACT(D397, ""\.\s*(.+)"")"),"Cousins Maine Lobster")</f>
        <v>Cousins Maine Lobster</v>
      </c>
      <c r="F397" s="18" t="str">
        <f ca="1">IFERROR(__xludf.DUMMYFUNCTION("IMPORTXML(AI397, ""//li[strong[text()='Investment Range:']]"")"),"Investment Range:")</f>
        <v>Investment Range:</v>
      </c>
      <c r="G397" s="43" t="str">
        <f ca="1">IFERROR(__xludf.DUMMYFUNCTION("""COMPUTED_VALUE""")," $266,700 - $968,900")</f>
        <v xml:space="preserve"> $266,700 - $968,900</v>
      </c>
      <c r="H397" s="18" t="str">
        <f ca="1">IFERROR(__xludf.DUMMYFUNCTION("SUBSTITUTE(REGEXEXTRACT(G397, ""\$(\d{1,3}(?:,\d{3})*)""), "","", ""."")
"),"266.700")</f>
        <v>266.700</v>
      </c>
      <c r="I397" s="19" t="str">
        <f ca="1">IFERROR(__xludf.DUMMYFUNCTION("SUBSTITUTE(REGEXEXTRACT(G397, ""-\s*\$(\d{1,3}(?:,\d{3})*)""), "","", ""."")
"),"968.900")</f>
        <v>968.900</v>
      </c>
      <c r="J397" s="19" t="str">
        <f ca="1">IFERROR(__xludf.DUMMYFUNCTION("IMPORTXML(AI397, ""//li[strong[text()='Initial Investment:']]"")"),"Loading...")</f>
        <v>Loading...</v>
      </c>
      <c r="K397" s="24"/>
      <c r="L397" s="20" t="str">
        <f ca="1">IFERROR(__xludf.DUMMYFUNCTION("IMPORTXML(AI397, ""//li[strong[text()='Category:']]"")"),"Loading...")</f>
        <v>Loading...</v>
      </c>
      <c r="M397" s="24"/>
      <c r="N397" s="19" t="str">
        <f ca="1">IFERROR(__xludf.DUMMYFUNCTION("IMPORTXML(AI397, ""//li[strong[text()='Global Sales:']]"")"),"Loading...")</f>
        <v>Loading...</v>
      </c>
      <c r="O397" s="24"/>
      <c r="P397" s="19" t="str">
        <f t="shared" si="3"/>
        <v/>
      </c>
      <c r="Q397" s="19" t="str">
        <f ca="1">IFERROR(__xludf.DUMMYFUNCTION("IMPORTXML(AI397, ""//li[strong[text()='US Units:']]"")"),"Loading...")</f>
        <v>Loading...</v>
      </c>
      <c r="R397" s="24"/>
      <c r="S397" s="19" t="str">
        <f ca="1">IFERROR(__xludf.DUMMYFUNCTION("IMPORTXML(AI397, ""//li[strong[text()='International Units:']]"")"),"Loading...")</f>
        <v>Loading...</v>
      </c>
      <c r="T397" s="44"/>
      <c r="U397" s="19" t="str">
        <f ca="1">IFERROR(__xludf.DUMMYFUNCTION("IMPORTXML(AI397, ""//li[strong[text()='Percent Franchised:']]"")"),"Loading...")</f>
        <v>Loading...</v>
      </c>
      <c r="V397" s="24"/>
      <c r="W397" s="19" t="str">
        <f ca="1">IFERROR(__xludf.DUMMYFUNCTION("IMPORTXML(AI397, ""//li[strong[text()='% International Units:']]"")"),"Loading...")</f>
        <v>Loading...</v>
      </c>
      <c r="X397" s="24"/>
      <c r="Y397" s="19" t="str">
        <f ca="1">IFERROR(__xludf.DUMMYFUNCTION("IMPORTXML(AI397, ""//li[strong[text()='US Franchised Units:']]"")"),"Loading...")</f>
        <v>Loading...</v>
      </c>
      <c r="Z397" s="24"/>
      <c r="AA397" s="14" t="str">
        <f t="shared" si="4"/>
        <v/>
      </c>
      <c r="AB397" s="19" t="str">
        <f ca="1">IFERROR(__xludf.DUMMYFUNCTION("IMPORTXML(AI397, ""//li[strong[text()='International Franchised Units:']]"")"),"Loading...")</f>
        <v>Loading...</v>
      </c>
      <c r="AC397" s="24"/>
      <c r="AD397" s="14" t="str">
        <f t="shared" si="5"/>
        <v/>
      </c>
      <c r="AE397" s="25" t="str">
        <f ca="1">IFERROR(__xludf.DUMMYFUNCTION("IMPORTXML(AI397, ""//li[strong[text()='Sales Growth %:']]"")"),"Loading...")</f>
        <v>Loading...</v>
      </c>
      <c r="AF397" s="24"/>
      <c r="AG397" s="25" t="str">
        <f ca="1">IFERROR(__xludf.DUMMYFUNCTION("IMPORTXML(AI397, ""//li[strong[text()='Unit Growth %:']]"")"),"Loading...")</f>
        <v>Loading...</v>
      </c>
      <c r="AH397" s="25"/>
      <c r="AI397" s="48" t="s">
        <v>402</v>
      </c>
      <c r="AJ397" s="27"/>
      <c r="AK397" s="27"/>
      <c r="AL397" s="27"/>
      <c r="AM397" s="27"/>
      <c r="AN397" s="27"/>
      <c r="AO397" s="27"/>
      <c r="AP397" s="27"/>
      <c r="AQ397" s="27"/>
    </row>
    <row r="398" spans="1:43" ht="14.25" customHeight="1">
      <c r="A398" s="42">
        <v>24.397000000000101</v>
      </c>
      <c r="B398" s="14">
        <v>2024</v>
      </c>
      <c r="C398" s="32">
        <v>397</v>
      </c>
      <c r="D398" s="16" t="str">
        <f ca="1">IFERROR(__xludf.DUMMYFUNCTION("IMPORTXML(AI398, ""//h1[@itemprop='headline']/span"")"),"397. Flylock Security Solutions")</f>
        <v>397. Flylock Security Solutions</v>
      </c>
      <c r="E398" s="17" t="str">
        <f ca="1">IFERROR(__xludf.DUMMYFUNCTION("REGEXEXTRACT(D398, ""\.\s*(.+)"")"),"Flylock Security Solutions")</f>
        <v>Flylock Security Solutions</v>
      </c>
      <c r="F398" s="18" t="str">
        <f ca="1">IFERROR(__xludf.DUMMYFUNCTION("IMPORTXML(AI398, ""//li[strong[text()='Investment Range:']]"")"),"Investment Range:")</f>
        <v>Investment Range:</v>
      </c>
      <c r="G398" s="43" t="str">
        <f ca="1">IFERROR(__xludf.DUMMYFUNCTION("""COMPUTED_VALUE""")," $150,514 - $395,514")</f>
        <v xml:space="preserve"> $150,514 - $395,514</v>
      </c>
      <c r="H398" s="18" t="str">
        <f ca="1">IFERROR(__xludf.DUMMYFUNCTION("SUBSTITUTE(REGEXEXTRACT(G398, ""\$(\d{1,3}(?:,\d{3})*)""), "","", ""."")
"),"150.514")</f>
        <v>150.514</v>
      </c>
      <c r="I398" s="19" t="str">
        <f ca="1">IFERROR(__xludf.DUMMYFUNCTION("SUBSTITUTE(REGEXEXTRACT(G398, ""-\s*\$(\d{1,3}(?:,\d{3})*)""), "","", ""."")
"),"395.514")</f>
        <v>395.514</v>
      </c>
      <c r="J398" s="19" t="str">
        <f ca="1">IFERROR(__xludf.DUMMYFUNCTION("IMPORTXML(AI398, ""//li[strong[text()='Initial Investment:']]"")"),"Loading...")</f>
        <v>Loading...</v>
      </c>
      <c r="K398" s="24"/>
      <c r="L398" s="20" t="str">
        <f ca="1">IFERROR(__xludf.DUMMYFUNCTION("IMPORTXML(AI398, ""//li[strong[text()='Category:']]"")"),"Loading...")</f>
        <v>Loading...</v>
      </c>
      <c r="M398" s="24"/>
      <c r="N398" s="19" t="str">
        <f ca="1">IFERROR(__xludf.DUMMYFUNCTION("IMPORTXML(AI398, ""//li[strong[text()='Global Sales:']]"")"),"Loading...")</f>
        <v>Loading...</v>
      </c>
      <c r="O398" s="24"/>
      <c r="P398" s="19" t="str">
        <f t="shared" si="3"/>
        <v/>
      </c>
      <c r="Q398" s="19" t="str">
        <f ca="1">IFERROR(__xludf.DUMMYFUNCTION("IMPORTXML(AI398, ""//li[strong[text()='US Units:']]"")"),"Loading...")</f>
        <v>Loading...</v>
      </c>
      <c r="R398" s="24"/>
      <c r="S398" s="19" t="str">
        <f ca="1">IFERROR(__xludf.DUMMYFUNCTION("IMPORTXML(AI398, ""//li[strong[text()='International Units:']]"")"),"Loading...")</f>
        <v>Loading...</v>
      </c>
      <c r="T398" s="44"/>
      <c r="U398" s="19" t="str">
        <f ca="1">IFERROR(__xludf.DUMMYFUNCTION("IMPORTXML(AI398, ""//li[strong[text()='Percent Franchised:']]"")"),"Loading...")</f>
        <v>Loading...</v>
      </c>
      <c r="V398" s="24"/>
      <c r="W398" s="19" t="str">
        <f ca="1">IFERROR(__xludf.DUMMYFUNCTION("IMPORTXML(AI398, ""//li[strong[text()='% International Units:']]"")"),"Loading...")</f>
        <v>Loading...</v>
      </c>
      <c r="X398" s="24"/>
      <c r="Y398" s="19" t="str">
        <f ca="1">IFERROR(__xludf.DUMMYFUNCTION("IMPORTXML(AI398, ""//li[strong[text()='US Franchised Units:']]"")"),"Loading...")</f>
        <v>Loading...</v>
      </c>
      <c r="Z398" s="24"/>
      <c r="AA398" s="14" t="str">
        <f t="shared" si="4"/>
        <v/>
      </c>
      <c r="AB398" s="19" t="str">
        <f ca="1">IFERROR(__xludf.DUMMYFUNCTION("IMPORTXML(AI398, ""//li[strong[text()='International Franchised Units:']]"")"),"Loading...")</f>
        <v>Loading...</v>
      </c>
      <c r="AC398" s="24"/>
      <c r="AD398" s="14" t="str">
        <f t="shared" si="5"/>
        <v/>
      </c>
      <c r="AE398" s="25" t="str">
        <f ca="1">IFERROR(__xludf.DUMMYFUNCTION("IMPORTXML(AI398, ""//li[strong[text()='Sales Growth %:']]"")"),"Sales Growth %:")</f>
        <v>Sales Growth %:</v>
      </c>
      <c r="AF398" s="24" t="str">
        <f ca="1">IFERROR(__xludf.DUMMYFUNCTION("""COMPUTED_VALUE""")," 14.7%")</f>
        <v xml:space="preserve"> 14.7%</v>
      </c>
      <c r="AG398" s="25" t="str">
        <f ca="1">IFERROR(__xludf.DUMMYFUNCTION("IMPORTXML(AI398, ""//li[strong[text()='Unit Growth %:']]"")"),"Loading...")</f>
        <v>Loading...</v>
      </c>
      <c r="AH398" s="25"/>
      <c r="AI398" s="48" t="s">
        <v>403</v>
      </c>
      <c r="AJ398" s="27"/>
      <c r="AK398" s="27"/>
      <c r="AL398" s="27"/>
      <c r="AM398" s="27"/>
      <c r="AN398" s="27"/>
      <c r="AO398" s="27"/>
      <c r="AP398" s="27"/>
      <c r="AQ398" s="27"/>
    </row>
    <row r="399" spans="1:43" ht="14.25" customHeight="1">
      <c r="A399" s="42">
        <v>24.398000000000099</v>
      </c>
      <c r="B399" s="14">
        <v>2024</v>
      </c>
      <c r="C399" s="36">
        <v>398</v>
      </c>
      <c r="D399" s="16" t="str">
        <f ca="1">IFERROR(__xludf.DUMMYFUNCTION("IMPORTXML(AI399, ""//h1[@itemprop='headline']/span"")"),"398. Mr. Transmission")</f>
        <v>398. Mr. Transmission</v>
      </c>
      <c r="E399" s="17" t="str">
        <f ca="1">IFERROR(__xludf.DUMMYFUNCTION("REGEXEXTRACT(D399, ""\.\s*(.+)"")"),"Mr. Transmission")</f>
        <v>Mr. Transmission</v>
      </c>
      <c r="F399" s="18" t="str">
        <f ca="1">IFERROR(__xludf.DUMMYFUNCTION("IMPORTXML(AI399, ""//li[strong[text()='Investment Range:']]"")"),"Investment Range:")</f>
        <v>Investment Range:</v>
      </c>
      <c r="G399" s="43" t="str">
        <f ca="1">IFERROR(__xludf.DUMMYFUNCTION("""COMPUTED_VALUE""")," $248,600 - $323,100")</f>
        <v xml:space="preserve"> $248,600 - $323,100</v>
      </c>
      <c r="H399" s="18" t="str">
        <f ca="1">IFERROR(__xludf.DUMMYFUNCTION("SUBSTITUTE(REGEXEXTRACT(G399, ""\$(\d{1,3}(?:,\d{3})*)""), "","", ""."")
"),"248.600")</f>
        <v>248.600</v>
      </c>
      <c r="I399" s="19" t="str">
        <f ca="1">IFERROR(__xludf.DUMMYFUNCTION("SUBSTITUTE(REGEXEXTRACT(G399, ""-\s*\$(\d{1,3}(?:,\d{3})*)""), "","", ""."")
"),"323.100")</f>
        <v>323.100</v>
      </c>
      <c r="J399" s="19" t="str">
        <f ca="1">IFERROR(__xludf.DUMMYFUNCTION("IMPORTXML(AI399, ""//li[strong[text()='Initial Investment:']]"")"),"Loading...")</f>
        <v>Loading...</v>
      </c>
      <c r="K399" s="24"/>
      <c r="L399" s="20" t="str">
        <f ca="1">IFERROR(__xludf.DUMMYFUNCTION("IMPORTXML(AI399, ""//li[strong[text()='Category:']]"")"),"Loading...")</f>
        <v>Loading...</v>
      </c>
      <c r="M399" s="24"/>
      <c r="N399" s="19" t="str">
        <f ca="1">IFERROR(__xludf.DUMMYFUNCTION("IMPORTXML(AI399, ""//li[strong[text()='Global Sales:']]"")"),"Loading...")</f>
        <v>Loading...</v>
      </c>
      <c r="O399" s="24"/>
      <c r="P399" s="19" t="str">
        <f t="shared" si="3"/>
        <v/>
      </c>
      <c r="Q399" s="19" t="str">
        <f ca="1">IFERROR(__xludf.DUMMYFUNCTION("IMPORTXML(AI399, ""//li[strong[text()='US Units:']]"")"),"Loading...")</f>
        <v>Loading...</v>
      </c>
      <c r="R399" s="24"/>
      <c r="S399" s="19" t="str">
        <f ca="1">IFERROR(__xludf.DUMMYFUNCTION("IMPORTXML(AI399, ""//li[strong[text()='International Units:']]"")"),"International Units:")</f>
        <v>International Units:</v>
      </c>
      <c r="T399" s="44">
        <f ca="1">IFERROR(__xludf.DUMMYFUNCTION("""COMPUTED_VALUE"""),2)</f>
        <v>2</v>
      </c>
      <c r="U399" s="19" t="str">
        <f ca="1">IFERROR(__xludf.DUMMYFUNCTION("IMPORTXML(AI399, ""//li[strong[text()='Percent Franchised:']]"")"),"Loading...")</f>
        <v>Loading...</v>
      </c>
      <c r="V399" s="24"/>
      <c r="W399" s="19" t="str">
        <f ca="1">IFERROR(__xludf.DUMMYFUNCTION("IMPORTXML(AI399, ""//li[strong[text()='% International Units:']]"")"),"Loading...")</f>
        <v>Loading...</v>
      </c>
      <c r="X399" s="24"/>
      <c r="Y399" s="19" t="str">
        <f ca="1">IFERROR(__xludf.DUMMYFUNCTION("IMPORTXML(AI399, ""//li[strong[text()='US Franchised Units:']]"")"),"Loading...")</f>
        <v>Loading...</v>
      </c>
      <c r="Z399" s="24"/>
      <c r="AA399" s="14" t="str">
        <f t="shared" si="4"/>
        <v/>
      </c>
      <c r="AB399" s="19" t="str">
        <f ca="1">IFERROR(__xludf.DUMMYFUNCTION("IMPORTXML(AI399, ""//li[strong[text()='International Franchised Units:']]"")"),"Loading...")</f>
        <v>Loading...</v>
      </c>
      <c r="AC399" s="24"/>
      <c r="AD399" s="14" t="str">
        <f t="shared" si="5"/>
        <v/>
      </c>
      <c r="AE399" s="25" t="str">
        <f ca="1">IFERROR(__xludf.DUMMYFUNCTION("IMPORTXML(AI399, ""//li[strong[text()='Sales Growth %:']]"")"),"Loading...")</f>
        <v>Loading...</v>
      </c>
      <c r="AF399" s="24"/>
      <c r="AG399" s="25" t="str">
        <f ca="1">IFERROR(__xludf.DUMMYFUNCTION("IMPORTXML(AI399, ""//li[strong[text()='Unit Growth %:']]"")"),"Loading...")</f>
        <v>Loading...</v>
      </c>
      <c r="AH399" s="25"/>
      <c r="AI399" s="48" t="s">
        <v>404</v>
      </c>
      <c r="AJ399" s="27"/>
      <c r="AK399" s="27"/>
      <c r="AL399" s="27"/>
      <c r="AM399" s="27"/>
      <c r="AN399" s="27"/>
      <c r="AO399" s="27"/>
      <c r="AP399" s="27"/>
      <c r="AQ399" s="27"/>
    </row>
    <row r="400" spans="1:43" ht="14.25" customHeight="1">
      <c r="A400" s="42">
        <v>24.3990000000001</v>
      </c>
      <c r="B400" s="14">
        <v>2024</v>
      </c>
      <c r="C400" s="36">
        <v>399</v>
      </c>
      <c r="D400" s="16" t="str">
        <f ca="1">IFERROR(__xludf.DUMMYFUNCTION("IMPORTXML(AI400, ""//h1[@itemprop='headline']/span"")"),"399. The Junkluggers")</f>
        <v>399. The Junkluggers</v>
      </c>
      <c r="E400" s="17" t="str">
        <f ca="1">IFERROR(__xludf.DUMMYFUNCTION("REGEXEXTRACT(D400, ""\.\s*(.+)"")"),"The Junkluggers")</f>
        <v>The Junkluggers</v>
      </c>
      <c r="F400" s="18" t="str">
        <f ca="1">IFERROR(__xludf.DUMMYFUNCTION("IMPORTXML(AI400, ""//li[strong[text()='Investment Range:']]"")"),"Investment Range:")</f>
        <v>Investment Range:</v>
      </c>
      <c r="G400" s="43" t="str">
        <f ca="1">IFERROR(__xludf.DUMMYFUNCTION("""COMPUTED_VALUE""")," $96,010 - $339,160")</f>
        <v xml:space="preserve"> $96,010 - $339,160</v>
      </c>
      <c r="H400" s="18" t="str">
        <f ca="1">IFERROR(__xludf.DUMMYFUNCTION("SUBSTITUTE(REGEXEXTRACT(G400, ""\$(\d{1,3}(?:,\d{3})*)""), "","", ""."")
"),"96.010")</f>
        <v>96.010</v>
      </c>
      <c r="I400" s="19" t="str">
        <f ca="1">IFERROR(__xludf.DUMMYFUNCTION("SUBSTITUTE(REGEXEXTRACT(G400, ""-\s*\$(\d{1,3}(?:,\d{3})*)""), "","", ""."")
"),"339.160")</f>
        <v>339.160</v>
      </c>
      <c r="J400" s="19" t="str">
        <f ca="1">IFERROR(__xludf.DUMMYFUNCTION("IMPORTXML(AI400, ""//li[strong[text()='Initial Investment:']]"")"),"Loading...")</f>
        <v>Loading...</v>
      </c>
      <c r="K400" s="24"/>
      <c r="L400" s="20" t="str">
        <f ca="1">IFERROR(__xludf.DUMMYFUNCTION("IMPORTXML(AI400, ""//li[strong[text()='Category:']]"")"),"Loading...")</f>
        <v>Loading...</v>
      </c>
      <c r="M400" s="24"/>
      <c r="N400" s="19" t="str">
        <f ca="1">IFERROR(__xludf.DUMMYFUNCTION("IMPORTXML(AI400, ""//li[strong[text()='Global Sales:']]"")"),"Loading...")</f>
        <v>Loading...</v>
      </c>
      <c r="O400" s="24"/>
      <c r="P400" s="19" t="str">
        <f t="shared" si="3"/>
        <v/>
      </c>
      <c r="Q400" s="19" t="str">
        <f ca="1">IFERROR(__xludf.DUMMYFUNCTION("IMPORTXML(AI400, ""//li[strong[text()='US Units:']]"")"),"Loading...")</f>
        <v>Loading...</v>
      </c>
      <c r="R400" s="24"/>
      <c r="S400" s="19" t="str">
        <f ca="1">IFERROR(__xludf.DUMMYFUNCTION("IMPORTXML(AI400, ""//li[strong[text()='International Units:']]"")"),"Loading...")</f>
        <v>Loading...</v>
      </c>
      <c r="T400" s="44"/>
      <c r="U400" s="19" t="str">
        <f ca="1">IFERROR(__xludf.DUMMYFUNCTION("IMPORTXML(AI400, ""//li[strong[text()='Percent Franchised:']]"")"),"Loading...")</f>
        <v>Loading...</v>
      </c>
      <c r="V400" s="24"/>
      <c r="W400" s="19" t="str">
        <f ca="1">IFERROR(__xludf.DUMMYFUNCTION("IMPORTXML(AI400, ""//li[strong[text()='% International Units:']]"")"),"Loading...")</f>
        <v>Loading...</v>
      </c>
      <c r="X400" s="24"/>
      <c r="Y400" s="19" t="str">
        <f ca="1">IFERROR(__xludf.DUMMYFUNCTION("IMPORTXML(AI400, ""//li[strong[text()='US Franchised Units:']]"")"),"Loading...")</f>
        <v>Loading...</v>
      </c>
      <c r="Z400" s="24"/>
      <c r="AA400" s="14" t="str">
        <f t="shared" si="4"/>
        <v/>
      </c>
      <c r="AB400" s="19" t="str">
        <f ca="1">IFERROR(__xludf.DUMMYFUNCTION("IMPORTXML(AI400, ""//li[strong[text()='International Franchised Units:']]"")"),"Loading...")</f>
        <v>Loading...</v>
      </c>
      <c r="AC400" s="24"/>
      <c r="AD400" s="14" t="str">
        <f t="shared" si="5"/>
        <v/>
      </c>
      <c r="AE400" s="25" t="str">
        <f ca="1">IFERROR(__xludf.DUMMYFUNCTION("IMPORTXML(AI400, ""//li[strong[text()='Sales Growth %:']]"")"),"Loading...")</f>
        <v>Loading...</v>
      </c>
      <c r="AF400" s="24"/>
      <c r="AG400" s="25" t="str">
        <f ca="1">IFERROR(__xludf.DUMMYFUNCTION("IMPORTXML(AI400, ""//li[strong[text()='Unit Growth %:']]"")"),"Loading...")</f>
        <v>Loading...</v>
      </c>
      <c r="AH400" s="25"/>
      <c r="AI400" s="48" t="s">
        <v>405</v>
      </c>
      <c r="AJ400" s="27"/>
      <c r="AK400" s="27"/>
      <c r="AL400" s="27"/>
      <c r="AM400" s="27"/>
      <c r="AN400" s="27"/>
      <c r="AO400" s="27"/>
      <c r="AP400" s="27"/>
      <c r="AQ400" s="27"/>
    </row>
    <row r="401" spans="1:43" ht="14.25" customHeight="1">
      <c r="A401" s="42">
        <v>24.400000000000102</v>
      </c>
      <c r="B401" s="14">
        <v>2024</v>
      </c>
      <c r="C401" s="32">
        <v>400</v>
      </c>
      <c r="D401" s="16" t="str">
        <f ca="1">IFERROR(__xludf.DUMMYFUNCTION("IMPORTXML(AI401, ""//h1[@itemprop='headline']/span"")"),"400. Baja Fresh")</f>
        <v>400. Baja Fresh</v>
      </c>
      <c r="E401" s="17" t="str">
        <f ca="1">IFERROR(__xludf.DUMMYFUNCTION("REGEXEXTRACT(D401, ""\.\s*(.+)"")"),"Baja Fresh")</f>
        <v>Baja Fresh</v>
      </c>
      <c r="F401" s="18" t="str">
        <f ca="1">IFERROR(__xludf.DUMMYFUNCTION("IMPORTXML(AI401, ""//li[strong[text()='Investment Range:']]"")"),"Investment Range:")</f>
        <v>Investment Range:</v>
      </c>
      <c r="G401" s="43" t="str">
        <f ca="1">IFERROR(__xludf.DUMMYFUNCTION("""COMPUTED_VALUE""")," $320,560 - $1,112,640")</f>
        <v xml:space="preserve"> $320,560 - $1,112,640</v>
      </c>
      <c r="H401" s="18" t="str">
        <f ca="1">IFERROR(__xludf.DUMMYFUNCTION("SUBSTITUTE(REGEXEXTRACT(G401, ""\$(\d{1,3}(?:,\d{3})*)""), "","", ""."")
"),"320.560")</f>
        <v>320.560</v>
      </c>
      <c r="I401" s="19" t="str">
        <f ca="1">IFERROR(__xludf.DUMMYFUNCTION("SUBSTITUTE(REGEXEXTRACT(G401, ""-\s*\$(\d{1,3}(?:,\d{3})*)""), "","", ""."")
"),"1.112.640")</f>
        <v>1.112.640</v>
      </c>
      <c r="J401" s="19" t="str">
        <f ca="1">IFERROR(__xludf.DUMMYFUNCTION("IMPORTXML(AI401, ""//li[strong[text()='Initial Investment:']]"")"),"Loading...")</f>
        <v>Loading...</v>
      </c>
      <c r="K401" s="24"/>
      <c r="L401" s="20" t="str">
        <f ca="1">IFERROR(__xludf.DUMMYFUNCTION("IMPORTXML(AI401, ""//li[strong[text()='Category:']]"")"),"Loading...")</f>
        <v>Loading...</v>
      </c>
      <c r="M401" s="24"/>
      <c r="N401" s="19" t="str">
        <f ca="1">IFERROR(__xludf.DUMMYFUNCTION("IMPORTXML(AI401, ""//li[strong[text()='Global Sales:']]"")"),"Loading...")</f>
        <v>Loading...</v>
      </c>
      <c r="O401" s="24"/>
      <c r="P401" s="19" t="str">
        <f t="shared" si="3"/>
        <v/>
      </c>
      <c r="Q401" s="19" t="str">
        <f ca="1">IFERROR(__xludf.DUMMYFUNCTION("IMPORTXML(AI401, ""//li[strong[text()='US Units:']]"")"),"Loading...")</f>
        <v>Loading...</v>
      </c>
      <c r="R401" s="24"/>
      <c r="S401" s="19" t="str">
        <f ca="1">IFERROR(__xludf.DUMMYFUNCTION("IMPORTXML(AI401, ""//li[strong[text()='International Units:']]"")"),"Loading...")</f>
        <v>Loading...</v>
      </c>
      <c r="T401" s="44"/>
      <c r="U401" s="19" t="str">
        <f ca="1">IFERROR(__xludf.DUMMYFUNCTION("IMPORTXML(AI401, ""//li[strong[text()='Percent Franchised:']]"")"),"Loading...")</f>
        <v>Loading...</v>
      </c>
      <c r="V401" s="24"/>
      <c r="W401" s="19" t="str">
        <f ca="1">IFERROR(__xludf.DUMMYFUNCTION("IMPORTXML(AI401, ""//li[strong[text()='% International Units:']]"")"),"Loading...")</f>
        <v>Loading...</v>
      </c>
      <c r="X401" s="24"/>
      <c r="Y401" s="19" t="str">
        <f ca="1">IFERROR(__xludf.DUMMYFUNCTION("IMPORTXML(AI401, ""//li[strong[text()='US Franchised Units:']]"")"),"Loading...")</f>
        <v>Loading...</v>
      </c>
      <c r="Z401" s="24"/>
      <c r="AA401" s="14" t="str">
        <f t="shared" si="4"/>
        <v/>
      </c>
      <c r="AB401" s="19" t="str">
        <f ca="1">IFERROR(__xludf.DUMMYFUNCTION("IMPORTXML(AI401, ""//li[strong[text()='International Franchised Units:']]"")"),"Loading...")</f>
        <v>Loading...</v>
      </c>
      <c r="AC401" s="24"/>
      <c r="AD401" s="14" t="str">
        <f t="shared" si="5"/>
        <v/>
      </c>
      <c r="AE401" s="25" t="str">
        <f ca="1">IFERROR(__xludf.DUMMYFUNCTION("IMPORTXML(AI401, ""//li[strong[text()='Sales Growth %:']]"")"),"Sales Growth %:")</f>
        <v>Sales Growth %:</v>
      </c>
      <c r="AF401" s="24" t="str">
        <f ca="1">IFERROR(__xludf.DUMMYFUNCTION("""COMPUTED_VALUE""")," -3.2%")</f>
        <v xml:space="preserve"> -3.2%</v>
      </c>
      <c r="AG401" s="25" t="str">
        <f ca="1">IFERROR(__xludf.DUMMYFUNCTION("IMPORTXML(AI401, ""//li[strong[text()='Unit Growth %:']]"")"),"Loading...")</f>
        <v>Loading...</v>
      </c>
      <c r="AH401" s="25"/>
      <c r="AI401" s="48" t="s">
        <v>406</v>
      </c>
      <c r="AJ401" s="27"/>
      <c r="AK401" s="27"/>
      <c r="AL401" s="27"/>
      <c r="AM401" s="27"/>
      <c r="AN401" s="27"/>
      <c r="AO401" s="27"/>
      <c r="AP401" s="27"/>
      <c r="AQ401" s="27"/>
    </row>
    <row r="402" spans="1:43" ht="14.25" customHeight="1">
      <c r="A402" s="27" t="s">
        <v>407</v>
      </c>
      <c r="B402" s="27" t="s">
        <v>407</v>
      </c>
      <c r="C402" s="27" t="s">
        <v>407</v>
      </c>
      <c r="D402" s="27" t="s">
        <v>407</v>
      </c>
      <c r="E402" s="27" t="s">
        <v>407</v>
      </c>
      <c r="F402" s="27" t="s">
        <v>407</v>
      </c>
      <c r="G402" s="27" t="s">
        <v>407</v>
      </c>
      <c r="H402" s="27" t="s">
        <v>407</v>
      </c>
      <c r="I402" s="27" t="s">
        <v>407</v>
      </c>
      <c r="J402" s="27" t="s">
        <v>407</v>
      </c>
      <c r="K402" s="27" t="s">
        <v>407</v>
      </c>
      <c r="L402" s="27" t="s">
        <v>407</v>
      </c>
      <c r="M402" s="27" t="s">
        <v>407</v>
      </c>
      <c r="N402" s="27" t="s">
        <v>407</v>
      </c>
      <c r="O402" s="27" t="s">
        <v>407</v>
      </c>
      <c r="P402" s="27" t="s">
        <v>407</v>
      </c>
      <c r="Q402" s="27" t="s">
        <v>407</v>
      </c>
      <c r="R402" s="27" t="s">
        <v>407</v>
      </c>
      <c r="S402" s="27" t="s">
        <v>407</v>
      </c>
      <c r="T402" s="27" t="s">
        <v>407</v>
      </c>
      <c r="U402" s="27" t="s">
        <v>407</v>
      </c>
      <c r="V402" s="27" t="s">
        <v>407</v>
      </c>
      <c r="W402" s="27" t="s">
        <v>407</v>
      </c>
      <c r="X402" s="27" t="s">
        <v>407</v>
      </c>
      <c r="Y402" s="27" t="s">
        <v>407</v>
      </c>
      <c r="Z402" s="27" t="s">
        <v>407</v>
      </c>
      <c r="AA402" s="27" t="s">
        <v>407</v>
      </c>
      <c r="AB402" s="27" t="s">
        <v>407</v>
      </c>
      <c r="AC402" s="27" t="s">
        <v>407</v>
      </c>
      <c r="AD402" s="27" t="s">
        <v>407</v>
      </c>
      <c r="AE402" s="27" t="s">
        <v>407</v>
      </c>
      <c r="AF402" s="27" t="s">
        <v>407</v>
      </c>
      <c r="AG402" s="27" t="s">
        <v>407</v>
      </c>
      <c r="AH402" s="27" t="s">
        <v>407</v>
      </c>
      <c r="AI402" s="48"/>
      <c r="AJ402" s="27"/>
      <c r="AK402" s="27"/>
      <c r="AL402" s="27"/>
      <c r="AM402" s="27"/>
      <c r="AN402" s="27"/>
      <c r="AO402" s="27"/>
      <c r="AP402" s="27"/>
      <c r="AQ402" s="27"/>
    </row>
    <row r="403" spans="1:43" ht="14.25" customHeight="1">
      <c r="A403" s="27"/>
      <c r="B403" s="27"/>
      <c r="C403" s="50"/>
      <c r="D403" s="27"/>
      <c r="E403" s="27"/>
      <c r="F403" s="51"/>
      <c r="G403" s="51"/>
      <c r="H403" s="51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48"/>
      <c r="AJ403" s="27"/>
      <c r="AK403" s="27"/>
      <c r="AL403" s="27"/>
      <c r="AM403" s="27"/>
      <c r="AN403" s="27"/>
      <c r="AO403" s="27"/>
      <c r="AP403" s="27"/>
      <c r="AQ403" s="27"/>
    </row>
    <row r="404" spans="1:43" ht="14.25" customHeight="1">
      <c r="A404" s="27"/>
      <c r="B404" s="27"/>
      <c r="C404" s="50"/>
      <c r="D404" s="27"/>
      <c r="E404" s="27"/>
      <c r="F404" s="51"/>
      <c r="G404" s="51"/>
      <c r="H404" s="51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48"/>
      <c r="AJ404" s="27"/>
      <c r="AK404" s="27"/>
      <c r="AL404" s="27"/>
      <c r="AM404" s="27"/>
      <c r="AN404" s="27"/>
      <c r="AO404" s="27"/>
      <c r="AP404" s="27"/>
      <c r="AQ404" s="27"/>
    </row>
    <row r="405" spans="1:43" ht="14.25" customHeight="1">
      <c r="A405" s="27"/>
      <c r="B405" s="27"/>
      <c r="C405" s="50"/>
      <c r="D405" s="27"/>
      <c r="E405" s="27"/>
      <c r="F405" s="51"/>
      <c r="G405" s="51"/>
      <c r="H405" s="51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48"/>
      <c r="AJ405" s="27"/>
      <c r="AK405" s="27"/>
      <c r="AL405" s="27"/>
      <c r="AM405" s="27"/>
      <c r="AN405" s="27"/>
      <c r="AO405" s="27"/>
      <c r="AP405" s="27"/>
      <c r="AQ405" s="27"/>
    </row>
    <row r="406" spans="1:43" ht="14.25" customHeight="1">
      <c r="A406" s="27"/>
      <c r="B406" s="27"/>
      <c r="C406" s="50"/>
      <c r="D406" s="27"/>
      <c r="E406" s="27"/>
      <c r="F406" s="51"/>
      <c r="G406" s="51"/>
      <c r="H406" s="51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48"/>
      <c r="AJ406" s="27"/>
      <c r="AK406" s="27"/>
      <c r="AL406" s="27"/>
      <c r="AM406" s="27"/>
      <c r="AN406" s="27"/>
      <c r="AO406" s="27"/>
      <c r="AP406" s="27"/>
      <c r="AQ406" s="27"/>
    </row>
    <row r="407" spans="1:43" ht="14.25" customHeight="1">
      <c r="A407" s="27"/>
      <c r="B407" s="27"/>
      <c r="C407" s="50"/>
      <c r="D407" s="27"/>
      <c r="E407" s="27"/>
      <c r="F407" s="51"/>
      <c r="G407" s="51"/>
      <c r="H407" s="51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48"/>
      <c r="AJ407" s="27"/>
      <c r="AK407" s="27"/>
      <c r="AL407" s="27"/>
      <c r="AM407" s="27"/>
      <c r="AN407" s="27"/>
      <c r="AO407" s="27"/>
      <c r="AP407" s="27"/>
      <c r="AQ407" s="27"/>
    </row>
    <row r="408" spans="1:43" ht="14.25" customHeight="1">
      <c r="A408" s="27"/>
      <c r="B408" s="27"/>
      <c r="C408" s="50"/>
      <c r="D408" s="27"/>
      <c r="E408" s="27"/>
      <c r="F408" s="51"/>
      <c r="G408" s="51"/>
      <c r="H408" s="51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48"/>
      <c r="AJ408" s="27"/>
      <c r="AK408" s="27"/>
      <c r="AL408" s="27"/>
      <c r="AM408" s="27"/>
      <c r="AN408" s="27"/>
      <c r="AO408" s="27"/>
      <c r="AP408" s="27"/>
      <c r="AQ408" s="27"/>
    </row>
    <row r="409" spans="1:43" ht="14.25" customHeight="1">
      <c r="A409" s="27"/>
      <c r="B409" s="27"/>
      <c r="C409" s="50"/>
      <c r="D409" s="27"/>
      <c r="E409" s="27"/>
      <c r="F409" s="51"/>
      <c r="G409" s="51"/>
      <c r="H409" s="51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48"/>
      <c r="AJ409" s="27"/>
      <c r="AK409" s="27"/>
      <c r="AL409" s="27"/>
      <c r="AM409" s="27"/>
      <c r="AN409" s="27"/>
      <c r="AO409" s="27"/>
      <c r="AP409" s="27"/>
      <c r="AQ409" s="27"/>
    </row>
    <row r="410" spans="1:43" ht="14.25" customHeight="1">
      <c r="A410" s="27"/>
      <c r="B410" s="27"/>
      <c r="C410" s="50"/>
      <c r="D410" s="27"/>
      <c r="E410" s="27"/>
      <c r="F410" s="51"/>
      <c r="G410" s="51"/>
      <c r="H410" s="51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48"/>
      <c r="AJ410" s="27"/>
      <c r="AK410" s="27"/>
      <c r="AL410" s="27"/>
      <c r="AM410" s="27"/>
      <c r="AN410" s="27"/>
      <c r="AO410" s="27"/>
      <c r="AP410" s="27"/>
      <c r="AQ410" s="27"/>
    </row>
    <row r="411" spans="1:43" ht="14.25" customHeight="1">
      <c r="A411" s="27"/>
      <c r="B411" s="27"/>
      <c r="C411" s="50"/>
      <c r="D411" s="27"/>
      <c r="E411" s="27"/>
      <c r="F411" s="51"/>
      <c r="G411" s="51"/>
      <c r="H411" s="51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48"/>
      <c r="AJ411" s="27"/>
      <c r="AK411" s="27"/>
      <c r="AL411" s="27"/>
      <c r="AM411" s="27"/>
      <c r="AN411" s="27"/>
      <c r="AO411" s="27"/>
      <c r="AP411" s="27"/>
      <c r="AQ411" s="27"/>
    </row>
    <row r="412" spans="1:43" ht="14.25" customHeight="1">
      <c r="A412" s="27"/>
      <c r="B412" s="27"/>
      <c r="C412" s="50"/>
      <c r="D412" s="27"/>
      <c r="E412" s="27"/>
      <c r="F412" s="51"/>
      <c r="G412" s="51"/>
      <c r="H412" s="51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48"/>
      <c r="AJ412" s="27"/>
      <c r="AK412" s="27"/>
      <c r="AL412" s="27"/>
      <c r="AM412" s="27"/>
      <c r="AN412" s="27"/>
      <c r="AO412" s="27"/>
      <c r="AP412" s="27"/>
      <c r="AQ412" s="27"/>
    </row>
    <row r="413" spans="1:43" ht="14.25" customHeight="1">
      <c r="A413" s="27"/>
      <c r="B413" s="27"/>
      <c r="C413" s="50"/>
      <c r="D413" s="27"/>
      <c r="E413" s="27"/>
      <c r="F413" s="51"/>
      <c r="G413" s="51"/>
      <c r="H413" s="51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48"/>
      <c r="AJ413" s="27"/>
      <c r="AK413" s="27"/>
      <c r="AL413" s="27"/>
      <c r="AM413" s="27"/>
      <c r="AN413" s="27"/>
      <c r="AO413" s="27"/>
      <c r="AP413" s="27"/>
      <c r="AQ413" s="27"/>
    </row>
    <row r="414" spans="1:43" ht="14.25" customHeight="1">
      <c r="A414" s="27"/>
      <c r="B414" s="27"/>
      <c r="C414" s="50"/>
      <c r="D414" s="27"/>
      <c r="E414" s="27"/>
      <c r="F414" s="51"/>
      <c r="G414" s="51"/>
      <c r="H414" s="51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48"/>
      <c r="AJ414" s="27"/>
      <c r="AK414" s="27"/>
      <c r="AL414" s="27"/>
      <c r="AM414" s="27"/>
      <c r="AN414" s="27"/>
      <c r="AO414" s="27"/>
      <c r="AP414" s="27"/>
      <c r="AQ414" s="27"/>
    </row>
    <row r="415" spans="1:43" ht="14.25" customHeight="1">
      <c r="A415" s="27"/>
      <c r="B415" s="27"/>
      <c r="C415" s="50"/>
      <c r="D415" s="27"/>
      <c r="E415" s="27"/>
      <c r="F415" s="51"/>
      <c r="G415" s="51"/>
      <c r="H415" s="51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48"/>
      <c r="AJ415" s="27"/>
      <c r="AK415" s="27"/>
      <c r="AL415" s="27"/>
      <c r="AM415" s="27"/>
      <c r="AN415" s="27"/>
      <c r="AO415" s="27"/>
      <c r="AP415" s="27"/>
      <c r="AQ415" s="27"/>
    </row>
    <row r="416" spans="1:43" ht="14.25" customHeight="1">
      <c r="A416" s="27"/>
      <c r="B416" s="27"/>
      <c r="C416" s="50"/>
      <c r="D416" s="27"/>
      <c r="E416" s="27"/>
      <c r="F416" s="51"/>
      <c r="G416" s="51"/>
      <c r="H416" s="51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48"/>
      <c r="AJ416" s="27"/>
      <c r="AK416" s="27"/>
      <c r="AL416" s="27"/>
      <c r="AM416" s="27"/>
      <c r="AN416" s="27"/>
      <c r="AO416" s="27"/>
      <c r="AP416" s="27"/>
      <c r="AQ416" s="27"/>
    </row>
    <row r="417" spans="1:43" ht="14.25" customHeight="1">
      <c r="A417" s="27"/>
      <c r="B417" s="27"/>
      <c r="C417" s="50"/>
      <c r="D417" s="27"/>
      <c r="E417" s="27"/>
      <c r="F417" s="51"/>
      <c r="G417" s="51"/>
      <c r="H417" s="51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48"/>
      <c r="AJ417" s="27"/>
      <c r="AK417" s="27"/>
      <c r="AL417" s="27"/>
      <c r="AM417" s="27"/>
      <c r="AN417" s="27"/>
      <c r="AO417" s="27"/>
      <c r="AP417" s="27"/>
      <c r="AQ417" s="27"/>
    </row>
    <row r="418" spans="1:43" ht="14.25" customHeight="1">
      <c r="A418" s="27"/>
      <c r="B418" s="27"/>
      <c r="C418" s="50"/>
      <c r="D418" s="27"/>
      <c r="E418" s="27"/>
      <c r="F418" s="51"/>
      <c r="G418" s="51"/>
      <c r="H418" s="51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48"/>
      <c r="AJ418" s="27"/>
      <c r="AK418" s="27"/>
      <c r="AL418" s="27"/>
      <c r="AM418" s="27"/>
      <c r="AN418" s="27"/>
      <c r="AO418" s="27"/>
      <c r="AP418" s="27"/>
      <c r="AQ418" s="27"/>
    </row>
    <row r="419" spans="1:43" ht="14.25" customHeight="1">
      <c r="A419" s="27"/>
      <c r="B419" s="27"/>
      <c r="C419" s="50"/>
      <c r="D419" s="27"/>
      <c r="E419" s="27"/>
      <c r="F419" s="51"/>
      <c r="G419" s="51"/>
      <c r="H419" s="51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48"/>
      <c r="AJ419" s="27"/>
      <c r="AK419" s="27"/>
      <c r="AL419" s="27"/>
      <c r="AM419" s="27"/>
      <c r="AN419" s="27"/>
      <c r="AO419" s="27"/>
      <c r="AP419" s="27"/>
      <c r="AQ419" s="27"/>
    </row>
    <row r="420" spans="1:43" ht="14.25" customHeight="1">
      <c r="A420" s="27"/>
      <c r="B420" s="27"/>
      <c r="C420" s="50"/>
      <c r="D420" s="27"/>
      <c r="E420" s="27"/>
      <c r="F420" s="51"/>
      <c r="G420" s="51"/>
      <c r="H420" s="51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48"/>
      <c r="AJ420" s="27"/>
      <c r="AK420" s="27"/>
      <c r="AL420" s="27"/>
      <c r="AM420" s="27"/>
      <c r="AN420" s="27"/>
      <c r="AO420" s="27"/>
      <c r="AP420" s="27"/>
      <c r="AQ420" s="27"/>
    </row>
    <row r="421" spans="1:43" ht="14.25" customHeight="1">
      <c r="A421" s="27"/>
      <c r="B421" s="27"/>
      <c r="C421" s="50"/>
      <c r="D421" s="27"/>
      <c r="E421" s="27"/>
      <c r="F421" s="51"/>
      <c r="G421" s="51"/>
      <c r="H421" s="51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48"/>
      <c r="AJ421" s="27"/>
      <c r="AK421" s="27"/>
      <c r="AL421" s="27"/>
      <c r="AM421" s="27"/>
      <c r="AN421" s="27"/>
      <c r="AO421" s="27"/>
      <c r="AP421" s="27"/>
      <c r="AQ421" s="27"/>
    </row>
    <row r="422" spans="1:43" ht="14.25" customHeight="1">
      <c r="A422" s="27"/>
      <c r="B422" s="27"/>
      <c r="C422" s="50"/>
      <c r="D422" s="27"/>
      <c r="E422" s="27"/>
      <c r="F422" s="51"/>
      <c r="G422" s="51"/>
      <c r="H422" s="51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48"/>
      <c r="AJ422" s="27"/>
      <c r="AK422" s="27"/>
      <c r="AL422" s="27"/>
      <c r="AM422" s="27"/>
      <c r="AN422" s="27"/>
      <c r="AO422" s="27"/>
      <c r="AP422" s="27"/>
      <c r="AQ422" s="27"/>
    </row>
    <row r="423" spans="1:43" ht="14.25" customHeight="1">
      <c r="A423" s="27"/>
      <c r="B423" s="27"/>
      <c r="C423" s="50"/>
      <c r="D423" s="27"/>
      <c r="E423" s="27"/>
      <c r="F423" s="51"/>
      <c r="G423" s="51"/>
      <c r="H423" s="51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48"/>
      <c r="AJ423" s="27"/>
      <c r="AK423" s="27"/>
      <c r="AL423" s="27"/>
      <c r="AM423" s="27"/>
      <c r="AN423" s="27"/>
      <c r="AO423" s="27"/>
      <c r="AP423" s="27"/>
      <c r="AQ423" s="27"/>
    </row>
    <row r="424" spans="1:43" ht="14.25" customHeight="1">
      <c r="A424" s="27"/>
      <c r="B424" s="27"/>
      <c r="C424" s="50"/>
      <c r="D424" s="27"/>
      <c r="E424" s="27"/>
      <c r="F424" s="51"/>
      <c r="G424" s="51"/>
      <c r="H424" s="51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48"/>
      <c r="AJ424" s="27"/>
      <c r="AK424" s="27"/>
      <c r="AL424" s="27"/>
      <c r="AM424" s="27"/>
      <c r="AN424" s="27"/>
      <c r="AO424" s="27"/>
      <c r="AP424" s="27"/>
      <c r="AQ424" s="27"/>
    </row>
    <row r="425" spans="1:43" ht="14.25" customHeight="1">
      <c r="A425" s="27"/>
      <c r="B425" s="27"/>
      <c r="C425" s="50"/>
      <c r="D425" s="27"/>
      <c r="E425" s="27"/>
      <c r="F425" s="51"/>
      <c r="G425" s="51"/>
      <c r="H425" s="51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48"/>
      <c r="AJ425" s="27"/>
      <c r="AK425" s="27"/>
      <c r="AL425" s="27"/>
      <c r="AM425" s="27"/>
      <c r="AN425" s="27"/>
      <c r="AO425" s="27"/>
      <c r="AP425" s="27"/>
      <c r="AQ425" s="27"/>
    </row>
    <row r="426" spans="1:43" ht="14.25" customHeight="1">
      <c r="A426" s="27"/>
      <c r="B426" s="27"/>
      <c r="C426" s="50"/>
      <c r="D426" s="27"/>
      <c r="E426" s="27"/>
      <c r="F426" s="51"/>
      <c r="G426" s="51"/>
      <c r="H426" s="51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48"/>
      <c r="AJ426" s="27"/>
      <c r="AK426" s="27"/>
      <c r="AL426" s="27"/>
      <c r="AM426" s="27"/>
      <c r="AN426" s="27"/>
      <c r="AO426" s="27"/>
      <c r="AP426" s="27"/>
      <c r="AQ426" s="27"/>
    </row>
    <row r="427" spans="1:43" ht="14.25" customHeight="1">
      <c r="A427" s="27"/>
      <c r="B427" s="27"/>
      <c r="C427" s="50"/>
      <c r="D427" s="27"/>
      <c r="E427" s="27"/>
      <c r="F427" s="51"/>
      <c r="G427" s="51"/>
      <c r="H427" s="51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48"/>
      <c r="AJ427" s="27"/>
      <c r="AK427" s="27"/>
      <c r="AL427" s="27"/>
      <c r="AM427" s="27"/>
      <c r="AN427" s="27"/>
      <c r="AO427" s="27"/>
      <c r="AP427" s="27"/>
      <c r="AQ427" s="27"/>
    </row>
    <row r="428" spans="1:43" ht="14.25" customHeight="1">
      <c r="A428" s="27"/>
      <c r="B428" s="27"/>
      <c r="C428" s="50"/>
      <c r="D428" s="27"/>
      <c r="E428" s="27"/>
      <c r="F428" s="51"/>
      <c r="G428" s="51"/>
      <c r="H428" s="51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48"/>
      <c r="AJ428" s="27"/>
      <c r="AK428" s="27"/>
      <c r="AL428" s="27"/>
      <c r="AM428" s="27"/>
      <c r="AN428" s="27"/>
      <c r="AO428" s="27"/>
      <c r="AP428" s="27"/>
      <c r="AQ428" s="27"/>
    </row>
    <row r="429" spans="1:43" ht="14.25" customHeight="1">
      <c r="A429" s="27"/>
      <c r="B429" s="27"/>
      <c r="C429" s="50"/>
      <c r="D429" s="27"/>
      <c r="E429" s="27"/>
      <c r="F429" s="51"/>
      <c r="G429" s="51"/>
      <c r="H429" s="51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48"/>
      <c r="AJ429" s="27"/>
      <c r="AK429" s="27"/>
      <c r="AL429" s="27"/>
      <c r="AM429" s="27"/>
      <c r="AN429" s="27"/>
      <c r="AO429" s="27"/>
      <c r="AP429" s="27"/>
      <c r="AQ429" s="27"/>
    </row>
    <row r="430" spans="1:43" ht="14.25" customHeight="1">
      <c r="A430" s="27"/>
      <c r="B430" s="27"/>
      <c r="C430" s="50"/>
      <c r="D430" s="27"/>
      <c r="E430" s="27"/>
      <c r="F430" s="51"/>
      <c r="G430" s="51"/>
      <c r="H430" s="51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48"/>
      <c r="AJ430" s="27"/>
      <c r="AK430" s="27"/>
      <c r="AL430" s="27"/>
      <c r="AM430" s="27"/>
      <c r="AN430" s="27"/>
      <c r="AO430" s="27"/>
      <c r="AP430" s="27"/>
      <c r="AQ430" s="27"/>
    </row>
    <row r="431" spans="1:43" ht="14.25" customHeight="1">
      <c r="A431" s="27"/>
      <c r="B431" s="27"/>
      <c r="C431" s="50"/>
      <c r="D431" s="27"/>
      <c r="E431" s="27"/>
      <c r="F431" s="51"/>
      <c r="G431" s="51"/>
      <c r="H431" s="51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48"/>
      <c r="AJ431" s="27"/>
      <c r="AK431" s="27"/>
      <c r="AL431" s="27"/>
      <c r="AM431" s="27"/>
      <c r="AN431" s="27"/>
      <c r="AO431" s="27"/>
      <c r="AP431" s="27"/>
      <c r="AQ431" s="27"/>
    </row>
    <row r="432" spans="1:43" ht="14.25" customHeight="1">
      <c r="A432" s="27"/>
      <c r="B432" s="27"/>
      <c r="C432" s="50"/>
      <c r="D432" s="27"/>
      <c r="E432" s="27"/>
      <c r="F432" s="51"/>
      <c r="G432" s="51"/>
      <c r="H432" s="51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48"/>
      <c r="AJ432" s="27"/>
      <c r="AK432" s="27"/>
      <c r="AL432" s="27"/>
      <c r="AM432" s="27"/>
      <c r="AN432" s="27"/>
      <c r="AO432" s="27"/>
      <c r="AP432" s="27"/>
      <c r="AQ432" s="27"/>
    </row>
    <row r="433" spans="1:43" ht="14.25" customHeight="1">
      <c r="A433" s="27"/>
      <c r="B433" s="27"/>
      <c r="C433" s="50"/>
      <c r="D433" s="27"/>
      <c r="E433" s="27"/>
      <c r="F433" s="51"/>
      <c r="G433" s="51"/>
      <c r="H433" s="51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48"/>
      <c r="AJ433" s="27"/>
      <c r="AK433" s="27"/>
      <c r="AL433" s="27"/>
      <c r="AM433" s="27"/>
      <c r="AN433" s="27"/>
      <c r="AO433" s="27"/>
      <c r="AP433" s="27"/>
      <c r="AQ433" s="27"/>
    </row>
    <row r="434" spans="1:43" ht="14.25" customHeight="1">
      <c r="A434" s="27"/>
      <c r="B434" s="27"/>
      <c r="C434" s="50"/>
      <c r="D434" s="27"/>
      <c r="E434" s="27"/>
      <c r="F434" s="51"/>
      <c r="G434" s="51"/>
      <c r="H434" s="51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48"/>
      <c r="AJ434" s="27"/>
      <c r="AK434" s="27"/>
      <c r="AL434" s="27"/>
      <c r="AM434" s="27"/>
      <c r="AN434" s="27"/>
      <c r="AO434" s="27"/>
      <c r="AP434" s="27"/>
      <c r="AQ434" s="27"/>
    </row>
    <row r="435" spans="1:43" ht="14.25" customHeight="1">
      <c r="A435" s="27"/>
      <c r="B435" s="27"/>
      <c r="C435" s="50"/>
      <c r="D435" s="27"/>
      <c r="E435" s="27"/>
      <c r="F435" s="51"/>
      <c r="G435" s="51"/>
      <c r="H435" s="51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48"/>
      <c r="AJ435" s="27"/>
      <c r="AK435" s="27"/>
      <c r="AL435" s="27"/>
      <c r="AM435" s="27"/>
      <c r="AN435" s="27"/>
      <c r="AO435" s="27"/>
      <c r="AP435" s="27"/>
      <c r="AQ435" s="27"/>
    </row>
    <row r="436" spans="1:43" ht="14.25" customHeight="1">
      <c r="A436" s="27"/>
      <c r="B436" s="27"/>
      <c r="C436" s="50"/>
      <c r="D436" s="27"/>
      <c r="E436" s="27"/>
      <c r="F436" s="51"/>
      <c r="G436" s="51"/>
      <c r="H436" s="51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48"/>
      <c r="AJ436" s="27"/>
      <c r="AK436" s="27"/>
      <c r="AL436" s="27"/>
      <c r="AM436" s="27"/>
      <c r="AN436" s="27"/>
      <c r="AO436" s="27"/>
      <c r="AP436" s="27"/>
      <c r="AQ436" s="27"/>
    </row>
    <row r="437" spans="1:43" ht="14.25" customHeight="1">
      <c r="A437" s="27"/>
      <c r="B437" s="27"/>
      <c r="C437" s="50"/>
      <c r="D437" s="27"/>
      <c r="E437" s="27"/>
      <c r="F437" s="51"/>
      <c r="G437" s="51"/>
      <c r="H437" s="51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48"/>
      <c r="AJ437" s="27"/>
      <c r="AK437" s="27"/>
      <c r="AL437" s="27"/>
      <c r="AM437" s="27"/>
      <c r="AN437" s="27"/>
      <c r="AO437" s="27"/>
      <c r="AP437" s="27"/>
      <c r="AQ437" s="27"/>
    </row>
    <row r="438" spans="1:43" ht="14.25" customHeight="1">
      <c r="A438" s="27"/>
      <c r="B438" s="27"/>
      <c r="C438" s="50"/>
      <c r="D438" s="27"/>
      <c r="E438" s="27"/>
      <c r="F438" s="51"/>
      <c r="G438" s="51"/>
      <c r="H438" s="51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48"/>
      <c r="AJ438" s="27"/>
      <c r="AK438" s="27"/>
      <c r="AL438" s="27"/>
      <c r="AM438" s="27"/>
      <c r="AN438" s="27"/>
      <c r="AO438" s="27"/>
      <c r="AP438" s="27"/>
      <c r="AQ438" s="27"/>
    </row>
    <row r="439" spans="1:43" ht="14.25" customHeight="1">
      <c r="A439" s="27"/>
      <c r="B439" s="27"/>
      <c r="C439" s="50"/>
      <c r="D439" s="27"/>
      <c r="E439" s="27"/>
      <c r="F439" s="51"/>
      <c r="G439" s="51"/>
      <c r="H439" s="51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48"/>
      <c r="AJ439" s="27"/>
      <c r="AK439" s="27"/>
      <c r="AL439" s="27"/>
      <c r="AM439" s="27"/>
      <c r="AN439" s="27"/>
      <c r="AO439" s="27"/>
      <c r="AP439" s="27"/>
      <c r="AQ439" s="27"/>
    </row>
    <row r="440" spans="1:43" ht="14.25" customHeight="1">
      <c r="A440" s="27"/>
      <c r="B440" s="27"/>
      <c r="C440" s="50"/>
      <c r="D440" s="27"/>
      <c r="E440" s="27"/>
      <c r="F440" s="51"/>
      <c r="G440" s="51"/>
      <c r="H440" s="51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48"/>
      <c r="AJ440" s="27"/>
      <c r="AK440" s="27"/>
      <c r="AL440" s="27"/>
      <c r="AM440" s="27"/>
      <c r="AN440" s="27"/>
      <c r="AO440" s="27"/>
      <c r="AP440" s="27"/>
      <c r="AQ440" s="27"/>
    </row>
    <row r="441" spans="1:43" ht="14.25" customHeight="1">
      <c r="A441" s="27"/>
      <c r="B441" s="27"/>
      <c r="C441" s="50"/>
      <c r="D441" s="27"/>
      <c r="E441" s="27"/>
      <c r="F441" s="51"/>
      <c r="G441" s="51"/>
      <c r="H441" s="51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48"/>
      <c r="AJ441" s="27"/>
      <c r="AK441" s="27"/>
      <c r="AL441" s="27"/>
      <c r="AM441" s="27"/>
      <c r="AN441" s="27"/>
      <c r="AO441" s="27"/>
      <c r="AP441" s="27"/>
      <c r="AQ441" s="27"/>
    </row>
    <row r="442" spans="1:43" ht="14.25" customHeight="1">
      <c r="A442" s="27"/>
      <c r="B442" s="27"/>
      <c r="C442" s="50"/>
      <c r="D442" s="27"/>
      <c r="E442" s="27"/>
      <c r="F442" s="51"/>
      <c r="G442" s="51"/>
      <c r="H442" s="51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48"/>
      <c r="AJ442" s="27"/>
      <c r="AK442" s="27"/>
      <c r="AL442" s="27"/>
      <c r="AM442" s="27"/>
      <c r="AN442" s="27"/>
      <c r="AO442" s="27"/>
      <c r="AP442" s="27"/>
      <c r="AQ442" s="27"/>
    </row>
    <row r="443" spans="1:43" ht="14.25" customHeight="1">
      <c r="A443" s="27"/>
      <c r="B443" s="27"/>
      <c r="C443" s="50"/>
      <c r="D443" s="27"/>
      <c r="E443" s="27"/>
      <c r="F443" s="51"/>
      <c r="G443" s="51"/>
      <c r="H443" s="51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48"/>
      <c r="AJ443" s="27"/>
      <c r="AK443" s="27"/>
      <c r="AL443" s="27"/>
      <c r="AM443" s="27"/>
      <c r="AN443" s="27"/>
      <c r="AO443" s="27"/>
      <c r="AP443" s="27"/>
      <c r="AQ443" s="27"/>
    </row>
    <row r="444" spans="1:43" ht="14.25" customHeight="1">
      <c r="A444" s="27"/>
      <c r="B444" s="27"/>
      <c r="C444" s="50"/>
      <c r="D444" s="27"/>
      <c r="E444" s="27"/>
      <c r="F444" s="51"/>
      <c r="G444" s="51"/>
      <c r="H444" s="51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48"/>
      <c r="AJ444" s="27"/>
      <c r="AK444" s="27"/>
      <c r="AL444" s="27"/>
      <c r="AM444" s="27"/>
      <c r="AN444" s="27"/>
      <c r="AO444" s="27"/>
      <c r="AP444" s="27"/>
      <c r="AQ444" s="27"/>
    </row>
    <row r="445" spans="1:43" ht="14.25" customHeight="1">
      <c r="A445" s="27"/>
      <c r="B445" s="27"/>
      <c r="C445" s="50"/>
      <c r="D445" s="27"/>
      <c r="E445" s="27"/>
      <c r="F445" s="51"/>
      <c r="G445" s="51"/>
      <c r="H445" s="51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48"/>
      <c r="AJ445" s="27"/>
      <c r="AK445" s="27"/>
      <c r="AL445" s="27"/>
      <c r="AM445" s="27"/>
      <c r="AN445" s="27"/>
      <c r="AO445" s="27"/>
      <c r="AP445" s="27"/>
      <c r="AQ445" s="27"/>
    </row>
    <row r="446" spans="1:43" ht="14.25" customHeight="1">
      <c r="A446" s="27"/>
      <c r="B446" s="27"/>
      <c r="C446" s="50"/>
      <c r="D446" s="27"/>
      <c r="E446" s="27"/>
      <c r="F446" s="51"/>
      <c r="G446" s="51"/>
      <c r="H446" s="51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48"/>
      <c r="AJ446" s="27"/>
      <c r="AK446" s="27"/>
      <c r="AL446" s="27"/>
      <c r="AM446" s="27"/>
      <c r="AN446" s="27"/>
      <c r="AO446" s="27"/>
      <c r="AP446" s="27"/>
      <c r="AQ446" s="27"/>
    </row>
    <row r="447" spans="1:43" ht="14.25" customHeight="1">
      <c r="A447" s="27"/>
      <c r="B447" s="27"/>
      <c r="C447" s="50"/>
      <c r="D447" s="27"/>
      <c r="E447" s="27"/>
      <c r="F447" s="51"/>
      <c r="G447" s="51"/>
      <c r="H447" s="51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48"/>
      <c r="AJ447" s="27"/>
      <c r="AK447" s="27"/>
      <c r="AL447" s="27"/>
      <c r="AM447" s="27"/>
      <c r="AN447" s="27"/>
      <c r="AO447" s="27"/>
      <c r="AP447" s="27"/>
      <c r="AQ447" s="27"/>
    </row>
    <row r="448" spans="1:43" ht="14.25" customHeight="1">
      <c r="A448" s="27"/>
      <c r="B448" s="27"/>
      <c r="C448" s="50"/>
      <c r="D448" s="27"/>
      <c r="E448" s="27"/>
      <c r="F448" s="51"/>
      <c r="G448" s="51"/>
      <c r="H448" s="51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48"/>
      <c r="AJ448" s="27"/>
      <c r="AK448" s="27"/>
      <c r="AL448" s="27"/>
      <c r="AM448" s="27"/>
      <c r="AN448" s="27"/>
      <c r="AO448" s="27"/>
      <c r="AP448" s="27"/>
      <c r="AQ448" s="27"/>
    </row>
    <row r="449" spans="1:43" ht="14.25" customHeight="1">
      <c r="A449" s="27"/>
      <c r="B449" s="27"/>
      <c r="C449" s="50"/>
      <c r="D449" s="27"/>
      <c r="E449" s="27"/>
      <c r="F449" s="51"/>
      <c r="G449" s="51"/>
      <c r="H449" s="51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48"/>
      <c r="AJ449" s="27"/>
      <c r="AK449" s="27"/>
      <c r="AL449" s="27"/>
      <c r="AM449" s="27"/>
      <c r="AN449" s="27"/>
      <c r="AO449" s="27"/>
      <c r="AP449" s="27"/>
      <c r="AQ449" s="27"/>
    </row>
    <row r="450" spans="1:43" ht="14.25" customHeight="1">
      <c r="A450" s="27"/>
      <c r="B450" s="27"/>
      <c r="C450" s="50"/>
      <c r="D450" s="27"/>
      <c r="E450" s="27"/>
      <c r="F450" s="51"/>
      <c r="G450" s="51"/>
      <c r="H450" s="51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48"/>
      <c r="AJ450" s="27"/>
      <c r="AK450" s="27"/>
      <c r="AL450" s="27"/>
      <c r="AM450" s="27"/>
      <c r="AN450" s="27"/>
      <c r="AO450" s="27"/>
      <c r="AP450" s="27"/>
      <c r="AQ450" s="27"/>
    </row>
    <row r="451" spans="1:43" ht="14.25" customHeight="1">
      <c r="A451" s="27"/>
      <c r="B451" s="27"/>
      <c r="C451" s="50"/>
      <c r="D451" s="27"/>
      <c r="E451" s="27"/>
      <c r="F451" s="51"/>
      <c r="G451" s="51"/>
      <c r="H451" s="51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48"/>
      <c r="AJ451" s="27"/>
      <c r="AK451" s="27"/>
      <c r="AL451" s="27"/>
      <c r="AM451" s="27"/>
      <c r="AN451" s="27"/>
      <c r="AO451" s="27"/>
      <c r="AP451" s="27"/>
      <c r="AQ451" s="27"/>
    </row>
    <row r="452" spans="1:43" ht="14.25" customHeight="1">
      <c r="A452" s="27"/>
      <c r="B452" s="27"/>
      <c r="C452" s="50"/>
      <c r="D452" s="27"/>
      <c r="E452" s="27"/>
      <c r="F452" s="51"/>
      <c r="G452" s="51"/>
      <c r="H452" s="51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48"/>
      <c r="AJ452" s="27"/>
      <c r="AK452" s="27"/>
      <c r="AL452" s="27"/>
      <c r="AM452" s="27"/>
      <c r="AN452" s="27"/>
      <c r="AO452" s="27"/>
      <c r="AP452" s="27"/>
      <c r="AQ452" s="27"/>
    </row>
    <row r="453" spans="1:43" ht="14.25" customHeight="1">
      <c r="A453" s="27"/>
      <c r="B453" s="27"/>
      <c r="C453" s="50"/>
      <c r="D453" s="27"/>
      <c r="E453" s="27"/>
      <c r="F453" s="51"/>
      <c r="G453" s="51"/>
      <c r="H453" s="51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48"/>
      <c r="AJ453" s="27"/>
      <c r="AK453" s="27"/>
      <c r="AL453" s="27"/>
      <c r="AM453" s="27"/>
      <c r="AN453" s="27"/>
      <c r="AO453" s="27"/>
      <c r="AP453" s="27"/>
      <c r="AQ453" s="27"/>
    </row>
    <row r="454" spans="1:43" ht="14.25" customHeight="1">
      <c r="A454" s="27"/>
      <c r="B454" s="27"/>
      <c r="C454" s="50"/>
      <c r="D454" s="27"/>
      <c r="E454" s="27"/>
      <c r="F454" s="51"/>
      <c r="G454" s="51"/>
      <c r="H454" s="51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48"/>
      <c r="AJ454" s="27"/>
      <c r="AK454" s="27"/>
      <c r="AL454" s="27"/>
      <c r="AM454" s="27"/>
      <c r="AN454" s="27"/>
      <c r="AO454" s="27"/>
      <c r="AP454" s="27"/>
      <c r="AQ454" s="27"/>
    </row>
    <row r="455" spans="1:43" ht="14.25" customHeight="1">
      <c r="A455" s="27"/>
      <c r="B455" s="27"/>
      <c r="C455" s="50"/>
      <c r="D455" s="27"/>
      <c r="E455" s="27"/>
      <c r="F455" s="51"/>
      <c r="G455" s="51"/>
      <c r="H455" s="51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48"/>
      <c r="AJ455" s="27"/>
      <c r="AK455" s="27"/>
      <c r="AL455" s="27"/>
      <c r="AM455" s="27"/>
      <c r="AN455" s="27"/>
      <c r="AO455" s="27"/>
      <c r="AP455" s="27"/>
      <c r="AQ455" s="27"/>
    </row>
    <row r="456" spans="1:43" ht="14.25" customHeight="1">
      <c r="A456" s="27"/>
      <c r="B456" s="27"/>
      <c r="C456" s="50"/>
      <c r="D456" s="27"/>
      <c r="E456" s="27"/>
      <c r="F456" s="51"/>
      <c r="G456" s="51"/>
      <c r="H456" s="51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48"/>
      <c r="AJ456" s="27"/>
      <c r="AK456" s="27"/>
      <c r="AL456" s="27"/>
      <c r="AM456" s="27"/>
      <c r="AN456" s="27"/>
      <c r="AO456" s="27"/>
      <c r="AP456" s="27"/>
      <c r="AQ456" s="27"/>
    </row>
    <row r="457" spans="1:43" ht="14.25" customHeight="1">
      <c r="A457" s="27"/>
      <c r="B457" s="27"/>
      <c r="C457" s="50"/>
      <c r="D457" s="27"/>
      <c r="E457" s="27"/>
      <c r="F457" s="51"/>
      <c r="G457" s="51"/>
      <c r="H457" s="51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48"/>
      <c r="AJ457" s="27"/>
      <c r="AK457" s="27"/>
      <c r="AL457" s="27"/>
      <c r="AM457" s="27"/>
      <c r="AN457" s="27"/>
      <c r="AO457" s="27"/>
      <c r="AP457" s="27"/>
      <c r="AQ457" s="27"/>
    </row>
    <row r="458" spans="1:43" ht="14.25" customHeight="1">
      <c r="A458" s="27"/>
      <c r="B458" s="27"/>
      <c r="C458" s="50"/>
      <c r="D458" s="27"/>
      <c r="E458" s="27"/>
      <c r="F458" s="51"/>
      <c r="G458" s="51"/>
      <c r="H458" s="51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48"/>
      <c r="AJ458" s="27"/>
      <c r="AK458" s="27"/>
      <c r="AL458" s="27"/>
      <c r="AM458" s="27"/>
      <c r="AN458" s="27"/>
      <c r="AO458" s="27"/>
      <c r="AP458" s="27"/>
      <c r="AQ458" s="27"/>
    </row>
    <row r="459" spans="1:43" ht="14.25" customHeight="1">
      <c r="A459" s="27"/>
      <c r="B459" s="27"/>
      <c r="C459" s="50"/>
      <c r="D459" s="27"/>
      <c r="E459" s="27"/>
      <c r="F459" s="51"/>
      <c r="G459" s="51"/>
      <c r="H459" s="51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48"/>
      <c r="AJ459" s="27"/>
      <c r="AK459" s="27"/>
      <c r="AL459" s="27"/>
      <c r="AM459" s="27"/>
      <c r="AN459" s="27"/>
      <c r="AO459" s="27"/>
      <c r="AP459" s="27"/>
      <c r="AQ459" s="27"/>
    </row>
    <row r="460" spans="1:43" ht="14.25" customHeight="1">
      <c r="A460" s="27"/>
      <c r="B460" s="27"/>
      <c r="C460" s="50"/>
      <c r="D460" s="27"/>
      <c r="E460" s="27"/>
      <c r="F460" s="51"/>
      <c r="G460" s="51"/>
      <c r="H460" s="51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48"/>
      <c r="AJ460" s="27"/>
      <c r="AK460" s="27"/>
      <c r="AL460" s="27"/>
      <c r="AM460" s="27"/>
      <c r="AN460" s="27"/>
      <c r="AO460" s="27"/>
      <c r="AP460" s="27"/>
      <c r="AQ460" s="27"/>
    </row>
    <row r="461" spans="1:43" ht="14.25" customHeight="1">
      <c r="A461" s="27"/>
      <c r="B461" s="27"/>
      <c r="C461" s="50"/>
      <c r="D461" s="27"/>
      <c r="E461" s="27"/>
      <c r="F461" s="51"/>
      <c r="G461" s="51"/>
      <c r="H461" s="51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48"/>
      <c r="AJ461" s="27"/>
      <c r="AK461" s="27"/>
      <c r="AL461" s="27"/>
      <c r="AM461" s="27"/>
      <c r="AN461" s="27"/>
      <c r="AO461" s="27"/>
      <c r="AP461" s="27"/>
      <c r="AQ461" s="27"/>
    </row>
    <row r="462" spans="1:43" ht="14.25" customHeight="1">
      <c r="A462" s="27"/>
      <c r="B462" s="27"/>
      <c r="C462" s="50"/>
      <c r="D462" s="27"/>
      <c r="E462" s="27"/>
      <c r="F462" s="51"/>
      <c r="G462" s="51"/>
      <c r="H462" s="51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48"/>
      <c r="AJ462" s="27"/>
      <c r="AK462" s="27"/>
      <c r="AL462" s="27"/>
      <c r="AM462" s="27"/>
      <c r="AN462" s="27"/>
      <c r="AO462" s="27"/>
      <c r="AP462" s="27"/>
      <c r="AQ462" s="27"/>
    </row>
    <row r="463" spans="1:43" ht="14.25" customHeight="1">
      <c r="A463" s="27"/>
      <c r="B463" s="27"/>
      <c r="C463" s="50"/>
      <c r="D463" s="27"/>
      <c r="E463" s="27"/>
      <c r="F463" s="51"/>
      <c r="G463" s="51"/>
      <c r="H463" s="51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48"/>
      <c r="AJ463" s="27"/>
      <c r="AK463" s="27"/>
      <c r="AL463" s="27"/>
      <c r="AM463" s="27"/>
      <c r="AN463" s="27"/>
      <c r="AO463" s="27"/>
      <c r="AP463" s="27"/>
      <c r="AQ463" s="27"/>
    </row>
    <row r="464" spans="1:43" ht="14.25" customHeight="1">
      <c r="A464" s="27"/>
      <c r="B464" s="27"/>
      <c r="C464" s="50"/>
      <c r="D464" s="27"/>
      <c r="E464" s="27"/>
      <c r="F464" s="51"/>
      <c r="G464" s="51"/>
      <c r="H464" s="51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48"/>
      <c r="AJ464" s="27"/>
      <c r="AK464" s="27"/>
      <c r="AL464" s="27"/>
      <c r="AM464" s="27"/>
      <c r="AN464" s="27"/>
      <c r="AO464" s="27"/>
      <c r="AP464" s="27"/>
      <c r="AQ464" s="27"/>
    </row>
    <row r="465" spans="1:43" ht="14.25" customHeight="1">
      <c r="A465" s="27"/>
      <c r="B465" s="27"/>
      <c r="C465" s="50"/>
      <c r="D465" s="27"/>
      <c r="E465" s="27"/>
      <c r="F465" s="51"/>
      <c r="G465" s="51"/>
      <c r="H465" s="51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48"/>
      <c r="AJ465" s="27"/>
      <c r="AK465" s="27"/>
      <c r="AL465" s="27"/>
      <c r="AM465" s="27"/>
      <c r="AN465" s="27"/>
      <c r="AO465" s="27"/>
      <c r="AP465" s="27"/>
      <c r="AQ465" s="27"/>
    </row>
    <row r="466" spans="1:43" ht="14.25" customHeight="1">
      <c r="A466" s="27"/>
      <c r="B466" s="27"/>
      <c r="C466" s="50"/>
      <c r="D466" s="27"/>
      <c r="E466" s="27"/>
      <c r="F466" s="51"/>
      <c r="G466" s="51"/>
      <c r="H466" s="51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48"/>
      <c r="AJ466" s="27"/>
      <c r="AK466" s="27"/>
      <c r="AL466" s="27"/>
      <c r="AM466" s="27"/>
      <c r="AN466" s="27"/>
      <c r="AO466" s="27"/>
      <c r="AP466" s="27"/>
      <c r="AQ466" s="27"/>
    </row>
    <row r="467" spans="1:43" ht="14.25" customHeight="1">
      <c r="A467" s="27"/>
      <c r="B467" s="27"/>
      <c r="C467" s="50"/>
      <c r="D467" s="27"/>
      <c r="E467" s="27"/>
      <c r="F467" s="51"/>
      <c r="G467" s="51"/>
      <c r="H467" s="51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48"/>
      <c r="AJ467" s="27"/>
      <c r="AK467" s="27"/>
      <c r="AL467" s="27"/>
      <c r="AM467" s="27"/>
      <c r="AN467" s="27"/>
      <c r="AO467" s="27"/>
      <c r="AP467" s="27"/>
      <c r="AQ467" s="27"/>
    </row>
    <row r="468" spans="1:43" ht="14.25" customHeight="1">
      <c r="A468" s="27"/>
      <c r="B468" s="27"/>
      <c r="C468" s="50"/>
      <c r="D468" s="27"/>
      <c r="E468" s="27"/>
      <c r="F468" s="51"/>
      <c r="G468" s="51"/>
      <c r="H468" s="51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48"/>
      <c r="AJ468" s="27"/>
      <c r="AK468" s="27"/>
      <c r="AL468" s="27"/>
      <c r="AM468" s="27"/>
      <c r="AN468" s="27"/>
      <c r="AO468" s="27"/>
      <c r="AP468" s="27"/>
      <c r="AQ468" s="27"/>
    </row>
    <row r="469" spans="1:43" ht="14.25" customHeight="1">
      <c r="A469" s="27"/>
      <c r="B469" s="27"/>
      <c r="C469" s="50"/>
      <c r="D469" s="27"/>
      <c r="E469" s="27"/>
      <c r="F469" s="51"/>
      <c r="G469" s="51"/>
      <c r="H469" s="51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48"/>
      <c r="AJ469" s="27"/>
      <c r="AK469" s="27"/>
      <c r="AL469" s="27"/>
      <c r="AM469" s="27"/>
      <c r="AN469" s="27"/>
      <c r="AO469" s="27"/>
      <c r="AP469" s="27"/>
      <c r="AQ469" s="27"/>
    </row>
    <row r="470" spans="1:43" ht="14.25" customHeight="1">
      <c r="A470" s="27"/>
      <c r="B470" s="27"/>
      <c r="C470" s="50"/>
      <c r="D470" s="27"/>
      <c r="E470" s="27"/>
      <c r="F470" s="51"/>
      <c r="G470" s="51"/>
      <c r="H470" s="51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48"/>
      <c r="AJ470" s="27"/>
      <c r="AK470" s="27"/>
      <c r="AL470" s="27"/>
      <c r="AM470" s="27"/>
      <c r="AN470" s="27"/>
      <c r="AO470" s="27"/>
      <c r="AP470" s="27"/>
      <c r="AQ470" s="27"/>
    </row>
    <row r="471" spans="1:43" ht="14.25" customHeight="1">
      <c r="A471" s="27"/>
      <c r="B471" s="27"/>
      <c r="C471" s="50"/>
      <c r="D471" s="27"/>
      <c r="E471" s="27"/>
      <c r="F471" s="51"/>
      <c r="G471" s="51"/>
      <c r="H471" s="51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48"/>
      <c r="AJ471" s="27"/>
      <c r="AK471" s="27"/>
      <c r="AL471" s="27"/>
      <c r="AM471" s="27"/>
      <c r="AN471" s="27"/>
      <c r="AO471" s="27"/>
      <c r="AP471" s="27"/>
      <c r="AQ471" s="27"/>
    </row>
    <row r="472" spans="1:43" ht="14.25" customHeight="1">
      <c r="A472" s="27"/>
      <c r="B472" s="27"/>
      <c r="C472" s="50"/>
      <c r="D472" s="27"/>
      <c r="E472" s="27"/>
      <c r="F472" s="51"/>
      <c r="G472" s="51"/>
      <c r="H472" s="51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48"/>
      <c r="AJ472" s="27"/>
      <c r="AK472" s="27"/>
      <c r="AL472" s="27"/>
      <c r="AM472" s="27"/>
      <c r="AN472" s="27"/>
      <c r="AO472" s="27"/>
      <c r="AP472" s="27"/>
      <c r="AQ472" s="27"/>
    </row>
    <row r="473" spans="1:43" ht="14.25" customHeight="1">
      <c r="A473" s="27"/>
      <c r="B473" s="27"/>
      <c r="C473" s="50"/>
      <c r="D473" s="27"/>
      <c r="E473" s="27"/>
      <c r="F473" s="51"/>
      <c r="G473" s="51"/>
      <c r="H473" s="51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48"/>
      <c r="AJ473" s="27"/>
      <c r="AK473" s="27"/>
      <c r="AL473" s="27"/>
      <c r="AM473" s="27"/>
      <c r="AN473" s="27"/>
      <c r="AO473" s="27"/>
      <c r="AP473" s="27"/>
      <c r="AQ473" s="27"/>
    </row>
    <row r="474" spans="1:43" ht="14.25" customHeight="1">
      <c r="A474" s="27"/>
      <c r="B474" s="27"/>
      <c r="C474" s="50"/>
      <c r="D474" s="27"/>
      <c r="E474" s="27"/>
      <c r="F474" s="51"/>
      <c r="G474" s="51"/>
      <c r="H474" s="51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48"/>
      <c r="AJ474" s="27"/>
      <c r="AK474" s="27"/>
      <c r="AL474" s="27"/>
      <c r="AM474" s="27"/>
      <c r="AN474" s="27"/>
      <c r="AO474" s="27"/>
      <c r="AP474" s="27"/>
      <c r="AQ474" s="27"/>
    </row>
    <row r="475" spans="1:43" ht="14.25" customHeight="1">
      <c r="A475" s="27"/>
      <c r="B475" s="27"/>
      <c r="C475" s="50"/>
      <c r="D475" s="27"/>
      <c r="E475" s="27"/>
      <c r="F475" s="51"/>
      <c r="G475" s="51"/>
      <c r="H475" s="51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48"/>
      <c r="AJ475" s="27"/>
      <c r="AK475" s="27"/>
      <c r="AL475" s="27"/>
      <c r="AM475" s="27"/>
      <c r="AN475" s="27"/>
      <c r="AO475" s="27"/>
      <c r="AP475" s="27"/>
      <c r="AQ475" s="27"/>
    </row>
    <row r="476" spans="1:43" ht="14.25" customHeight="1">
      <c r="A476" s="27"/>
      <c r="B476" s="27"/>
      <c r="C476" s="50"/>
      <c r="D476" s="27"/>
      <c r="E476" s="27"/>
      <c r="F476" s="51"/>
      <c r="G476" s="51"/>
      <c r="H476" s="51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48"/>
      <c r="AJ476" s="27"/>
      <c r="AK476" s="27"/>
      <c r="AL476" s="27"/>
      <c r="AM476" s="27"/>
      <c r="AN476" s="27"/>
      <c r="AO476" s="27"/>
      <c r="AP476" s="27"/>
      <c r="AQ476" s="27"/>
    </row>
    <row r="477" spans="1:43" ht="14.25" customHeight="1">
      <c r="A477" s="27"/>
      <c r="B477" s="27"/>
      <c r="C477" s="50"/>
      <c r="D477" s="27"/>
      <c r="E477" s="27"/>
      <c r="F477" s="51"/>
      <c r="G477" s="51"/>
      <c r="H477" s="51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48"/>
      <c r="AJ477" s="27"/>
      <c r="AK477" s="27"/>
      <c r="AL477" s="27"/>
      <c r="AM477" s="27"/>
      <c r="AN477" s="27"/>
      <c r="AO477" s="27"/>
      <c r="AP477" s="27"/>
      <c r="AQ477" s="27"/>
    </row>
    <row r="478" spans="1:43" ht="14.25" customHeight="1">
      <c r="A478" s="27"/>
      <c r="B478" s="27"/>
      <c r="C478" s="50"/>
      <c r="D478" s="27"/>
      <c r="E478" s="27"/>
      <c r="F478" s="51"/>
      <c r="G478" s="51"/>
      <c r="H478" s="51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48"/>
      <c r="AJ478" s="27"/>
      <c r="AK478" s="27"/>
      <c r="AL478" s="27"/>
      <c r="AM478" s="27"/>
      <c r="AN478" s="27"/>
      <c r="AO478" s="27"/>
      <c r="AP478" s="27"/>
      <c r="AQ478" s="27"/>
    </row>
    <row r="479" spans="1:43" ht="14.25" customHeight="1">
      <c r="A479" s="27"/>
      <c r="B479" s="27"/>
      <c r="C479" s="50"/>
      <c r="D479" s="27"/>
      <c r="E479" s="27"/>
      <c r="F479" s="51"/>
      <c r="G479" s="51"/>
      <c r="H479" s="51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48"/>
      <c r="AJ479" s="27"/>
      <c r="AK479" s="27"/>
      <c r="AL479" s="27"/>
      <c r="AM479" s="27"/>
      <c r="AN479" s="27"/>
      <c r="AO479" s="27"/>
      <c r="AP479" s="27"/>
      <c r="AQ479" s="27"/>
    </row>
    <row r="480" spans="1:43" ht="14.25" customHeight="1">
      <c r="A480" s="27"/>
      <c r="B480" s="27"/>
      <c r="C480" s="50"/>
      <c r="D480" s="27"/>
      <c r="E480" s="27"/>
      <c r="F480" s="51"/>
      <c r="G480" s="51"/>
      <c r="H480" s="51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48"/>
      <c r="AJ480" s="27"/>
      <c r="AK480" s="27"/>
      <c r="AL480" s="27"/>
      <c r="AM480" s="27"/>
      <c r="AN480" s="27"/>
      <c r="AO480" s="27"/>
      <c r="AP480" s="27"/>
      <c r="AQ480" s="27"/>
    </row>
    <row r="481" spans="1:43" ht="14.25" customHeight="1">
      <c r="A481" s="27"/>
      <c r="B481" s="27"/>
      <c r="C481" s="50"/>
      <c r="D481" s="27"/>
      <c r="E481" s="27"/>
      <c r="F481" s="51"/>
      <c r="G481" s="51"/>
      <c r="H481" s="51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48"/>
      <c r="AJ481" s="27"/>
      <c r="AK481" s="27"/>
      <c r="AL481" s="27"/>
      <c r="AM481" s="27"/>
      <c r="AN481" s="27"/>
      <c r="AO481" s="27"/>
      <c r="AP481" s="27"/>
      <c r="AQ481" s="27"/>
    </row>
    <row r="482" spans="1:43" ht="14.25" customHeight="1">
      <c r="A482" s="27"/>
      <c r="B482" s="27"/>
      <c r="C482" s="50"/>
      <c r="D482" s="27"/>
      <c r="E482" s="27"/>
      <c r="F482" s="51"/>
      <c r="G482" s="51"/>
      <c r="H482" s="51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48"/>
      <c r="AJ482" s="27"/>
      <c r="AK482" s="27"/>
      <c r="AL482" s="27"/>
      <c r="AM482" s="27"/>
      <c r="AN482" s="27"/>
      <c r="AO482" s="27"/>
      <c r="AP482" s="27"/>
      <c r="AQ482" s="27"/>
    </row>
    <row r="483" spans="1:43" ht="14.25" customHeight="1">
      <c r="A483" s="27"/>
      <c r="B483" s="27"/>
      <c r="C483" s="50"/>
      <c r="D483" s="27"/>
      <c r="E483" s="27"/>
      <c r="F483" s="51"/>
      <c r="G483" s="51"/>
      <c r="H483" s="51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48"/>
      <c r="AJ483" s="27"/>
      <c r="AK483" s="27"/>
      <c r="AL483" s="27"/>
      <c r="AM483" s="27"/>
      <c r="AN483" s="27"/>
      <c r="AO483" s="27"/>
      <c r="AP483" s="27"/>
      <c r="AQ483" s="27"/>
    </row>
    <row r="484" spans="1:43" ht="14.25" customHeight="1">
      <c r="A484" s="27"/>
      <c r="B484" s="27"/>
      <c r="C484" s="50"/>
      <c r="D484" s="27"/>
      <c r="E484" s="27"/>
      <c r="F484" s="51"/>
      <c r="G484" s="51"/>
      <c r="H484" s="51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48"/>
      <c r="AJ484" s="27"/>
      <c r="AK484" s="27"/>
      <c r="AL484" s="27"/>
      <c r="AM484" s="27"/>
      <c r="AN484" s="27"/>
      <c r="AO484" s="27"/>
      <c r="AP484" s="27"/>
      <c r="AQ484" s="27"/>
    </row>
    <row r="485" spans="1:43" ht="14.25" customHeight="1">
      <c r="A485" s="27"/>
      <c r="B485" s="27"/>
      <c r="C485" s="50"/>
      <c r="D485" s="27"/>
      <c r="E485" s="27"/>
      <c r="F485" s="51"/>
      <c r="G485" s="51"/>
      <c r="H485" s="51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48"/>
      <c r="AJ485" s="27"/>
      <c r="AK485" s="27"/>
      <c r="AL485" s="27"/>
      <c r="AM485" s="27"/>
      <c r="AN485" s="27"/>
      <c r="AO485" s="27"/>
      <c r="AP485" s="27"/>
      <c r="AQ485" s="27"/>
    </row>
    <row r="486" spans="1:43" ht="14.25" customHeight="1">
      <c r="A486" s="27"/>
      <c r="B486" s="27"/>
      <c r="C486" s="50"/>
      <c r="D486" s="27"/>
      <c r="E486" s="27"/>
      <c r="F486" s="51"/>
      <c r="G486" s="51"/>
      <c r="H486" s="51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48"/>
      <c r="AJ486" s="27"/>
      <c r="AK486" s="27"/>
      <c r="AL486" s="27"/>
      <c r="AM486" s="27"/>
      <c r="AN486" s="27"/>
      <c r="AO486" s="27"/>
      <c r="AP486" s="27"/>
      <c r="AQ486" s="27"/>
    </row>
    <row r="487" spans="1:43" ht="14.25" customHeight="1">
      <c r="A487" s="27"/>
      <c r="B487" s="27"/>
      <c r="C487" s="50"/>
      <c r="D487" s="27"/>
      <c r="E487" s="27"/>
      <c r="F487" s="51"/>
      <c r="G487" s="51"/>
      <c r="H487" s="51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48"/>
      <c r="AJ487" s="27"/>
      <c r="AK487" s="27"/>
      <c r="AL487" s="27"/>
      <c r="AM487" s="27"/>
      <c r="AN487" s="27"/>
      <c r="AO487" s="27"/>
      <c r="AP487" s="27"/>
      <c r="AQ487" s="27"/>
    </row>
    <row r="488" spans="1:43" ht="14.25" customHeight="1">
      <c r="A488" s="27"/>
      <c r="B488" s="27"/>
      <c r="C488" s="50"/>
      <c r="D488" s="27"/>
      <c r="E488" s="27"/>
      <c r="F488" s="51"/>
      <c r="G488" s="51"/>
      <c r="H488" s="51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48"/>
      <c r="AJ488" s="27"/>
      <c r="AK488" s="27"/>
      <c r="AL488" s="27"/>
      <c r="AM488" s="27"/>
      <c r="AN488" s="27"/>
      <c r="AO488" s="27"/>
      <c r="AP488" s="27"/>
      <c r="AQ488" s="27"/>
    </row>
    <row r="489" spans="1:43" ht="14.25" customHeight="1">
      <c r="A489" s="27"/>
      <c r="B489" s="27"/>
      <c r="C489" s="50"/>
      <c r="D489" s="27"/>
      <c r="E489" s="27"/>
      <c r="F489" s="51"/>
      <c r="G489" s="51"/>
      <c r="H489" s="51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48"/>
      <c r="AJ489" s="27"/>
      <c r="AK489" s="27"/>
      <c r="AL489" s="27"/>
      <c r="AM489" s="27"/>
      <c r="AN489" s="27"/>
      <c r="AO489" s="27"/>
      <c r="AP489" s="27"/>
      <c r="AQ489" s="27"/>
    </row>
    <row r="490" spans="1:43" ht="14.25" customHeight="1">
      <c r="A490" s="27"/>
      <c r="B490" s="27"/>
      <c r="C490" s="50"/>
      <c r="D490" s="27"/>
      <c r="E490" s="27"/>
      <c r="F490" s="51"/>
      <c r="G490" s="51"/>
      <c r="H490" s="51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48"/>
      <c r="AJ490" s="27"/>
      <c r="AK490" s="27"/>
      <c r="AL490" s="27"/>
      <c r="AM490" s="27"/>
      <c r="AN490" s="27"/>
      <c r="AO490" s="27"/>
      <c r="AP490" s="27"/>
      <c r="AQ490" s="27"/>
    </row>
    <row r="491" spans="1:43" ht="14.25" customHeight="1">
      <c r="A491" s="27"/>
      <c r="B491" s="27"/>
      <c r="C491" s="50"/>
      <c r="D491" s="27"/>
      <c r="E491" s="27"/>
      <c r="F491" s="51"/>
      <c r="G491" s="51"/>
      <c r="H491" s="51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48"/>
      <c r="AJ491" s="27"/>
      <c r="AK491" s="27"/>
      <c r="AL491" s="27"/>
      <c r="AM491" s="27"/>
      <c r="AN491" s="27"/>
      <c r="AO491" s="27"/>
      <c r="AP491" s="27"/>
      <c r="AQ491" s="27"/>
    </row>
    <row r="492" spans="1:43" ht="14.25" customHeight="1">
      <c r="A492" s="27"/>
      <c r="B492" s="27"/>
      <c r="C492" s="50"/>
      <c r="D492" s="27"/>
      <c r="E492" s="27"/>
      <c r="F492" s="51"/>
      <c r="G492" s="51"/>
      <c r="H492" s="51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48"/>
      <c r="AJ492" s="27"/>
      <c r="AK492" s="27"/>
      <c r="AL492" s="27"/>
      <c r="AM492" s="27"/>
      <c r="AN492" s="27"/>
      <c r="AO492" s="27"/>
      <c r="AP492" s="27"/>
      <c r="AQ492" s="27"/>
    </row>
    <row r="493" spans="1:43" ht="14.25" customHeight="1">
      <c r="A493" s="27"/>
      <c r="B493" s="27"/>
      <c r="C493" s="50"/>
      <c r="D493" s="27"/>
      <c r="E493" s="27"/>
      <c r="F493" s="51"/>
      <c r="G493" s="51"/>
      <c r="H493" s="51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48"/>
      <c r="AJ493" s="27"/>
      <c r="AK493" s="27"/>
      <c r="AL493" s="27"/>
      <c r="AM493" s="27"/>
      <c r="AN493" s="27"/>
      <c r="AO493" s="27"/>
      <c r="AP493" s="27"/>
      <c r="AQ493" s="27"/>
    </row>
    <row r="494" spans="1:43" ht="14.25" customHeight="1">
      <c r="A494" s="27"/>
      <c r="B494" s="27"/>
      <c r="C494" s="50"/>
      <c r="D494" s="27"/>
      <c r="E494" s="27"/>
      <c r="F494" s="51"/>
      <c r="G494" s="51"/>
      <c r="H494" s="51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48"/>
      <c r="AJ494" s="27"/>
      <c r="AK494" s="27"/>
      <c r="AL494" s="27"/>
      <c r="AM494" s="27"/>
      <c r="AN494" s="27"/>
      <c r="AO494" s="27"/>
      <c r="AP494" s="27"/>
      <c r="AQ494" s="27"/>
    </row>
    <row r="495" spans="1:43" ht="14.25" customHeight="1">
      <c r="A495" s="27"/>
      <c r="B495" s="27"/>
      <c r="C495" s="50"/>
      <c r="D495" s="27"/>
      <c r="E495" s="27"/>
      <c r="F495" s="51"/>
      <c r="G495" s="51"/>
      <c r="H495" s="51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48"/>
      <c r="AJ495" s="27"/>
      <c r="AK495" s="27"/>
      <c r="AL495" s="27"/>
      <c r="AM495" s="27"/>
      <c r="AN495" s="27"/>
      <c r="AO495" s="27"/>
      <c r="AP495" s="27"/>
      <c r="AQ495" s="27"/>
    </row>
    <row r="496" spans="1:43" ht="14.25" customHeight="1">
      <c r="A496" s="27"/>
      <c r="B496" s="27"/>
      <c r="C496" s="50"/>
      <c r="D496" s="27"/>
      <c r="E496" s="27"/>
      <c r="F496" s="51"/>
      <c r="G496" s="51"/>
      <c r="H496" s="51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48"/>
      <c r="AJ496" s="27"/>
      <c r="AK496" s="27"/>
      <c r="AL496" s="27"/>
      <c r="AM496" s="27"/>
      <c r="AN496" s="27"/>
      <c r="AO496" s="27"/>
      <c r="AP496" s="27"/>
      <c r="AQ496" s="27"/>
    </row>
    <row r="497" spans="1:43" ht="14.25" customHeight="1">
      <c r="A497" s="27"/>
      <c r="B497" s="27"/>
      <c r="C497" s="50"/>
      <c r="D497" s="27"/>
      <c r="E497" s="27"/>
      <c r="F497" s="51"/>
      <c r="G497" s="51"/>
      <c r="H497" s="51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48"/>
      <c r="AJ497" s="27"/>
      <c r="AK497" s="27"/>
      <c r="AL497" s="27"/>
      <c r="AM497" s="27"/>
      <c r="AN497" s="27"/>
      <c r="AO497" s="27"/>
      <c r="AP497" s="27"/>
      <c r="AQ497" s="27"/>
    </row>
    <row r="498" spans="1:43" ht="14.25" customHeight="1">
      <c r="A498" s="27"/>
      <c r="B498" s="27"/>
      <c r="C498" s="50"/>
      <c r="D498" s="27"/>
      <c r="E498" s="27"/>
      <c r="F498" s="51"/>
      <c r="G498" s="51"/>
      <c r="H498" s="51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48"/>
      <c r="AJ498" s="27"/>
      <c r="AK498" s="27"/>
      <c r="AL498" s="27"/>
      <c r="AM498" s="27"/>
      <c r="AN498" s="27"/>
      <c r="AO498" s="27"/>
      <c r="AP498" s="27"/>
      <c r="AQ498" s="27"/>
    </row>
    <row r="499" spans="1:43" ht="14.25" customHeight="1">
      <c r="A499" s="27"/>
      <c r="B499" s="27"/>
      <c r="C499" s="50"/>
      <c r="D499" s="27"/>
      <c r="E499" s="27"/>
      <c r="F499" s="51"/>
      <c r="G499" s="51"/>
      <c r="H499" s="51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48"/>
      <c r="AJ499" s="27"/>
      <c r="AK499" s="27"/>
      <c r="AL499" s="27"/>
      <c r="AM499" s="27"/>
      <c r="AN499" s="27"/>
      <c r="AO499" s="27"/>
      <c r="AP499" s="27"/>
      <c r="AQ499" s="27"/>
    </row>
    <row r="500" spans="1:43" ht="14.25" customHeight="1">
      <c r="A500" s="27"/>
      <c r="B500" s="27"/>
      <c r="C500" s="50"/>
      <c r="D500" s="27"/>
      <c r="E500" s="27"/>
      <c r="F500" s="51"/>
      <c r="G500" s="51"/>
      <c r="H500" s="51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48"/>
      <c r="AJ500" s="27"/>
      <c r="AK500" s="27"/>
      <c r="AL500" s="27"/>
      <c r="AM500" s="27"/>
      <c r="AN500" s="27"/>
      <c r="AO500" s="27"/>
      <c r="AP500" s="27"/>
      <c r="AQ500" s="27"/>
    </row>
    <row r="501" spans="1:43" ht="14.25" customHeight="1">
      <c r="A501" s="27"/>
      <c r="B501" s="27"/>
      <c r="C501" s="50"/>
      <c r="D501" s="27"/>
      <c r="E501" s="27"/>
      <c r="F501" s="51"/>
      <c r="G501" s="51"/>
      <c r="H501" s="51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48"/>
      <c r="AJ501" s="27"/>
      <c r="AK501" s="27"/>
      <c r="AL501" s="27"/>
      <c r="AM501" s="27"/>
      <c r="AN501" s="27"/>
      <c r="AO501" s="27"/>
      <c r="AP501" s="27"/>
      <c r="AQ501" s="27"/>
    </row>
    <row r="502" spans="1:43" ht="14.25" customHeight="1">
      <c r="A502" s="27"/>
      <c r="B502" s="27"/>
      <c r="C502" s="50"/>
      <c r="D502" s="27"/>
      <c r="E502" s="27"/>
      <c r="F502" s="51"/>
      <c r="G502" s="51"/>
      <c r="H502" s="51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48"/>
      <c r="AJ502" s="27"/>
      <c r="AK502" s="27"/>
      <c r="AL502" s="27"/>
      <c r="AM502" s="27"/>
      <c r="AN502" s="27"/>
      <c r="AO502" s="27"/>
      <c r="AP502" s="27"/>
      <c r="AQ502" s="27"/>
    </row>
    <row r="503" spans="1:43" ht="14.25" customHeight="1">
      <c r="A503" s="27"/>
      <c r="B503" s="27"/>
      <c r="C503" s="50"/>
      <c r="D503" s="27"/>
      <c r="E503" s="27"/>
      <c r="F503" s="51"/>
      <c r="G503" s="51"/>
      <c r="H503" s="51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48"/>
      <c r="AJ503" s="27"/>
      <c r="AK503" s="27"/>
      <c r="AL503" s="27"/>
      <c r="AM503" s="27"/>
      <c r="AN503" s="27"/>
      <c r="AO503" s="27"/>
      <c r="AP503" s="27"/>
      <c r="AQ503" s="27"/>
    </row>
    <row r="504" spans="1:43" ht="14.25" customHeight="1">
      <c r="A504" s="27"/>
      <c r="B504" s="27"/>
      <c r="C504" s="50"/>
      <c r="D504" s="27"/>
      <c r="E504" s="27"/>
      <c r="F504" s="51"/>
      <c r="G504" s="51"/>
      <c r="H504" s="51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48"/>
      <c r="AJ504" s="27"/>
      <c r="AK504" s="27"/>
      <c r="AL504" s="27"/>
      <c r="AM504" s="27"/>
      <c r="AN504" s="27"/>
      <c r="AO504" s="27"/>
      <c r="AP504" s="27"/>
      <c r="AQ504" s="27"/>
    </row>
    <row r="505" spans="1:43" ht="14.25" customHeight="1">
      <c r="A505" s="27"/>
      <c r="B505" s="27"/>
      <c r="C505" s="50"/>
      <c r="D505" s="27"/>
      <c r="E505" s="27"/>
      <c r="F505" s="51"/>
      <c r="G505" s="51"/>
      <c r="H505" s="51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48"/>
      <c r="AJ505" s="27"/>
      <c r="AK505" s="27"/>
      <c r="AL505" s="27"/>
      <c r="AM505" s="27"/>
      <c r="AN505" s="27"/>
      <c r="AO505" s="27"/>
      <c r="AP505" s="27"/>
      <c r="AQ505" s="27"/>
    </row>
    <row r="506" spans="1:43" ht="14.25" customHeight="1">
      <c r="A506" s="27"/>
      <c r="B506" s="27"/>
      <c r="C506" s="50"/>
      <c r="D506" s="27"/>
      <c r="E506" s="27"/>
      <c r="F506" s="51"/>
      <c r="G506" s="51"/>
      <c r="H506" s="51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48"/>
      <c r="AJ506" s="27"/>
      <c r="AK506" s="27"/>
      <c r="AL506" s="27"/>
      <c r="AM506" s="27"/>
      <c r="AN506" s="27"/>
      <c r="AO506" s="27"/>
      <c r="AP506" s="27"/>
      <c r="AQ506" s="27"/>
    </row>
    <row r="507" spans="1:43" ht="14.25" customHeight="1">
      <c r="A507" s="27"/>
      <c r="B507" s="27"/>
      <c r="C507" s="50"/>
      <c r="D507" s="27"/>
      <c r="E507" s="27"/>
      <c r="F507" s="51"/>
      <c r="G507" s="51"/>
      <c r="H507" s="51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48"/>
      <c r="AJ507" s="27"/>
      <c r="AK507" s="27"/>
      <c r="AL507" s="27"/>
      <c r="AM507" s="27"/>
      <c r="AN507" s="27"/>
      <c r="AO507" s="27"/>
      <c r="AP507" s="27"/>
      <c r="AQ507" s="27"/>
    </row>
    <row r="508" spans="1:43" ht="14.25" customHeight="1">
      <c r="A508" s="27"/>
      <c r="B508" s="27"/>
      <c r="C508" s="50"/>
      <c r="D508" s="27"/>
      <c r="E508" s="27"/>
      <c r="F508" s="51"/>
      <c r="G508" s="51"/>
      <c r="H508" s="51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48"/>
      <c r="AJ508" s="27"/>
      <c r="AK508" s="27"/>
      <c r="AL508" s="27"/>
      <c r="AM508" s="27"/>
      <c r="AN508" s="27"/>
      <c r="AO508" s="27"/>
      <c r="AP508" s="27"/>
      <c r="AQ508" s="27"/>
    </row>
    <row r="509" spans="1:43" ht="14.25" customHeight="1">
      <c r="A509" s="27"/>
      <c r="B509" s="27"/>
      <c r="C509" s="50"/>
      <c r="D509" s="27"/>
      <c r="E509" s="27"/>
      <c r="F509" s="51"/>
      <c r="G509" s="51"/>
      <c r="H509" s="51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48"/>
      <c r="AJ509" s="27"/>
      <c r="AK509" s="27"/>
      <c r="AL509" s="27"/>
      <c r="AM509" s="27"/>
      <c r="AN509" s="27"/>
      <c r="AO509" s="27"/>
      <c r="AP509" s="27"/>
      <c r="AQ509" s="27"/>
    </row>
    <row r="510" spans="1:43" ht="14.25" customHeight="1">
      <c r="A510" s="27"/>
      <c r="B510" s="27"/>
      <c r="C510" s="50"/>
      <c r="D510" s="27"/>
      <c r="E510" s="27"/>
      <c r="F510" s="51"/>
      <c r="G510" s="51"/>
      <c r="H510" s="51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48"/>
      <c r="AJ510" s="27"/>
      <c r="AK510" s="27"/>
      <c r="AL510" s="27"/>
      <c r="AM510" s="27"/>
      <c r="AN510" s="27"/>
      <c r="AO510" s="27"/>
      <c r="AP510" s="27"/>
      <c r="AQ510" s="27"/>
    </row>
    <row r="511" spans="1:43" ht="14.25" customHeight="1">
      <c r="A511" s="27"/>
      <c r="B511" s="27"/>
      <c r="C511" s="50"/>
      <c r="D511" s="27"/>
      <c r="E511" s="27"/>
      <c r="F511" s="51"/>
      <c r="G511" s="51"/>
      <c r="H511" s="51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48"/>
      <c r="AJ511" s="27"/>
      <c r="AK511" s="27"/>
      <c r="AL511" s="27"/>
      <c r="AM511" s="27"/>
      <c r="AN511" s="27"/>
      <c r="AO511" s="27"/>
      <c r="AP511" s="27"/>
      <c r="AQ511" s="27"/>
    </row>
    <row r="512" spans="1:43" ht="14.25" customHeight="1">
      <c r="A512" s="27"/>
      <c r="B512" s="27"/>
      <c r="C512" s="50"/>
      <c r="D512" s="27"/>
      <c r="E512" s="27"/>
      <c r="F512" s="51"/>
      <c r="G512" s="51"/>
      <c r="H512" s="51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48"/>
      <c r="AJ512" s="27"/>
      <c r="AK512" s="27"/>
      <c r="AL512" s="27"/>
      <c r="AM512" s="27"/>
      <c r="AN512" s="27"/>
      <c r="AO512" s="27"/>
      <c r="AP512" s="27"/>
      <c r="AQ512" s="27"/>
    </row>
    <row r="513" spans="1:43" ht="14.25" customHeight="1">
      <c r="A513" s="27"/>
      <c r="B513" s="27"/>
      <c r="C513" s="50"/>
      <c r="D513" s="27"/>
      <c r="E513" s="27"/>
      <c r="F513" s="51"/>
      <c r="G513" s="51"/>
      <c r="H513" s="51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48"/>
      <c r="AJ513" s="27"/>
      <c r="AK513" s="27"/>
      <c r="AL513" s="27"/>
      <c r="AM513" s="27"/>
      <c r="AN513" s="27"/>
      <c r="AO513" s="27"/>
      <c r="AP513" s="27"/>
      <c r="AQ513" s="27"/>
    </row>
    <row r="514" spans="1:43" ht="14.25" customHeight="1">
      <c r="A514" s="27"/>
      <c r="B514" s="27"/>
      <c r="C514" s="50"/>
      <c r="D514" s="27"/>
      <c r="E514" s="27"/>
      <c r="F514" s="51"/>
      <c r="G514" s="51"/>
      <c r="H514" s="51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48"/>
      <c r="AJ514" s="27"/>
      <c r="AK514" s="27"/>
      <c r="AL514" s="27"/>
      <c r="AM514" s="27"/>
      <c r="AN514" s="27"/>
      <c r="AO514" s="27"/>
      <c r="AP514" s="27"/>
      <c r="AQ514" s="27"/>
    </row>
    <row r="515" spans="1:43" ht="14.25" customHeight="1">
      <c r="A515" s="27"/>
      <c r="B515" s="27"/>
      <c r="C515" s="50"/>
      <c r="D515" s="27"/>
      <c r="E515" s="27"/>
      <c r="F515" s="51"/>
      <c r="G515" s="51"/>
      <c r="H515" s="51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48"/>
      <c r="AJ515" s="27"/>
      <c r="AK515" s="27"/>
      <c r="AL515" s="27"/>
      <c r="AM515" s="27"/>
      <c r="AN515" s="27"/>
      <c r="AO515" s="27"/>
      <c r="AP515" s="27"/>
      <c r="AQ515" s="27"/>
    </row>
    <row r="516" spans="1:43" ht="14.25" customHeight="1">
      <c r="A516" s="27"/>
      <c r="B516" s="27"/>
      <c r="C516" s="50"/>
      <c r="D516" s="27"/>
      <c r="E516" s="27"/>
      <c r="F516" s="51"/>
      <c r="G516" s="51"/>
      <c r="H516" s="51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48"/>
      <c r="AJ516" s="27"/>
      <c r="AK516" s="27"/>
      <c r="AL516" s="27"/>
      <c r="AM516" s="27"/>
      <c r="AN516" s="27"/>
      <c r="AO516" s="27"/>
      <c r="AP516" s="27"/>
      <c r="AQ516" s="27"/>
    </row>
    <row r="517" spans="1:43" ht="14.25" customHeight="1">
      <c r="A517" s="27"/>
      <c r="B517" s="27"/>
      <c r="C517" s="50"/>
      <c r="D517" s="27"/>
      <c r="E517" s="27"/>
      <c r="F517" s="51"/>
      <c r="G517" s="51"/>
      <c r="H517" s="51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48"/>
      <c r="AJ517" s="27"/>
      <c r="AK517" s="27"/>
      <c r="AL517" s="27"/>
      <c r="AM517" s="27"/>
      <c r="AN517" s="27"/>
      <c r="AO517" s="27"/>
      <c r="AP517" s="27"/>
      <c r="AQ517" s="27"/>
    </row>
    <row r="518" spans="1:43" ht="14.25" customHeight="1">
      <c r="A518" s="27"/>
      <c r="B518" s="27"/>
      <c r="C518" s="50"/>
      <c r="D518" s="27"/>
      <c r="E518" s="27"/>
      <c r="F518" s="51"/>
      <c r="G518" s="51"/>
      <c r="H518" s="51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48"/>
      <c r="AJ518" s="27"/>
      <c r="AK518" s="27"/>
      <c r="AL518" s="27"/>
      <c r="AM518" s="27"/>
      <c r="AN518" s="27"/>
      <c r="AO518" s="27"/>
      <c r="AP518" s="27"/>
      <c r="AQ518" s="27"/>
    </row>
    <row r="519" spans="1:43" ht="14.25" customHeight="1">
      <c r="A519" s="27"/>
      <c r="B519" s="27"/>
      <c r="C519" s="50"/>
      <c r="D519" s="27"/>
      <c r="E519" s="27"/>
      <c r="F519" s="51"/>
      <c r="G519" s="51"/>
      <c r="H519" s="51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48"/>
      <c r="AJ519" s="27"/>
      <c r="AK519" s="27"/>
      <c r="AL519" s="27"/>
      <c r="AM519" s="27"/>
      <c r="AN519" s="27"/>
      <c r="AO519" s="27"/>
      <c r="AP519" s="27"/>
      <c r="AQ519" s="27"/>
    </row>
    <row r="520" spans="1:43" ht="14.25" customHeight="1">
      <c r="A520" s="27"/>
      <c r="B520" s="27"/>
      <c r="C520" s="50"/>
      <c r="D520" s="27"/>
      <c r="E520" s="27"/>
      <c r="F520" s="51"/>
      <c r="G520" s="51"/>
      <c r="H520" s="51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48"/>
      <c r="AJ520" s="27"/>
      <c r="AK520" s="27"/>
      <c r="AL520" s="27"/>
      <c r="AM520" s="27"/>
      <c r="AN520" s="27"/>
      <c r="AO520" s="27"/>
      <c r="AP520" s="27"/>
      <c r="AQ520" s="27"/>
    </row>
    <row r="521" spans="1:43" ht="14.25" customHeight="1">
      <c r="A521" s="27"/>
      <c r="B521" s="27"/>
      <c r="C521" s="50"/>
      <c r="D521" s="27"/>
      <c r="E521" s="27"/>
      <c r="F521" s="51"/>
      <c r="G521" s="51"/>
      <c r="H521" s="51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48"/>
      <c r="AJ521" s="27"/>
      <c r="AK521" s="27"/>
      <c r="AL521" s="27"/>
      <c r="AM521" s="27"/>
      <c r="AN521" s="27"/>
      <c r="AO521" s="27"/>
      <c r="AP521" s="27"/>
      <c r="AQ521" s="27"/>
    </row>
    <row r="522" spans="1:43" ht="14.25" customHeight="1">
      <c r="A522" s="27"/>
      <c r="B522" s="27"/>
      <c r="C522" s="50"/>
      <c r="D522" s="27"/>
      <c r="E522" s="27"/>
      <c r="F522" s="51"/>
      <c r="G522" s="51"/>
      <c r="H522" s="51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48"/>
      <c r="AJ522" s="27"/>
      <c r="AK522" s="27"/>
      <c r="AL522" s="27"/>
      <c r="AM522" s="27"/>
      <c r="AN522" s="27"/>
      <c r="AO522" s="27"/>
      <c r="AP522" s="27"/>
      <c r="AQ522" s="27"/>
    </row>
    <row r="523" spans="1:43" ht="14.25" customHeight="1">
      <c r="A523" s="27"/>
      <c r="B523" s="27"/>
      <c r="C523" s="50"/>
      <c r="D523" s="27"/>
      <c r="E523" s="27"/>
      <c r="F523" s="51"/>
      <c r="G523" s="51"/>
      <c r="H523" s="51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48"/>
      <c r="AJ523" s="27"/>
      <c r="AK523" s="27"/>
      <c r="AL523" s="27"/>
      <c r="AM523" s="27"/>
      <c r="AN523" s="27"/>
      <c r="AO523" s="27"/>
      <c r="AP523" s="27"/>
      <c r="AQ523" s="27"/>
    </row>
    <row r="524" spans="1:43" ht="14.25" customHeight="1">
      <c r="A524" s="27"/>
      <c r="B524" s="27"/>
      <c r="C524" s="50"/>
      <c r="D524" s="27"/>
      <c r="E524" s="27"/>
      <c r="F524" s="51"/>
      <c r="G524" s="51"/>
      <c r="H524" s="51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48"/>
      <c r="AJ524" s="27"/>
      <c r="AK524" s="27"/>
      <c r="AL524" s="27"/>
      <c r="AM524" s="27"/>
      <c r="AN524" s="27"/>
      <c r="AO524" s="27"/>
      <c r="AP524" s="27"/>
      <c r="AQ524" s="27"/>
    </row>
    <row r="525" spans="1:43" ht="14.25" customHeight="1">
      <c r="A525" s="27"/>
      <c r="B525" s="27"/>
      <c r="C525" s="50"/>
      <c r="D525" s="27"/>
      <c r="E525" s="27"/>
      <c r="F525" s="51"/>
      <c r="G525" s="51"/>
      <c r="H525" s="51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48"/>
      <c r="AJ525" s="27"/>
      <c r="AK525" s="27"/>
      <c r="AL525" s="27"/>
      <c r="AM525" s="27"/>
      <c r="AN525" s="27"/>
      <c r="AO525" s="27"/>
      <c r="AP525" s="27"/>
      <c r="AQ525" s="27"/>
    </row>
    <row r="526" spans="1:43" ht="14.25" customHeight="1">
      <c r="A526" s="27"/>
      <c r="B526" s="27"/>
      <c r="C526" s="50"/>
      <c r="D526" s="27"/>
      <c r="E526" s="27"/>
      <c r="F526" s="51"/>
      <c r="G526" s="51"/>
      <c r="H526" s="51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48"/>
      <c r="AJ526" s="27"/>
      <c r="AK526" s="27"/>
      <c r="AL526" s="27"/>
      <c r="AM526" s="27"/>
      <c r="AN526" s="27"/>
      <c r="AO526" s="27"/>
      <c r="AP526" s="27"/>
      <c r="AQ526" s="27"/>
    </row>
    <row r="527" spans="1:43" ht="14.25" customHeight="1">
      <c r="A527" s="27"/>
      <c r="B527" s="27"/>
      <c r="C527" s="50"/>
      <c r="D527" s="27"/>
      <c r="E527" s="27"/>
      <c r="F527" s="51"/>
      <c r="G527" s="51"/>
      <c r="H527" s="51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48"/>
      <c r="AJ527" s="27"/>
      <c r="AK527" s="27"/>
      <c r="AL527" s="27"/>
      <c r="AM527" s="27"/>
      <c r="AN527" s="27"/>
      <c r="AO527" s="27"/>
      <c r="AP527" s="27"/>
      <c r="AQ527" s="27"/>
    </row>
    <row r="528" spans="1:43" ht="14.25" customHeight="1">
      <c r="A528" s="27"/>
      <c r="B528" s="27"/>
      <c r="C528" s="50"/>
      <c r="D528" s="27"/>
      <c r="E528" s="27"/>
      <c r="F528" s="51"/>
      <c r="G528" s="51"/>
      <c r="H528" s="51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48"/>
      <c r="AJ528" s="27"/>
      <c r="AK528" s="27"/>
      <c r="AL528" s="27"/>
      <c r="AM528" s="27"/>
      <c r="AN528" s="27"/>
      <c r="AO528" s="27"/>
      <c r="AP528" s="27"/>
      <c r="AQ528" s="27"/>
    </row>
    <row r="529" spans="1:43" ht="14.25" customHeight="1">
      <c r="A529" s="27"/>
      <c r="B529" s="27"/>
      <c r="C529" s="50"/>
      <c r="D529" s="27"/>
      <c r="E529" s="27"/>
      <c r="F529" s="51"/>
      <c r="G529" s="51"/>
      <c r="H529" s="51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48"/>
      <c r="AJ529" s="27"/>
      <c r="AK529" s="27"/>
      <c r="AL529" s="27"/>
      <c r="AM529" s="27"/>
      <c r="AN529" s="27"/>
      <c r="AO529" s="27"/>
      <c r="AP529" s="27"/>
      <c r="AQ529" s="27"/>
    </row>
    <row r="530" spans="1:43" ht="14.25" customHeight="1">
      <c r="A530" s="27"/>
      <c r="B530" s="27"/>
      <c r="C530" s="50"/>
      <c r="D530" s="27"/>
      <c r="E530" s="27"/>
      <c r="F530" s="51"/>
      <c r="G530" s="51"/>
      <c r="H530" s="51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48"/>
      <c r="AJ530" s="27"/>
      <c r="AK530" s="27"/>
      <c r="AL530" s="27"/>
      <c r="AM530" s="27"/>
      <c r="AN530" s="27"/>
      <c r="AO530" s="27"/>
      <c r="AP530" s="27"/>
      <c r="AQ530" s="27"/>
    </row>
    <row r="531" spans="1:43" ht="14.25" customHeight="1">
      <c r="A531" s="27"/>
      <c r="B531" s="27"/>
      <c r="C531" s="50"/>
      <c r="D531" s="27"/>
      <c r="E531" s="27"/>
      <c r="F531" s="51"/>
      <c r="G531" s="51"/>
      <c r="H531" s="51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48"/>
      <c r="AJ531" s="27"/>
      <c r="AK531" s="27"/>
      <c r="AL531" s="27"/>
      <c r="AM531" s="27"/>
      <c r="AN531" s="27"/>
      <c r="AO531" s="27"/>
      <c r="AP531" s="27"/>
      <c r="AQ531" s="27"/>
    </row>
    <row r="532" spans="1:43" ht="14.25" customHeight="1">
      <c r="A532" s="27"/>
      <c r="B532" s="27"/>
      <c r="C532" s="50"/>
      <c r="D532" s="27"/>
      <c r="E532" s="27"/>
      <c r="F532" s="51"/>
      <c r="G532" s="51"/>
      <c r="H532" s="51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48"/>
      <c r="AJ532" s="27"/>
      <c r="AK532" s="27"/>
      <c r="AL532" s="27"/>
      <c r="AM532" s="27"/>
      <c r="AN532" s="27"/>
      <c r="AO532" s="27"/>
      <c r="AP532" s="27"/>
      <c r="AQ532" s="27"/>
    </row>
    <row r="533" spans="1:43" ht="14.25" customHeight="1">
      <c r="A533" s="27"/>
      <c r="B533" s="27"/>
      <c r="C533" s="50"/>
      <c r="D533" s="27"/>
      <c r="E533" s="27"/>
      <c r="F533" s="51"/>
      <c r="G533" s="51"/>
      <c r="H533" s="51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48"/>
      <c r="AJ533" s="27"/>
      <c r="AK533" s="27"/>
      <c r="AL533" s="27"/>
      <c r="AM533" s="27"/>
      <c r="AN533" s="27"/>
      <c r="AO533" s="27"/>
      <c r="AP533" s="27"/>
      <c r="AQ533" s="27"/>
    </row>
    <row r="534" spans="1:43" ht="14.25" customHeight="1">
      <c r="A534" s="27"/>
      <c r="B534" s="27"/>
      <c r="C534" s="50"/>
      <c r="D534" s="27"/>
      <c r="E534" s="27"/>
      <c r="F534" s="51"/>
      <c r="G534" s="51"/>
      <c r="H534" s="51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48"/>
      <c r="AJ534" s="27"/>
      <c r="AK534" s="27"/>
      <c r="AL534" s="27"/>
      <c r="AM534" s="27"/>
      <c r="AN534" s="27"/>
      <c r="AO534" s="27"/>
      <c r="AP534" s="27"/>
      <c r="AQ534" s="27"/>
    </row>
    <row r="535" spans="1:43" ht="14.25" customHeight="1">
      <c r="A535" s="27"/>
      <c r="B535" s="27"/>
      <c r="C535" s="50"/>
      <c r="D535" s="27"/>
      <c r="E535" s="27"/>
      <c r="F535" s="51"/>
      <c r="G535" s="51"/>
      <c r="H535" s="51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48"/>
      <c r="AJ535" s="27"/>
      <c r="AK535" s="27"/>
      <c r="AL535" s="27"/>
      <c r="AM535" s="27"/>
      <c r="AN535" s="27"/>
      <c r="AO535" s="27"/>
      <c r="AP535" s="27"/>
      <c r="AQ535" s="27"/>
    </row>
    <row r="536" spans="1:43" ht="14.25" customHeight="1">
      <c r="A536" s="27"/>
      <c r="B536" s="27"/>
      <c r="C536" s="50"/>
      <c r="D536" s="27"/>
      <c r="E536" s="27"/>
      <c r="F536" s="51"/>
      <c r="G536" s="51"/>
      <c r="H536" s="51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48"/>
      <c r="AJ536" s="27"/>
      <c r="AK536" s="27"/>
      <c r="AL536" s="27"/>
      <c r="AM536" s="27"/>
      <c r="AN536" s="27"/>
      <c r="AO536" s="27"/>
      <c r="AP536" s="27"/>
      <c r="AQ536" s="27"/>
    </row>
    <row r="537" spans="1:43" ht="14.25" customHeight="1">
      <c r="A537" s="27"/>
      <c r="B537" s="27"/>
      <c r="C537" s="50"/>
      <c r="D537" s="27"/>
      <c r="E537" s="27"/>
      <c r="F537" s="51"/>
      <c r="G537" s="51"/>
      <c r="H537" s="51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48"/>
      <c r="AJ537" s="27"/>
      <c r="AK537" s="27"/>
      <c r="AL537" s="27"/>
      <c r="AM537" s="27"/>
      <c r="AN537" s="27"/>
      <c r="AO537" s="27"/>
      <c r="AP537" s="27"/>
      <c r="AQ537" s="27"/>
    </row>
    <row r="538" spans="1:43" ht="14.25" customHeight="1">
      <c r="A538" s="27"/>
      <c r="B538" s="27"/>
      <c r="C538" s="50"/>
      <c r="D538" s="27"/>
      <c r="E538" s="27"/>
      <c r="F538" s="51"/>
      <c r="G538" s="51"/>
      <c r="H538" s="51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48"/>
      <c r="AJ538" s="27"/>
      <c r="AK538" s="27"/>
      <c r="AL538" s="27"/>
      <c r="AM538" s="27"/>
      <c r="AN538" s="27"/>
      <c r="AO538" s="27"/>
      <c r="AP538" s="27"/>
      <c r="AQ538" s="27"/>
    </row>
    <row r="539" spans="1:43" ht="14.25" customHeight="1">
      <c r="A539" s="27"/>
      <c r="B539" s="27"/>
      <c r="C539" s="50"/>
      <c r="D539" s="27"/>
      <c r="E539" s="27"/>
      <c r="F539" s="51"/>
      <c r="G539" s="51"/>
      <c r="H539" s="51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48"/>
      <c r="AJ539" s="27"/>
      <c r="AK539" s="27"/>
      <c r="AL539" s="27"/>
      <c r="AM539" s="27"/>
      <c r="AN539" s="27"/>
      <c r="AO539" s="27"/>
      <c r="AP539" s="27"/>
      <c r="AQ539" s="27"/>
    </row>
    <row r="540" spans="1:43" ht="14.25" customHeight="1">
      <c r="A540" s="27"/>
      <c r="B540" s="27"/>
      <c r="C540" s="50"/>
      <c r="D540" s="27"/>
      <c r="E540" s="27"/>
      <c r="F540" s="51"/>
      <c r="G540" s="51"/>
      <c r="H540" s="51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48"/>
      <c r="AJ540" s="27"/>
      <c r="AK540" s="27"/>
      <c r="AL540" s="27"/>
      <c r="AM540" s="27"/>
      <c r="AN540" s="27"/>
      <c r="AO540" s="27"/>
      <c r="AP540" s="27"/>
      <c r="AQ540" s="27"/>
    </row>
    <row r="541" spans="1:43" ht="14.25" customHeight="1">
      <c r="A541" s="27"/>
      <c r="B541" s="27"/>
      <c r="C541" s="50"/>
      <c r="D541" s="27"/>
      <c r="E541" s="27"/>
      <c r="F541" s="51"/>
      <c r="G541" s="51"/>
      <c r="H541" s="51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48"/>
      <c r="AJ541" s="27"/>
      <c r="AK541" s="27"/>
      <c r="AL541" s="27"/>
      <c r="AM541" s="27"/>
      <c r="AN541" s="27"/>
      <c r="AO541" s="27"/>
      <c r="AP541" s="27"/>
      <c r="AQ541" s="27"/>
    </row>
    <row r="542" spans="1:43" ht="14.25" customHeight="1">
      <c r="A542" s="27"/>
      <c r="B542" s="27"/>
      <c r="C542" s="50"/>
      <c r="D542" s="27"/>
      <c r="E542" s="27"/>
      <c r="F542" s="51"/>
      <c r="G542" s="51"/>
      <c r="H542" s="51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48"/>
      <c r="AJ542" s="27"/>
      <c r="AK542" s="27"/>
      <c r="AL542" s="27"/>
      <c r="AM542" s="27"/>
      <c r="AN542" s="27"/>
      <c r="AO542" s="27"/>
      <c r="AP542" s="27"/>
      <c r="AQ542" s="27"/>
    </row>
    <row r="543" spans="1:43" ht="14.25" customHeight="1">
      <c r="A543" s="27"/>
      <c r="B543" s="27"/>
      <c r="C543" s="50"/>
      <c r="D543" s="27"/>
      <c r="E543" s="27"/>
      <c r="F543" s="51"/>
      <c r="G543" s="51"/>
      <c r="H543" s="51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48"/>
      <c r="AJ543" s="27"/>
      <c r="AK543" s="27"/>
      <c r="AL543" s="27"/>
      <c r="AM543" s="27"/>
      <c r="AN543" s="27"/>
      <c r="AO543" s="27"/>
      <c r="AP543" s="27"/>
      <c r="AQ543" s="27"/>
    </row>
    <row r="544" spans="1:43" ht="14.25" customHeight="1">
      <c r="A544" s="27"/>
      <c r="B544" s="27"/>
      <c r="C544" s="50"/>
      <c r="D544" s="27"/>
      <c r="E544" s="27"/>
      <c r="F544" s="51"/>
      <c r="G544" s="51"/>
      <c r="H544" s="51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48"/>
      <c r="AJ544" s="27"/>
      <c r="AK544" s="27"/>
      <c r="AL544" s="27"/>
      <c r="AM544" s="27"/>
      <c r="AN544" s="27"/>
      <c r="AO544" s="27"/>
      <c r="AP544" s="27"/>
      <c r="AQ544" s="27"/>
    </row>
    <row r="545" spans="1:43" ht="14.25" customHeight="1">
      <c r="A545" s="27"/>
      <c r="B545" s="27"/>
      <c r="C545" s="50"/>
      <c r="D545" s="27"/>
      <c r="E545" s="27"/>
      <c r="F545" s="51"/>
      <c r="G545" s="51"/>
      <c r="H545" s="51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48"/>
      <c r="AJ545" s="27"/>
      <c r="AK545" s="27"/>
      <c r="AL545" s="27"/>
      <c r="AM545" s="27"/>
      <c r="AN545" s="27"/>
      <c r="AO545" s="27"/>
      <c r="AP545" s="27"/>
      <c r="AQ545" s="27"/>
    </row>
    <row r="546" spans="1:43" ht="14.25" customHeight="1">
      <c r="A546" s="27"/>
      <c r="B546" s="27"/>
      <c r="C546" s="50"/>
      <c r="D546" s="27"/>
      <c r="E546" s="27"/>
      <c r="F546" s="51"/>
      <c r="G546" s="51"/>
      <c r="H546" s="51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48"/>
      <c r="AJ546" s="27"/>
      <c r="AK546" s="27"/>
      <c r="AL546" s="27"/>
      <c r="AM546" s="27"/>
      <c r="AN546" s="27"/>
      <c r="AO546" s="27"/>
      <c r="AP546" s="27"/>
      <c r="AQ546" s="27"/>
    </row>
    <row r="547" spans="1:43" ht="14.25" customHeight="1">
      <c r="A547" s="27"/>
      <c r="B547" s="27"/>
      <c r="C547" s="50"/>
      <c r="D547" s="27"/>
      <c r="E547" s="27"/>
      <c r="F547" s="51"/>
      <c r="G547" s="51"/>
      <c r="H547" s="51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48"/>
      <c r="AJ547" s="27"/>
      <c r="AK547" s="27"/>
      <c r="AL547" s="27"/>
      <c r="AM547" s="27"/>
      <c r="AN547" s="27"/>
      <c r="AO547" s="27"/>
      <c r="AP547" s="27"/>
      <c r="AQ547" s="27"/>
    </row>
    <row r="548" spans="1:43" ht="14.25" customHeight="1">
      <c r="A548" s="27"/>
      <c r="B548" s="27"/>
      <c r="C548" s="50"/>
      <c r="D548" s="27"/>
      <c r="E548" s="27"/>
      <c r="F548" s="51"/>
      <c r="G548" s="51"/>
      <c r="H548" s="51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48"/>
      <c r="AJ548" s="27"/>
      <c r="AK548" s="27"/>
      <c r="AL548" s="27"/>
      <c r="AM548" s="27"/>
      <c r="AN548" s="27"/>
      <c r="AO548" s="27"/>
      <c r="AP548" s="27"/>
      <c r="AQ548" s="27"/>
    </row>
    <row r="549" spans="1:43" ht="14.25" customHeight="1">
      <c r="A549" s="27"/>
      <c r="B549" s="27"/>
      <c r="C549" s="50"/>
      <c r="D549" s="27"/>
      <c r="E549" s="27"/>
      <c r="F549" s="51"/>
      <c r="G549" s="51"/>
      <c r="H549" s="51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48"/>
      <c r="AJ549" s="27"/>
      <c r="AK549" s="27"/>
      <c r="AL549" s="27"/>
      <c r="AM549" s="27"/>
      <c r="AN549" s="27"/>
      <c r="AO549" s="27"/>
      <c r="AP549" s="27"/>
      <c r="AQ549" s="27"/>
    </row>
    <row r="550" spans="1:43" ht="14.25" customHeight="1">
      <c r="A550" s="27"/>
      <c r="B550" s="27"/>
      <c r="C550" s="50"/>
      <c r="D550" s="27"/>
      <c r="E550" s="27"/>
      <c r="F550" s="51"/>
      <c r="G550" s="51"/>
      <c r="H550" s="51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48"/>
      <c r="AJ550" s="27"/>
      <c r="AK550" s="27"/>
      <c r="AL550" s="27"/>
      <c r="AM550" s="27"/>
      <c r="AN550" s="27"/>
      <c r="AO550" s="27"/>
      <c r="AP550" s="27"/>
      <c r="AQ550" s="27"/>
    </row>
    <row r="551" spans="1:43" ht="14.25" customHeight="1">
      <c r="A551" s="27"/>
      <c r="B551" s="27"/>
      <c r="C551" s="50"/>
      <c r="D551" s="27"/>
      <c r="E551" s="27"/>
      <c r="F551" s="51"/>
      <c r="G551" s="51"/>
      <c r="H551" s="51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48"/>
      <c r="AJ551" s="27"/>
      <c r="AK551" s="27"/>
      <c r="AL551" s="27"/>
      <c r="AM551" s="27"/>
      <c r="AN551" s="27"/>
      <c r="AO551" s="27"/>
      <c r="AP551" s="27"/>
      <c r="AQ551" s="27"/>
    </row>
    <row r="552" spans="1:43" ht="14.25" customHeight="1">
      <c r="A552" s="27"/>
      <c r="B552" s="27"/>
      <c r="C552" s="50"/>
      <c r="D552" s="27"/>
      <c r="E552" s="27"/>
      <c r="F552" s="51"/>
      <c r="G552" s="51"/>
      <c r="H552" s="51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48"/>
      <c r="AJ552" s="27"/>
      <c r="AK552" s="27"/>
      <c r="AL552" s="27"/>
      <c r="AM552" s="27"/>
      <c r="AN552" s="27"/>
      <c r="AO552" s="27"/>
      <c r="AP552" s="27"/>
      <c r="AQ552" s="27"/>
    </row>
    <row r="553" spans="1:43" ht="14.25" customHeight="1">
      <c r="A553" s="27"/>
      <c r="B553" s="27"/>
      <c r="C553" s="50"/>
      <c r="D553" s="27"/>
      <c r="E553" s="27"/>
      <c r="F553" s="51"/>
      <c r="G553" s="51"/>
      <c r="H553" s="51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48"/>
      <c r="AJ553" s="27"/>
      <c r="AK553" s="27"/>
      <c r="AL553" s="27"/>
      <c r="AM553" s="27"/>
      <c r="AN553" s="27"/>
      <c r="AO553" s="27"/>
      <c r="AP553" s="27"/>
      <c r="AQ553" s="27"/>
    </row>
    <row r="554" spans="1:43" ht="14.25" customHeight="1">
      <c r="A554" s="27"/>
      <c r="B554" s="27"/>
      <c r="C554" s="50"/>
      <c r="D554" s="27"/>
      <c r="E554" s="27"/>
      <c r="F554" s="51"/>
      <c r="G554" s="51"/>
      <c r="H554" s="51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48"/>
      <c r="AJ554" s="27"/>
      <c r="AK554" s="27"/>
      <c r="AL554" s="27"/>
      <c r="AM554" s="27"/>
      <c r="AN554" s="27"/>
      <c r="AO554" s="27"/>
      <c r="AP554" s="27"/>
      <c r="AQ554" s="27"/>
    </row>
    <row r="555" spans="1:43" ht="14.25" customHeight="1">
      <c r="A555" s="27"/>
      <c r="B555" s="27"/>
      <c r="C555" s="50"/>
      <c r="D555" s="27"/>
      <c r="E555" s="27"/>
      <c r="F555" s="51"/>
      <c r="G555" s="51"/>
      <c r="H555" s="51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48"/>
      <c r="AJ555" s="27"/>
      <c r="AK555" s="27"/>
      <c r="AL555" s="27"/>
      <c r="AM555" s="27"/>
      <c r="AN555" s="27"/>
      <c r="AO555" s="27"/>
      <c r="AP555" s="27"/>
      <c r="AQ555" s="27"/>
    </row>
    <row r="556" spans="1:43" ht="14.25" customHeight="1">
      <c r="A556" s="27"/>
      <c r="B556" s="27"/>
      <c r="C556" s="50"/>
      <c r="D556" s="27"/>
      <c r="E556" s="27"/>
      <c r="F556" s="51"/>
      <c r="G556" s="51"/>
      <c r="H556" s="51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48"/>
      <c r="AJ556" s="27"/>
      <c r="AK556" s="27"/>
      <c r="AL556" s="27"/>
      <c r="AM556" s="27"/>
      <c r="AN556" s="27"/>
      <c r="AO556" s="27"/>
      <c r="AP556" s="27"/>
      <c r="AQ556" s="27"/>
    </row>
    <row r="557" spans="1:43" ht="14.25" customHeight="1">
      <c r="A557" s="27"/>
      <c r="B557" s="27"/>
      <c r="C557" s="50"/>
      <c r="D557" s="27"/>
      <c r="E557" s="27"/>
      <c r="F557" s="51"/>
      <c r="G557" s="51"/>
      <c r="H557" s="51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48"/>
      <c r="AJ557" s="27"/>
      <c r="AK557" s="27"/>
      <c r="AL557" s="27"/>
      <c r="AM557" s="27"/>
      <c r="AN557" s="27"/>
      <c r="AO557" s="27"/>
      <c r="AP557" s="27"/>
      <c r="AQ557" s="27"/>
    </row>
    <row r="558" spans="1:43" ht="14.25" customHeight="1">
      <c r="A558" s="27"/>
      <c r="B558" s="27"/>
      <c r="C558" s="50"/>
      <c r="D558" s="27"/>
      <c r="E558" s="27"/>
      <c r="F558" s="51"/>
      <c r="G558" s="51"/>
      <c r="H558" s="51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48"/>
      <c r="AJ558" s="27"/>
      <c r="AK558" s="27"/>
      <c r="AL558" s="27"/>
      <c r="AM558" s="27"/>
      <c r="AN558" s="27"/>
      <c r="AO558" s="27"/>
      <c r="AP558" s="27"/>
      <c r="AQ558" s="27"/>
    </row>
    <row r="559" spans="1:43" ht="14.25" customHeight="1">
      <c r="A559" s="27"/>
      <c r="B559" s="27"/>
      <c r="C559" s="50"/>
      <c r="D559" s="27"/>
      <c r="E559" s="27"/>
      <c r="F559" s="51"/>
      <c r="G559" s="51"/>
      <c r="H559" s="51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48"/>
      <c r="AJ559" s="27"/>
      <c r="AK559" s="27"/>
      <c r="AL559" s="27"/>
      <c r="AM559" s="27"/>
      <c r="AN559" s="27"/>
      <c r="AO559" s="27"/>
      <c r="AP559" s="27"/>
      <c r="AQ559" s="27"/>
    </row>
    <row r="560" spans="1:43" ht="14.25" customHeight="1">
      <c r="A560" s="27"/>
      <c r="B560" s="27"/>
      <c r="C560" s="50"/>
      <c r="D560" s="27"/>
      <c r="E560" s="27"/>
      <c r="F560" s="51"/>
      <c r="G560" s="51"/>
      <c r="H560" s="51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48"/>
      <c r="AJ560" s="27"/>
      <c r="AK560" s="27"/>
      <c r="AL560" s="27"/>
      <c r="AM560" s="27"/>
      <c r="AN560" s="27"/>
      <c r="AO560" s="27"/>
      <c r="AP560" s="27"/>
      <c r="AQ560" s="27"/>
    </row>
    <row r="561" spans="1:43" ht="14.25" customHeight="1">
      <c r="A561" s="27"/>
      <c r="B561" s="27"/>
      <c r="C561" s="50"/>
      <c r="D561" s="27"/>
      <c r="E561" s="27"/>
      <c r="F561" s="51"/>
      <c r="G561" s="51"/>
      <c r="H561" s="51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48"/>
      <c r="AJ561" s="27"/>
      <c r="AK561" s="27"/>
      <c r="AL561" s="27"/>
      <c r="AM561" s="27"/>
      <c r="AN561" s="27"/>
      <c r="AO561" s="27"/>
      <c r="AP561" s="27"/>
      <c r="AQ561" s="27"/>
    </row>
    <row r="562" spans="1:43" ht="14.25" customHeight="1">
      <c r="A562" s="27"/>
      <c r="B562" s="27"/>
      <c r="C562" s="50"/>
      <c r="D562" s="27"/>
      <c r="E562" s="27"/>
      <c r="F562" s="51"/>
      <c r="G562" s="51"/>
      <c r="H562" s="51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48"/>
      <c r="AJ562" s="27"/>
      <c r="AK562" s="27"/>
      <c r="AL562" s="27"/>
      <c r="AM562" s="27"/>
      <c r="AN562" s="27"/>
      <c r="AO562" s="27"/>
      <c r="AP562" s="27"/>
      <c r="AQ562" s="27"/>
    </row>
    <row r="563" spans="1:43" ht="14.25" customHeight="1">
      <c r="A563" s="27"/>
      <c r="B563" s="27"/>
      <c r="C563" s="50"/>
      <c r="D563" s="27"/>
      <c r="E563" s="27"/>
      <c r="F563" s="51"/>
      <c r="G563" s="51"/>
      <c r="H563" s="51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48"/>
      <c r="AJ563" s="27"/>
      <c r="AK563" s="27"/>
      <c r="AL563" s="27"/>
      <c r="AM563" s="27"/>
      <c r="AN563" s="27"/>
      <c r="AO563" s="27"/>
      <c r="AP563" s="27"/>
      <c r="AQ563" s="27"/>
    </row>
    <row r="564" spans="1:43" ht="14.25" customHeight="1">
      <c r="A564" s="27"/>
      <c r="B564" s="27"/>
      <c r="C564" s="50"/>
      <c r="D564" s="27"/>
      <c r="E564" s="27"/>
      <c r="F564" s="51"/>
      <c r="G564" s="51"/>
      <c r="H564" s="51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48"/>
      <c r="AJ564" s="27"/>
      <c r="AK564" s="27"/>
      <c r="AL564" s="27"/>
      <c r="AM564" s="27"/>
      <c r="AN564" s="27"/>
      <c r="AO564" s="27"/>
      <c r="AP564" s="27"/>
      <c r="AQ564" s="27"/>
    </row>
    <row r="565" spans="1:43" ht="14.25" customHeight="1">
      <c r="A565" s="27"/>
      <c r="B565" s="27"/>
      <c r="C565" s="50"/>
      <c r="D565" s="27"/>
      <c r="E565" s="27"/>
      <c r="F565" s="51"/>
      <c r="G565" s="51"/>
      <c r="H565" s="51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48"/>
      <c r="AJ565" s="27"/>
      <c r="AK565" s="27"/>
      <c r="AL565" s="27"/>
      <c r="AM565" s="27"/>
      <c r="AN565" s="27"/>
      <c r="AO565" s="27"/>
      <c r="AP565" s="27"/>
      <c r="AQ565" s="27"/>
    </row>
    <row r="566" spans="1:43" ht="14.25" customHeight="1">
      <c r="A566" s="27"/>
      <c r="B566" s="27"/>
      <c r="C566" s="50"/>
      <c r="D566" s="27"/>
      <c r="E566" s="27"/>
      <c r="F566" s="51"/>
      <c r="G566" s="51"/>
      <c r="H566" s="51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48"/>
      <c r="AJ566" s="27"/>
      <c r="AK566" s="27"/>
      <c r="AL566" s="27"/>
      <c r="AM566" s="27"/>
      <c r="AN566" s="27"/>
      <c r="AO566" s="27"/>
      <c r="AP566" s="27"/>
      <c r="AQ566" s="27"/>
    </row>
    <row r="567" spans="1:43" ht="14.25" customHeight="1">
      <c r="A567" s="27"/>
      <c r="B567" s="27"/>
      <c r="C567" s="50"/>
      <c r="D567" s="27"/>
      <c r="E567" s="27"/>
      <c r="F567" s="51"/>
      <c r="G567" s="51"/>
      <c r="H567" s="51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48"/>
      <c r="AJ567" s="27"/>
      <c r="AK567" s="27"/>
      <c r="AL567" s="27"/>
      <c r="AM567" s="27"/>
      <c r="AN567" s="27"/>
      <c r="AO567" s="27"/>
      <c r="AP567" s="27"/>
      <c r="AQ567" s="27"/>
    </row>
    <row r="568" spans="1:43" ht="14.25" customHeight="1">
      <c r="A568" s="27"/>
      <c r="B568" s="27"/>
      <c r="C568" s="50"/>
      <c r="D568" s="27"/>
      <c r="E568" s="27"/>
      <c r="F568" s="51"/>
      <c r="G568" s="51"/>
      <c r="H568" s="51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48"/>
      <c r="AJ568" s="27"/>
      <c r="AK568" s="27"/>
      <c r="AL568" s="27"/>
      <c r="AM568" s="27"/>
      <c r="AN568" s="27"/>
      <c r="AO568" s="27"/>
      <c r="AP568" s="27"/>
      <c r="AQ568" s="27"/>
    </row>
    <row r="569" spans="1:43" ht="14.25" customHeight="1">
      <c r="A569" s="27"/>
      <c r="B569" s="27"/>
      <c r="C569" s="50"/>
      <c r="D569" s="27"/>
      <c r="E569" s="27"/>
      <c r="F569" s="51"/>
      <c r="G569" s="51"/>
      <c r="H569" s="51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48"/>
      <c r="AJ569" s="27"/>
      <c r="AK569" s="27"/>
      <c r="AL569" s="27"/>
      <c r="AM569" s="27"/>
      <c r="AN569" s="27"/>
      <c r="AO569" s="27"/>
      <c r="AP569" s="27"/>
      <c r="AQ569" s="27"/>
    </row>
    <row r="570" spans="1:43" ht="14.25" customHeight="1">
      <c r="A570" s="27"/>
      <c r="B570" s="27"/>
      <c r="C570" s="50"/>
      <c r="D570" s="27"/>
      <c r="E570" s="27"/>
      <c r="F570" s="51"/>
      <c r="G570" s="51"/>
      <c r="H570" s="51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48"/>
      <c r="AJ570" s="27"/>
      <c r="AK570" s="27"/>
      <c r="AL570" s="27"/>
      <c r="AM570" s="27"/>
      <c r="AN570" s="27"/>
      <c r="AO570" s="27"/>
      <c r="AP570" s="27"/>
      <c r="AQ570" s="27"/>
    </row>
    <row r="571" spans="1:43" ht="14.25" customHeight="1">
      <c r="A571" s="27"/>
      <c r="B571" s="27"/>
      <c r="C571" s="50"/>
      <c r="D571" s="27"/>
      <c r="E571" s="27"/>
      <c r="F571" s="51"/>
      <c r="G571" s="51"/>
      <c r="H571" s="51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48"/>
      <c r="AJ571" s="27"/>
      <c r="AK571" s="27"/>
      <c r="AL571" s="27"/>
      <c r="AM571" s="27"/>
      <c r="AN571" s="27"/>
      <c r="AO571" s="27"/>
      <c r="AP571" s="27"/>
      <c r="AQ571" s="27"/>
    </row>
    <row r="572" spans="1:43" ht="14.25" customHeight="1">
      <c r="A572" s="27"/>
      <c r="B572" s="27"/>
      <c r="C572" s="50"/>
      <c r="D572" s="27"/>
      <c r="E572" s="27"/>
      <c r="F572" s="51"/>
      <c r="G572" s="51"/>
      <c r="H572" s="51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48"/>
      <c r="AJ572" s="27"/>
      <c r="AK572" s="27"/>
      <c r="AL572" s="27"/>
      <c r="AM572" s="27"/>
      <c r="AN572" s="27"/>
      <c r="AO572" s="27"/>
      <c r="AP572" s="27"/>
      <c r="AQ572" s="27"/>
    </row>
    <row r="573" spans="1:43" ht="14.25" customHeight="1">
      <c r="A573" s="27"/>
      <c r="B573" s="27"/>
      <c r="C573" s="50"/>
      <c r="D573" s="27"/>
      <c r="E573" s="27"/>
      <c r="F573" s="51"/>
      <c r="G573" s="51"/>
      <c r="H573" s="51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48"/>
      <c r="AJ573" s="27"/>
      <c r="AK573" s="27"/>
      <c r="AL573" s="27"/>
      <c r="AM573" s="27"/>
      <c r="AN573" s="27"/>
      <c r="AO573" s="27"/>
      <c r="AP573" s="27"/>
      <c r="AQ573" s="27"/>
    </row>
    <row r="574" spans="1:43" ht="14.25" customHeight="1">
      <c r="A574" s="27"/>
      <c r="B574" s="27"/>
      <c r="C574" s="50"/>
      <c r="D574" s="27"/>
      <c r="E574" s="27"/>
      <c r="F574" s="51"/>
      <c r="G574" s="51"/>
      <c r="H574" s="51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48"/>
      <c r="AJ574" s="27"/>
      <c r="AK574" s="27"/>
      <c r="AL574" s="27"/>
      <c r="AM574" s="27"/>
      <c r="AN574" s="27"/>
      <c r="AO574" s="27"/>
      <c r="AP574" s="27"/>
      <c r="AQ574" s="27"/>
    </row>
    <row r="575" spans="1:43" ht="14.25" customHeight="1">
      <c r="A575" s="27"/>
      <c r="B575" s="27"/>
      <c r="C575" s="50"/>
      <c r="D575" s="27"/>
      <c r="E575" s="27"/>
      <c r="F575" s="51"/>
      <c r="G575" s="51"/>
      <c r="H575" s="51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48"/>
      <c r="AJ575" s="27"/>
      <c r="AK575" s="27"/>
      <c r="AL575" s="27"/>
      <c r="AM575" s="27"/>
      <c r="AN575" s="27"/>
      <c r="AO575" s="27"/>
      <c r="AP575" s="27"/>
      <c r="AQ575" s="27"/>
    </row>
    <row r="576" spans="1:43" ht="14.25" customHeight="1">
      <c r="A576" s="27"/>
      <c r="B576" s="27"/>
      <c r="C576" s="50"/>
      <c r="D576" s="27"/>
      <c r="E576" s="27"/>
      <c r="F576" s="51"/>
      <c r="G576" s="51"/>
      <c r="H576" s="51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48"/>
      <c r="AJ576" s="27"/>
      <c r="AK576" s="27"/>
      <c r="AL576" s="27"/>
      <c r="AM576" s="27"/>
      <c r="AN576" s="27"/>
      <c r="AO576" s="27"/>
      <c r="AP576" s="27"/>
      <c r="AQ576" s="27"/>
    </row>
    <row r="577" spans="1:43" ht="14.25" customHeight="1">
      <c r="A577" s="27"/>
      <c r="B577" s="27"/>
      <c r="C577" s="50"/>
      <c r="D577" s="27"/>
      <c r="E577" s="27"/>
      <c r="F577" s="51"/>
      <c r="G577" s="51"/>
      <c r="H577" s="51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48"/>
      <c r="AJ577" s="27"/>
      <c r="AK577" s="27"/>
      <c r="AL577" s="27"/>
      <c r="AM577" s="27"/>
      <c r="AN577" s="27"/>
      <c r="AO577" s="27"/>
      <c r="AP577" s="27"/>
      <c r="AQ577" s="27"/>
    </row>
    <row r="578" spans="1:43" ht="14.25" customHeight="1">
      <c r="A578" s="27"/>
      <c r="B578" s="27"/>
      <c r="C578" s="50"/>
      <c r="D578" s="27"/>
      <c r="E578" s="27"/>
      <c r="F578" s="51"/>
      <c r="G578" s="51"/>
      <c r="H578" s="51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48"/>
      <c r="AJ578" s="27"/>
      <c r="AK578" s="27"/>
      <c r="AL578" s="27"/>
      <c r="AM578" s="27"/>
      <c r="AN578" s="27"/>
      <c r="AO578" s="27"/>
      <c r="AP578" s="27"/>
      <c r="AQ578" s="27"/>
    </row>
    <row r="579" spans="1:43" ht="14.25" customHeight="1">
      <c r="A579" s="27"/>
      <c r="B579" s="27"/>
      <c r="C579" s="50"/>
      <c r="D579" s="27"/>
      <c r="E579" s="27"/>
      <c r="F579" s="51"/>
      <c r="G579" s="51"/>
      <c r="H579" s="51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48"/>
      <c r="AJ579" s="27"/>
      <c r="AK579" s="27"/>
      <c r="AL579" s="27"/>
      <c r="AM579" s="27"/>
      <c r="AN579" s="27"/>
      <c r="AO579" s="27"/>
      <c r="AP579" s="27"/>
      <c r="AQ579" s="27"/>
    </row>
    <row r="580" spans="1:43" ht="14.25" customHeight="1">
      <c r="A580" s="27"/>
      <c r="B580" s="27"/>
      <c r="C580" s="50"/>
      <c r="D580" s="27"/>
      <c r="E580" s="27"/>
      <c r="F580" s="51"/>
      <c r="G580" s="51"/>
      <c r="H580" s="51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48"/>
      <c r="AJ580" s="27"/>
      <c r="AK580" s="27"/>
      <c r="AL580" s="27"/>
      <c r="AM580" s="27"/>
      <c r="AN580" s="27"/>
      <c r="AO580" s="27"/>
      <c r="AP580" s="27"/>
      <c r="AQ580" s="27"/>
    </row>
    <row r="581" spans="1:43" ht="14.25" customHeight="1">
      <c r="A581" s="27"/>
      <c r="B581" s="27"/>
      <c r="C581" s="50"/>
      <c r="D581" s="27"/>
      <c r="E581" s="27"/>
      <c r="F581" s="51"/>
      <c r="G581" s="51"/>
      <c r="H581" s="51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48"/>
      <c r="AJ581" s="27"/>
      <c r="AK581" s="27"/>
      <c r="AL581" s="27"/>
      <c r="AM581" s="27"/>
      <c r="AN581" s="27"/>
      <c r="AO581" s="27"/>
      <c r="AP581" s="27"/>
      <c r="AQ581" s="27"/>
    </row>
    <row r="582" spans="1:43" ht="14.25" customHeight="1">
      <c r="A582" s="27"/>
      <c r="B582" s="27"/>
      <c r="C582" s="50"/>
      <c r="D582" s="27"/>
      <c r="E582" s="27"/>
      <c r="F582" s="51"/>
      <c r="G582" s="51"/>
      <c r="H582" s="51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48"/>
      <c r="AJ582" s="27"/>
      <c r="AK582" s="27"/>
      <c r="AL582" s="27"/>
      <c r="AM582" s="27"/>
      <c r="AN582" s="27"/>
      <c r="AO582" s="27"/>
      <c r="AP582" s="27"/>
      <c r="AQ582" s="27"/>
    </row>
    <row r="583" spans="1:43" ht="14.25" customHeight="1">
      <c r="A583" s="27"/>
      <c r="B583" s="27"/>
      <c r="C583" s="50"/>
      <c r="D583" s="27"/>
      <c r="E583" s="27"/>
      <c r="F583" s="51"/>
      <c r="G583" s="51"/>
      <c r="H583" s="51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48"/>
      <c r="AJ583" s="27"/>
      <c r="AK583" s="27"/>
      <c r="AL583" s="27"/>
      <c r="AM583" s="27"/>
      <c r="AN583" s="27"/>
      <c r="AO583" s="27"/>
      <c r="AP583" s="27"/>
      <c r="AQ583" s="27"/>
    </row>
    <row r="584" spans="1:43" ht="14.25" customHeight="1">
      <c r="A584" s="27"/>
      <c r="B584" s="27"/>
      <c r="C584" s="50"/>
      <c r="D584" s="27"/>
      <c r="E584" s="27"/>
      <c r="F584" s="51"/>
      <c r="G584" s="51"/>
      <c r="H584" s="51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48"/>
      <c r="AJ584" s="27"/>
      <c r="AK584" s="27"/>
      <c r="AL584" s="27"/>
      <c r="AM584" s="27"/>
      <c r="AN584" s="27"/>
      <c r="AO584" s="27"/>
      <c r="AP584" s="27"/>
      <c r="AQ584" s="27"/>
    </row>
    <row r="585" spans="1:43" ht="14.25" customHeight="1">
      <c r="A585" s="27"/>
      <c r="B585" s="27"/>
      <c r="C585" s="50"/>
      <c r="D585" s="27"/>
      <c r="E585" s="27"/>
      <c r="F585" s="51"/>
      <c r="G585" s="51"/>
      <c r="H585" s="51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48"/>
      <c r="AJ585" s="27"/>
      <c r="AK585" s="27"/>
      <c r="AL585" s="27"/>
      <c r="AM585" s="27"/>
      <c r="AN585" s="27"/>
      <c r="AO585" s="27"/>
      <c r="AP585" s="27"/>
      <c r="AQ585" s="27"/>
    </row>
    <row r="586" spans="1:43" ht="14.25" customHeight="1">
      <c r="A586" s="27"/>
      <c r="B586" s="27"/>
      <c r="C586" s="50"/>
      <c r="D586" s="27"/>
      <c r="E586" s="27"/>
      <c r="F586" s="51"/>
      <c r="G586" s="51"/>
      <c r="H586" s="51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48"/>
      <c r="AJ586" s="27"/>
      <c r="AK586" s="27"/>
      <c r="AL586" s="27"/>
      <c r="AM586" s="27"/>
      <c r="AN586" s="27"/>
      <c r="AO586" s="27"/>
      <c r="AP586" s="27"/>
      <c r="AQ586" s="27"/>
    </row>
    <row r="587" spans="1:43" ht="14.25" customHeight="1">
      <c r="A587" s="27"/>
      <c r="B587" s="27"/>
      <c r="C587" s="50"/>
      <c r="D587" s="27"/>
      <c r="E587" s="27"/>
      <c r="F587" s="51"/>
      <c r="G587" s="51"/>
      <c r="H587" s="51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48"/>
      <c r="AJ587" s="27"/>
      <c r="AK587" s="27"/>
      <c r="AL587" s="27"/>
      <c r="AM587" s="27"/>
      <c r="AN587" s="27"/>
      <c r="AO587" s="27"/>
      <c r="AP587" s="27"/>
      <c r="AQ587" s="27"/>
    </row>
    <row r="588" spans="1:43" ht="14.25" customHeight="1">
      <c r="A588" s="27"/>
      <c r="B588" s="27"/>
      <c r="C588" s="50"/>
      <c r="D588" s="27"/>
      <c r="E588" s="27"/>
      <c r="F588" s="51"/>
      <c r="G588" s="51"/>
      <c r="H588" s="51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48"/>
      <c r="AJ588" s="27"/>
      <c r="AK588" s="27"/>
      <c r="AL588" s="27"/>
      <c r="AM588" s="27"/>
      <c r="AN588" s="27"/>
      <c r="AO588" s="27"/>
      <c r="AP588" s="27"/>
      <c r="AQ588" s="27"/>
    </row>
    <row r="589" spans="1:43" ht="14.25" customHeight="1">
      <c r="A589" s="27"/>
      <c r="B589" s="27"/>
      <c r="C589" s="50"/>
      <c r="D589" s="27"/>
      <c r="E589" s="27"/>
      <c r="F589" s="51"/>
      <c r="G589" s="51"/>
      <c r="H589" s="51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48"/>
      <c r="AJ589" s="27"/>
      <c r="AK589" s="27"/>
      <c r="AL589" s="27"/>
      <c r="AM589" s="27"/>
      <c r="AN589" s="27"/>
      <c r="AO589" s="27"/>
      <c r="AP589" s="27"/>
      <c r="AQ589" s="27"/>
    </row>
    <row r="590" spans="1:43" ht="14.25" customHeight="1">
      <c r="A590" s="27"/>
      <c r="B590" s="27"/>
      <c r="C590" s="50"/>
      <c r="D590" s="27"/>
      <c r="E590" s="27"/>
      <c r="F590" s="51"/>
      <c r="G590" s="51"/>
      <c r="H590" s="51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48"/>
      <c r="AJ590" s="27"/>
      <c r="AK590" s="27"/>
      <c r="AL590" s="27"/>
      <c r="AM590" s="27"/>
      <c r="AN590" s="27"/>
      <c r="AO590" s="27"/>
      <c r="AP590" s="27"/>
      <c r="AQ590" s="27"/>
    </row>
    <row r="591" spans="1:43" ht="14.25" customHeight="1">
      <c r="A591" s="27"/>
      <c r="B591" s="27"/>
      <c r="C591" s="50"/>
      <c r="D591" s="27"/>
      <c r="E591" s="27"/>
      <c r="F591" s="51"/>
      <c r="G591" s="51"/>
      <c r="H591" s="51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48"/>
      <c r="AJ591" s="27"/>
      <c r="AK591" s="27"/>
      <c r="AL591" s="27"/>
      <c r="AM591" s="27"/>
      <c r="AN591" s="27"/>
      <c r="AO591" s="27"/>
      <c r="AP591" s="27"/>
      <c r="AQ591" s="27"/>
    </row>
    <row r="592" spans="1:43" ht="14.25" customHeight="1">
      <c r="A592" s="27"/>
      <c r="B592" s="27"/>
      <c r="C592" s="50"/>
      <c r="D592" s="27"/>
      <c r="E592" s="27"/>
      <c r="F592" s="51"/>
      <c r="G592" s="51"/>
      <c r="H592" s="51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48"/>
      <c r="AJ592" s="27"/>
      <c r="AK592" s="27"/>
      <c r="AL592" s="27"/>
      <c r="AM592" s="27"/>
      <c r="AN592" s="27"/>
      <c r="AO592" s="27"/>
      <c r="AP592" s="27"/>
      <c r="AQ592" s="27"/>
    </row>
    <row r="593" spans="1:43" ht="14.25" customHeight="1">
      <c r="A593" s="27"/>
      <c r="B593" s="27"/>
      <c r="C593" s="50"/>
      <c r="D593" s="27"/>
      <c r="E593" s="27"/>
      <c r="F593" s="51"/>
      <c r="G593" s="51"/>
      <c r="H593" s="51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48"/>
      <c r="AJ593" s="27"/>
      <c r="AK593" s="27"/>
      <c r="AL593" s="27"/>
      <c r="AM593" s="27"/>
      <c r="AN593" s="27"/>
      <c r="AO593" s="27"/>
      <c r="AP593" s="27"/>
      <c r="AQ593" s="27"/>
    </row>
    <row r="594" spans="1:43" ht="14.25" customHeight="1">
      <c r="A594" s="27"/>
      <c r="B594" s="27"/>
      <c r="C594" s="50"/>
      <c r="D594" s="27"/>
      <c r="E594" s="27"/>
      <c r="F594" s="51"/>
      <c r="G594" s="51"/>
      <c r="H594" s="51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48"/>
      <c r="AJ594" s="27"/>
      <c r="AK594" s="27"/>
      <c r="AL594" s="27"/>
      <c r="AM594" s="27"/>
      <c r="AN594" s="27"/>
      <c r="AO594" s="27"/>
      <c r="AP594" s="27"/>
      <c r="AQ594" s="27"/>
    </row>
    <row r="595" spans="1:43" ht="14.25" customHeight="1">
      <c r="A595" s="27"/>
      <c r="B595" s="27"/>
      <c r="C595" s="50"/>
      <c r="D595" s="27"/>
      <c r="E595" s="27"/>
      <c r="F595" s="51"/>
      <c r="G595" s="51"/>
      <c r="H595" s="51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48"/>
      <c r="AJ595" s="27"/>
      <c r="AK595" s="27"/>
      <c r="AL595" s="27"/>
      <c r="AM595" s="27"/>
      <c r="AN595" s="27"/>
      <c r="AO595" s="27"/>
      <c r="AP595" s="27"/>
      <c r="AQ595" s="27"/>
    </row>
    <row r="596" spans="1:43" ht="14.25" customHeight="1">
      <c r="A596" s="27"/>
      <c r="B596" s="27"/>
      <c r="C596" s="50"/>
      <c r="D596" s="27"/>
      <c r="E596" s="27"/>
      <c r="F596" s="51"/>
      <c r="G596" s="51"/>
      <c r="H596" s="51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48"/>
      <c r="AJ596" s="27"/>
      <c r="AK596" s="27"/>
      <c r="AL596" s="27"/>
      <c r="AM596" s="27"/>
      <c r="AN596" s="27"/>
      <c r="AO596" s="27"/>
      <c r="AP596" s="27"/>
      <c r="AQ596" s="27"/>
    </row>
    <row r="597" spans="1:43" ht="14.25" customHeight="1">
      <c r="A597" s="27"/>
      <c r="B597" s="27"/>
      <c r="C597" s="50"/>
      <c r="D597" s="27"/>
      <c r="E597" s="27"/>
      <c r="F597" s="51"/>
      <c r="G597" s="51"/>
      <c r="H597" s="51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48"/>
      <c r="AJ597" s="27"/>
      <c r="AK597" s="27"/>
      <c r="AL597" s="27"/>
      <c r="AM597" s="27"/>
      <c r="AN597" s="27"/>
      <c r="AO597" s="27"/>
      <c r="AP597" s="27"/>
      <c r="AQ597" s="27"/>
    </row>
    <row r="598" spans="1:43" ht="14.25" customHeight="1">
      <c r="A598" s="27"/>
      <c r="B598" s="27"/>
      <c r="C598" s="50"/>
      <c r="D598" s="27"/>
      <c r="E598" s="27"/>
      <c r="F598" s="51"/>
      <c r="G598" s="51"/>
      <c r="H598" s="51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48"/>
      <c r="AJ598" s="27"/>
      <c r="AK598" s="27"/>
      <c r="AL598" s="27"/>
      <c r="AM598" s="27"/>
      <c r="AN598" s="27"/>
      <c r="AO598" s="27"/>
      <c r="AP598" s="27"/>
      <c r="AQ598" s="27"/>
    </row>
    <row r="599" spans="1:43" ht="14.25" customHeight="1">
      <c r="A599" s="27"/>
      <c r="B599" s="27"/>
      <c r="C599" s="50"/>
      <c r="D599" s="27"/>
      <c r="E599" s="27"/>
      <c r="F599" s="51"/>
      <c r="G599" s="51"/>
      <c r="H599" s="51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48"/>
      <c r="AJ599" s="27"/>
      <c r="AK599" s="27"/>
      <c r="AL599" s="27"/>
      <c r="AM599" s="27"/>
      <c r="AN599" s="27"/>
      <c r="AO599" s="27"/>
      <c r="AP599" s="27"/>
      <c r="AQ599" s="27"/>
    </row>
    <row r="600" spans="1:43" ht="14.25" customHeight="1">
      <c r="A600" s="27"/>
      <c r="B600" s="27"/>
      <c r="C600" s="50"/>
      <c r="D600" s="27"/>
      <c r="E600" s="27"/>
      <c r="F600" s="51"/>
      <c r="G600" s="51"/>
      <c r="H600" s="51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48"/>
      <c r="AJ600" s="27"/>
      <c r="AK600" s="27"/>
      <c r="AL600" s="27"/>
      <c r="AM600" s="27"/>
      <c r="AN600" s="27"/>
      <c r="AO600" s="27"/>
      <c r="AP600" s="27"/>
      <c r="AQ600" s="27"/>
    </row>
    <row r="601" spans="1:43" ht="14.25" customHeight="1">
      <c r="A601" s="27"/>
      <c r="B601" s="27"/>
      <c r="C601" s="50"/>
      <c r="D601" s="27"/>
      <c r="E601" s="27"/>
      <c r="F601" s="51"/>
      <c r="G601" s="51"/>
      <c r="H601" s="51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48"/>
      <c r="AJ601" s="27"/>
      <c r="AK601" s="27"/>
      <c r="AL601" s="27"/>
      <c r="AM601" s="27"/>
      <c r="AN601" s="27"/>
      <c r="AO601" s="27"/>
      <c r="AP601" s="27"/>
      <c r="AQ601" s="27"/>
    </row>
    <row r="602" spans="1:43" ht="14.25" customHeight="1">
      <c r="A602" s="27"/>
      <c r="B602" s="27"/>
      <c r="C602" s="50"/>
      <c r="D602" s="27"/>
      <c r="E602" s="27"/>
      <c r="F602" s="51"/>
      <c r="G602" s="51"/>
      <c r="H602" s="51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48"/>
      <c r="AJ602" s="27"/>
      <c r="AK602" s="27"/>
      <c r="AL602" s="27"/>
      <c r="AM602" s="27"/>
      <c r="AN602" s="27"/>
      <c r="AO602" s="27"/>
      <c r="AP602" s="27"/>
      <c r="AQ602" s="27"/>
    </row>
    <row r="603" spans="1:43" ht="14.25" customHeight="1">
      <c r="A603" s="27"/>
      <c r="B603" s="27"/>
      <c r="C603" s="50"/>
      <c r="D603" s="27"/>
      <c r="E603" s="27"/>
      <c r="F603" s="51"/>
      <c r="G603" s="51"/>
      <c r="H603" s="51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48"/>
      <c r="AJ603" s="27"/>
      <c r="AK603" s="27"/>
      <c r="AL603" s="27"/>
      <c r="AM603" s="27"/>
      <c r="AN603" s="27"/>
      <c r="AO603" s="27"/>
      <c r="AP603" s="27"/>
      <c r="AQ603" s="27"/>
    </row>
    <row r="604" spans="1:43" ht="14.25" customHeight="1">
      <c r="A604" s="27"/>
      <c r="B604" s="27"/>
      <c r="C604" s="50"/>
      <c r="D604" s="27"/>
      <c r="E604" s="27"/>
      <c r="F604" s="51"/>
      <c r="G604" s="51"/>
      <c r="H604" s="51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48"/>
      <c r="AJ604" s="27"/>
      <c r="AK604" s="27"/>
      <c r="AL604" s="27"/>
      <c r="AM604" s="27"/>
      <c r="AN604" s="27"/>
      <c r="AO604" s="27"/>
      <c r="AP604" s="27"/>
      <c r="AQ604" s="27"/>
    </row>
    <row r="605" spans="1:43" ht="14.25" customHeight="1">
      <c r="A605" s="27"/>
      <c r="B605" s="27"/>
      <c r="C605" s="50"/>
      <c r="D605" s="27"/>
      <c r="E605" s="27"/>
      <c r="F605" s="51"/>
      <c r="G605" s="51"/>
      <c r="H605" s="51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48"/>
      <c r="AJ605" s="27"/>
      <c r="AK605" s="27"/>
      <c r="AL605" s="27"/>
      <c r="AM605" s="27"/>
      <c r="AN605" s="27"/>
      <c r="AO605" s="27"/>
      <c r="AP605" s="27"/>
      <c r="AQ605" s="27"/>
    </row>
    <row r="606" spans="1:43" ht="14.25" customHeight="1">
      <c r="A606" s="27"/>
      <c r="B606" s="27"/>
      <c r="C606" s="50"/>
      <c r="D606" s="27"/>
      <c r="E606" s="27"/>
      <c r="F606" s="51"/>
      <c r="G606" s="51"/>
      <c r="H606" s="51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48"/>
      <c r="AJ606" s="27"/>
      <c r="AK606" s="27"/>
      <c r="AL606" s="27"/>
      <c r="AM606" s="27"/>
      <c r="AN606" s="27"/>
      <c r="AO606" s="27"/>
      <c r="AP606" s="27"/>
      <c r="AQ606" s="27"/>
    </row>
    <row r="607" spans="1:43" ht="14.25" customHeight="1">
      <c r="A607" s="27"/>
      <c r="B607" s="27"/>
      <c r="C607" s="50"/>
      <c r="D607" s="27"/>
      <c r="E607" s="27"/>
      <c r="F607" s="51"/>
      <c r="G607" s="51"/>
      <c r="H607" s="51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48"/>
      <c r="AJ607" s="27"/>
      <c r="AK607" s="27"/>
      <c r="AL607" s="27"/>
      <c r="AM607" s="27"/>
      <c r="AN607" s="27"/>
      <c r="AO607" s="27"/>
      <c r="AP607" s="27"/>
      <c r="AQ607" s="27"/>
    </row>
    <row r="608" spans="1:43" ht="14.25" customHeight="1">
      <c r="A608" s="27"/>
      <c r="B608" s="27"/>
      <c r="C608" s="50"/>
      <c r="D608" s="27"/>
      <c r="E608" s="27"/>
      <c r="F608" s="51"/>
      <c r="G608" s="51"/>
      <c r="H608" s="51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48"/>
      <c r="AJ608" s="27"/>
      <c r="AK608" s="27"/>
      <c r="AL608" s="27"/>
      <c r="AM608" s="27"/>
      <c r="AN608" s="27"/>
      <c r="AO608" s="27"/>
      <c r="AP608" s="27"/>
      <c r="AQ608" s="27"/>
    </row>
    <row r="609" spans="1:43" ht="14.25" customHeight="1">
      <c r="A609" s="27"/>
      <c r="B609" s="27"/>
      <c r="C609" s="50"/>
      <c r="D609" s="27"/>
      <c r="E609" s="27"/>
      <c r="F609" s="51"/>
      <c r="G609" s="51"/>
      <c r="H609" s="51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48"/>
      <c r="AJ609" s="27"/>
      <c r="AK609" s="27"/>
      <c r="AL609" s="27"/>
      <c r="AM609" s="27"/>
      <c r="AN609" s="27"/>
      <c r="AO609" s="27"/>
      <c r="AP609" s="27"/>
      <c r="AQ609" s="27"/>
    </row>
    <row r="610" spans="1:43" ht="14.25" customHeight="1">
      <c r="A610" s="27"/>
      <c r="B610" s="27"/>
      <c r="C610" s="50"/>
      <c r="D610" s="27"/>
      <c r="E610" s="27"/>
      <c r="F610" s="51"/>
      <c r="G610" s="51"/>
      <c r="H610" s="51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48"/>
      <c r="AJ610" s="27"/>
      <c r="AK610" s="27"/>
      <c r="AL610" s="27"/>
      <c r="AM610" s="27"/>
      <c r="AN610" s="27"/>
      <c r="AO610" s="27"/>
      <c r="AP610" s="27"/>
      <c r="AQ610" s="27"/>
    </row>
    <row r="611" spans="1:43" ht="14.25" customHeight="1">
      <c r="A611" s="27"/>
      <c r="B611" s="27"/>
      <c r="C611" s="50"/>
      <c r="D611" s="27"/>
      <c r="E611" s="27"/>
      <c r="F611" s="51"/>
      <c r="G611" s="51"/>
      <c r="H611" s="51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48"/>
      <c r="AJ611" s="27"/>
      <c r="AK611" s="27"/>
      <c r="AL611" s="27"/>
      <c r="AM611" s="27"/>
      <c r="AN611" s="27"/>
      <c r="AO611" s="27"/>
      <c r="AP611" s="27"/>
      <c r="AQ611" s="27"/>
    </row>
    <row r="612" spans="1:43" ht="14.25" customHeight="1">
      <c r="A612" s="27"/>
      <c r="B612" s="27"/>
      <c r="C612" s="50"/>
      <c r="D612" s="27"/>
      <c r="E612" s="27"/>
      <c r="F612" s="51"/>
      <c r="G612" s="51"/>
      <c r="H612" s="51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48"/>
      <c r="AJ612" s="27"/>
      <c r="AK612" s="27"/>
      <c r="AL612" s="27"/>
      <c r="AM612" s="27"/>
      <c r="AN612" s="27"/>
      <c r="AO612" s="27"/>
      <c r="AP612" s="27"/>
      <c r="AQ612" s="27"/>
    </row>
    <row r="613" spans="1:43" ht="14.25" customHeight="1">
      <c r="A613" s="27"/>
      <c r="B613" s="27"/>
      <c r="C613" s="50"/>
      <c r="D613" s="27"/>
      <c r="E613" s="27"/>
      <c r="F613" s="51"/>
      <c r="G613" s="51"/>
      <c r="H613" s="51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48"/>
      <c r="AJ613" s="27"/>
      <c r="AK613" s="27"/>
      <c r="AL613" s="27"/>
      <c r="AM613" s="27"/>
      <c r="AN613" s="27"/>
      <c r="AO613" s="27"/>
      <c r="AP613" s="27"/>
      <c r="AQ613" s="27"/>
    </row>
    <row r="614" spans="1:43" ht="14.25" customHeight="1">
      <c r="A614" s="27"/>
      <c r="B614" s="27"/>
      <c r="C614" s="50"/>
      <c r="D614" s="27"/>
      <c r="E614" s="27"/>
      <c r="F614" s="51"/>
      <c r="G614" s="51"/>
      <c r="H614" s="51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48"/>
      <c r="AJ614" s="27"/>
      <c r="AK614" s="27"/>
      <c r="AL614" s="27"/>
      <c r="AM614" s="27"/>
      <c r="AN614" s="27"/>
      <c r="AO614" s="27"/>
      <c r="AP614" s="27"/>
      <c r="AQ614" s="27"/>
    </row>
    <row r="615" spans="1:43" ht="14.25" customHeight="1">
      <c r="A615" s="27"/>
      <c r="B615" s="27"/>
      <c r="C615" s="50"/>
      <c r="D615" s="27"/>
      <c r="E615" s="27"/>
      <c r="F615" s="51"/>
      <c r="G615" s="51"/>
      <c r="H615" s="51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48"/>
      <c r="AJ615" s="27"/>
      <c r="AK615" s="27"/>
      <c r="AL615" s="27"/>
      <c r="AM615" s="27"/>
      <c r="AN615" s="27"/>
      <c r="AO615" s="27"/>
      <c r="AP615" s="27"/>
      <c r="AQ615" s="27"/>
    </row>
    <row r="616" spans="1:43" ht="14.25" customHeight="1">
      <c r="A616" s="27"/>
      <c r="B616" s="27"/>
      <c r="C616" s="50"/>
      <c r="D616" s="27"/>
      <c r="E616" s="27"/>
      <c r="F616" s="51"/>
      <c r="G616" s="51"/>
      <c r="H616" s="51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48"/>
      <c r="AJ616" s="27"/>
      <c r="AK616" s="27"/>
      <c r="AL616" s="27"/>
      <c r="AM616" s="27"/>
      <c r="AN616" s="27"/>
      <c r="AO616" s="27"/>
      <c r="AP616" s="27"/>
      <c r="AQ616" s="27"/>
    </row>
    <row r="617" spans="1:43" ht="14.25" customHeight="1">
      <c r="A617" s="27"/>
      <c r="B617" s="27"/>
      <c r="C617" s="50"/>
      <c r="D617" s="27"/>
      <c r="E617" s="27"/>
      <c r="F617" s="51"/>
      <c r="G617" s="51"/>
      <c r="H617" s="51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48"/>
      <c r="AJ617" s="27"/>
      <c r="AK617" s="27"/>
      <c r="AL617" s="27"/>
      <c r="AM617" s="27"/>
      <c r="AN617" s="27"/>
      <c r="AO617" s="27"/>
      <c r="AP617" s="27"/>
      <c r="AQ617" s="27"/>
    </row>
    <row r="618" spans="1:43" ht="14.25" customHeight="1">
      <c r="A618" s="27"/>
      <c r="B618" s="27"/>
      <c r="C618" s="50"/>
      <c r="D618" s="27"/>
      <c r="E618" s="27"/>
      <c r="F618" s="51"/>
      <c r="G618" s="51"/>
      <c r="H618" s="51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48"/>
      <c r="AJ618" s="27"/>
      <c r="AK618" s="27"/>
      <c r="AL618" s="27"/>
      <c r="AM618" s="27"/>
      <c r="AN618" s="27"/>
      <c r="AO618" s="27"/>
      <c r="AP618" s="27"/>
      <c r="AQ618" s="27"/>
    </row>
    <row r="619" spans="1:43" ht="14.25" customHeight="1">
      <c r="A619" s="27"/>
      <c r="B619" s="27"/>
      <c r="C619" s="50"/>
      <c r="D619" s="27"/>
      <c r="E619" s="27"/>
      <c r="F619" s="51"/>
      <c r="G619" s="51"/>
      <c r="H619" s="51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48"/>
      <c r="AJ619" s="27"/>
      <c r="AK619" s="27"/>
      <c r="AL619" s="27"/>
      <c r="AM619" s="27"/>
      <c r="AN619" s="27"/>
      <c r="AO619" s="27"/>
      <c r="AP619" s="27"/>
      <c r="AQ619" s="27"/>
    </row>
    <row r="620" spans="1:43" ht="14.25" customHeight="1">
      <c r="A620" s="27"/>
      <c r="B620" s="27"/>
      <c r="C620" s="50"/>
      <c r="D620" s="27"/>
      <c r="E620" s="27"/>
      <c r="F620" s="51"/>
      <c r="G620" s="51"/>
      <c r="H620" s="51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48"/>
      <c r="AJ620" s="27"/>
      <c r="AK620" s="27"/>
      <c r="AL620" s="27"/>
      <c r="AM620" s="27"/>
      <c r="AN620" s="27"/>
      <c r="AO620" s="27"/>
      <c r="AP620" s="27"/>
      <c r="AQ620" s="27"/>
    </row>
    <row r="621" spans="1:43" ht="14.25" customHeight="1">
      <c r="A621" s="27"/>
      <c r="B621" s="27"/>
      <c r="C621" s="50"/>
      <c r="D621" s="27"/>
      <c r="E621" s="27"/>
      <c r="F621" s="51"/>
      <c r="G621" s="51"/>
      <c r="H621" s="51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48"/>
      <c r="AJ621" s="27"/>
      <c r="AK621" s="27"/>
      <c r="AL621" s="27"/>
      <c r="AM621" s="27"/>
      <c r="AN621" s="27"/>
      <c r="AO621" s="27"/>
      <c r="AP621" s="27"/>
      <c r="AQ621" s="27"/>
    </row>
    <row r="622" spans="1:43" ht="14.25" customHeight="1">
      <c r="A622" s="27"/>
      <c r="B622" s="27"/>
      <c r="C622" s="50"/>
      <c r="D622" s="27"/>
      <c r="E622" s="27"/>
      <c r="F622" s="51"/>
      <c r="G622" s="51"/>
      <c r="H622" s="51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48"/>
      <c r="AJ622" s="27"/>
      <c r="AK622" s="27"/>
      <c r="AL622" s="27"/>
      <c r="AM622" s="27"/>
      <c r="AN622" s="27"/>
      <c r="AO622" s="27"/>
      <c r="AP622" s="27"/>
      <c r="AQ622" s="27"/>
    </row>
    <row r="623" spans="1:43" ht="14.25" customHeight="1">
      <c r="A623" s="27"/>
      <c r="B623" s="27"/>
      <c r="C623" s="50"/>
      <c r="D623" s="27"/>
      <c r="E623" s="27"/>
      <c r="F623" s="51"/>
      <c r="G623" s="51"/>
      <c r="H623" s="51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48"/>
      <c r="AJ623" s="27"/>
      <c r="AK623" s="27"/>
      <c r="AL623" s="27"/>
      <c r="AM623" s="27"/>
      <c r="AN623" s="27"/>
      <c r="AO623" s="27"/>
      <c r="AP623" s="27"/>
      <c r="AQ623" s="27"/>
    </row>
    <row r="624" spans="1:43" ht="14.25" customHeight="1">
      <c r="A624" s="27"/>
      <c r="B624" s="27"/>
      <c r="C624" s="50"/>
      <c r="D624" s="27"/>
      <c r="E624" s="27"/>
      <c r="F624" s="51"/>
      <c r="G624" s="51"/>
      <c r="H624" s="51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48"/>
      <c r="AJ624" s="27"/>
      <c r="AK624" s="27"/>
      <c r="AL624" s="27"/>
      <c r="AM624" s="27"/>
      <c r="AN624" s="27"/>
      <c r="AO624" s="27"/>
      <c r="AP624" s="27"/>
      <c r="AQ624" s="27"/>
    </row>
    <row r="625" spans="1:43" ht="14.25" customHeight="1">
      <c r="A625" s="27"/>
      <c r="B625" s="27"/>
      <c r="C625" s="50"/>
      <c r="D625" s="27"/>
      <c r="E625" s="27"/>
      <c r="F625" s="51"/>
      <c r="G625" s="51"/>
      <c r="H625" s="51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48"/>
      <c r="AJ625" s="27"/>
      <c r="AK625" s="27"/>
      <c r="AL625" s="27"/>
      <c r="AM625" s="27"/>
      <c r="AN625" s="27"/>
      <c r="AO625" s="27"/>
      <c r="AP625" s="27"/>
      <c r="AQ625" s="27"/>
    </row>
    <row r="626" spans="1:43" ht="14.25" customHeight="1">
      <c r="A626" s="27"/>
      <c r="B626" s="27"/>
      <c r="C626" s="50"/>
      <c r="D626" s="27"/>
      <c r="E626" s="27"/>
      <c r="F626" s="51"/>
      <c r="G626" s="51"/>
      <c r="H626" s="51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48"/>
      <c r="AJ626" s="27"/>
      <c r="AK626" s="27"/>
      <c r="AL626" s="27"/>
      <c r="AM626" s="27"/>
      <c r="AN626" s="27"/>
      <c r="AO626" s="27"/>
      <c r="AP626" s="27"/>
      <c r="AQ626" s="27"/>
    </row>
    <row r="627" spans="1:43" ht="14.25" customHeight="1">
      <c r="A627" s="27"/>
      <c r="B627" s="27"/>
      <c r="C627" s="50"/>
      <c r="D627" s="27"/>
      <c r="E627" s="27"/>
      <c r="F627" s="51"/>
      <c r="G627" s="51"/>
      <c r="H627" s="51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48"/>
      <c r="AJ627" s="27"/>
      <c r="AK627" s="27"/>
      <c r="AL627" s="27"/>
      <c r="AM627" s="27"/>
      <c r="AN627" s="27"/>
      <c r="AO627" s="27"/>
      <c r="AP627" s="27"/>
      <c r="AQ627" s="27"/>
    </row>
    <row r="628" spans="1:43" ht="14.25" customHeight="1">
      <c r="A628" s="27"/>
      <c r="B628" s="27"/>
      <c r="C628" s="50"/>
      <c r="D628" s="27"/>
      <c r="E628" s="27"/>
      <c r="F628" s="51"/>
      <c r="G628" s="51"/>
      <c r="H628" s="51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48"/>
      <c r="AJ628" s="27"/>
      <c r="AK628" s="27"/>
      <c r="AL628" s="27"/>
      <c r="AM628" s="27"/>
      <c r="AN628" s="27"/>
      <c r="AO628" s="27"/>
      <c r="AP628" s="27"/>
      <c r="AQ628" s="27"/>
    </row>
    <row r="629" spans="1:43" ht="14.25" customHeight="1">
      <c r="A629" s="27"/>
      <c r="B629" s="27"/>
      <c r="C629" s="50"/>
      <c r="D629" s="27"/>
      <c r="E629" s="27"/>
      <c r="F629" s="51"/>
      <c r="G629" s="51"/>
      <c r="H629" s="51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48"/>
      <c r="AJ629" s="27"/>
      <c r="AK629" s="27"/>
      <c r="AL629" s="27"/>
      <c r="AM629" s="27"/>
      <c r="AN629" s="27"/>
      <c r="AO629" s="27"/>
      <c r="AP629" s="27"/>
      <c r="AQ629" s="27"/>
    </row>
    <row r="630" spans="1:43" ht="14.25" customHeight="1">
      <c r="A630" s="27"/>
      <c r="B630" s="27"/>
      <c r="C630" s="50"/>
      <c r="D630" s="27"/>
      <c r="E630" s="27"/>
      <c r="F630" s="51"/>
      <c r="G630" s="51"/>
      <c r="H630" s="51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48"/>
      <c r="AJ630" s="27"/>
      <c r="AK630" s="27"/>
      <c r="AL630" s="27"/>
      <c r="AM630" s="27"/>
      <c r="AN630" s="27"/>
      <c r="AO630" s="27"/>
      <c r="AP630" s="27"/>
      <c r="AQ630" s="27"/>
    </row>
    <row r="631" spans="1:43" ht="14.25" customHeight="1">
      <c r="A631" s="27"/>
      <c r="B631" s="27"/>
      <c r="C631" s="50"/>
      <c r="D631" s="27"/>
      <c r="E631" s="27"/>
      <c r="F631" s="51"/>
      <c r="G631" s="51"/>
      <c r="H631" s="51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48"/>
      <c r="AJ631" s="27"/>
      <c r="AK631" s="27"/>
      <c r="AL631" s="27"/>
      <c r="AM631" s="27"/>
      <c r="AN631" s="27"/>
      <c r="AO631" s="27"/>
      <c r="AP631" s="27"/>
      <c r="AQ631" s="27"/>
    </row>
    <row r="632" spans="1:43" ht="14.25" customHeight="1">
      <c r="A632" s="27"/>
      <c r="B632" s="27"/>
      <c r="C632" s="50"/>
      <c r="D632" s="27"/>
      <c r="E632" s="27"/>
      <c r="F632" s="51"/>
      <c r="G632" s="51"/>
      <c r="H632" s="51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48"/>
      <c r="AJ632" s="27"/>
      <c r="AK632" s="27"/>
      <c r="AL632" s="27"/>
      <c r="AM632" s="27"/>
      <c r="AN632" s="27"/>
      <c r="AO632" s="27"/>
      <c r="AP632" s="27"/>
      <c r="AQ632" s="27"/>
    </row>
    <row r="633" spans="1:43" ht="14.25" customHeight="1">
      <c r="A633" s="27"/>
      <c r="B633" s="27"/>
      <c r="C633" s="50"/>
      <c r="D633" s="27"/>
      <c r="E633" s="27"/>
      <c r="F633" s="51"/>
      <c r="G633" s="51"/>
      <c r="H633" s="51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48"/>
      <c r="AJ633" s="27"/>
      <c r="AK633" s="27"/>
      <c r="AL633" s="27"/>
      <c r="AM633" s="27"/>
      <c r="AN633" s="27"/>
      <c r="AO633" s="27"/>
      <c r="AP633" s="27"/>
      <c r="AQ633" s="27"/>
    </row>
    <row r="634" spans="1:43" ht="14.25" customHeight="1">
      <c r="A634" s="27"/>
      <c r="B634" s="27"/>
      <c r="C634" s="50"/>
      <c r="D634" s="27"/>
      <c r="E634" s="27"/>
      <c r="F634" s="51"/>
      <c r="G634" s="51"/>
      <c r="H634" s="51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48"/>
      <c r="AJ634" s="27"/>
      <c r="AK634" s="27"/>
      <c r="AL634" s="27"/>
      <c r="AM634" s="27"/>
      <c r="AN634" s="27"/>
      <c r="AO634" s="27"/>
      <c r="AP634" s="27"/>
      <c r="AQ634" s="27"/>
    </row>
    <row r="635" spans="1:43" ht="14.25" customHeight="1">
      <c r="A635" s="27"/>
      <c r="B635" s="27"/>
      <c r="C635" s="50"/>
      <c r="D635" s="27"/>
      <c r="E635" s="27"/>
      <c r="F635" s="51"/>
      <c r="G635" s="51"/>
      <c r="H635" s="51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48"/>
      <c r="AJ635" s="27"/>
      <c r="AK635" s="27"/>
      <c r="AL635" s="27"/>
      <c r="AM635" s="27"/>
      <c r="AN635" s="27"/>
      <c r="AO635" s="27"/>
      <c r="AP635" s="27"/>
      <c r="AQ635" s="27"/>
    </row>
    <row r="636" spans="1:43" ht="14.25" customHeight="1">
      <c r="A636" s="27"/>
      <c r="B636" s="27"/>
      <c r="C636" s="50"/>
      <c r="D636" s="27"/>
      <c r="E636" s="27"/>
      <c r="F636" s="51"/>
      <c r="G636" s="51"/>
      <c r="H636" s="51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48"/>
      <c r="AJ636" s="27"/>
      <c r="AK636" s="27"/>
      <c r="AL636" s="27"/>
      <c r="AM636" s="27"/>
      <c r="AN636" s="27"/>
      <c r="AO636" s="27"/>
      <c r="AP636" s="27"/>
      <c r="AQ636" s="27"/>
    </row>
    <row r="637" spans="1:43" ht="14.25" customHeight="1">
      <c r="A637" s="27"/>
      <c r="B637" s="27"/>
      <c r="C637" s="50"/>
      <c r="D637" s="27"/>
      <c r="E637" s="27"/>
      <c r="F637" s="51"/>
      <c r="G637" s="51"/>
      <c r="H637" s="51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48"/>
      <c r="AJ637" s="27"/>
      <c r="AK637" s="27"/>
      <c r="AL637" s="27"/>
      <c r="AM637" s="27"/>
      <c r="AN637" s="27"/>
      <c r="AO637" s="27"/>
      <c r="AP637" s="27"/>
      <c r="AQ637" s="27"/>
    </row>
    <row r="638" spans="1:43" ht="14.25" customHeight="1">
      <c r="A638" s="27"/>
      <c r="B638" s="27"/>
      <c r="C638" s="50"/>
      <c r="D638" s="27"/>
      <c r="E638" s="27"/>
      <c r="F638" s="51"/>
      <c r="G638" s="51"/>
      <c r="H638" s="51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48"/>
      <c r="AJ638" s="27"/>
      <c r="AK638" s="27"/>
      <c r="AL638" s="27"/>
      <c r="AM638" s="27"/>
      <c r="AN638" s="27"/>
      <c r="AO638" s="27"/>
      <c r="AP638" s="27"/>
      <c r="AQ638" s="27"/>
    </row>
    <row r="639" spans="1:43" ht="14.25" customHeight="1">
      <c r="A639" s="27"/>
      <c r="B639" s="27"/>
      <c r="C639" s="50"/>
      <c r="D639" s="27"/>
      <c r="E639" s="27"/>
      <c r="F639" s="51"/>
      <c r="G639" s="51"/>
      <c r="H639" s="51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48"/>
      <c r="AJ639" s="27"/>
      <c r="AK639" s="27"/>
      <c r="AL639" s="27"/>
      <c r="AM639" s="27"/>
      <c r="AN639" s="27"/>
      <c r="AO639" s="27"/>
      <c r="AP639" s="27"/>
      <c r="AQ639" s="27"/>
    </row>
    <row r="640" spans="1:43" ht="14.25" customHeight="1">
      <c r="A640" s="27"/>
      <c r="B640" s="27"/>
      <c r="C640" s="50"/>
      <c r="D640" s="27"/>
      <c r="E640" s="27"/>
      <c r="F640" s="51"/>
      <c r="G640" s="51"/>
      <c r="H640" s="51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48"/>
      <c r="AJ640" s="27"/>
      <c r="AK640" s="27"/>
      <c r="AL640" s="27"/>
      <c r="AM640" s="27"/>
      <c r="AN640" s="27"/>
      <c r="AO640" s="27"/>
      <c r="AP640" s="27"/>
      <c r="AQ640" s="27"/>
    </row>
    <row r="641" spans="1:43" ht="14.25" customHeight="1">
      <c r="A641" s="27"/>
      <c r="B641" s="27"/>
      <c r="C641" s="50"/>
      <c r="D641" s="27"/>
      <c r="E641" s="27"/>
      <c r="F641" s="51"/>
      <c r="G641" s="51"/>
      <c r="H641" s="51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48"/>
      <c r="AJ641" s="27"/>
      <c r="AK641" s="27"/>
      <c r="AL641" s="27"/>
      <c r="AM641" s="27"/>
      <c r="AN641" s="27"/>
      <c r="AO641" s="27"/>
      <c r="AP641" s="27"/>
      <c r="AQ641" s="27"/>
    </row>
    <row r="642" spans="1:43" ht="14.25" customHeight="1">
      <c r="A642" s="27"/>
      <c r="B642" s="27"/>
      <c r="C642" s="50"/>
      <c r="D642" s="27"/>
      <c r="E642" s="27"/>
      <c r="F642" s="51"/>
      <c r="G642" s="51"/>
      <c r="H642" s="51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48"/>
      <c r="AJ642" s="27"/>
      <c r="AK642" s="27"/>
      <c r="AL642" s="27"/>
      <c r="AM642" s="27"/>
      <c r="AN642" s="27"/>
      <c r="AO642" s="27"/>
      <c r="AP642" s="27"/>
      <c r="AQ642" s="27"/>
    </row>
    <row r="643" spans="1:43" ht="14.25" customHeight="1">
      <c r="A643" s="27"/>
      <c r="B643" s="27"/>
      <c r="C643" s="50"/>
      <c r="D643" s="27"/>
      <c r="E643" s="27"/>
      <c r="F643" s="51"/>
      <c r="G643" s="51"/>
      <c r="H643" s="51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48"/>
      <c r="AJ643" s="27"/>
      <c r="AK643" s="27"/>
      <c r="AL643" s="27"/>
      <c r="AM643" s="27"/>
      <c r="AN643" s="27"/>
      <c r="AO643" s="27"/>
      <c r="AP643" s="27"/>
      <c r="AQ643" s="27"/>
    </row>
    <row r="644" spans="1:43" ht="14.25" customHeight="1">
      <c r="A644" s="27"/>
      <c r="B644" s="27"/>
      <c r="C644" s="50"/>
      <c r="D644" s="27"/>
      <c r="E644" s="27"/>
      <c r="F644" s="51"/>
      <c r="G644" s="51"/>
      <c r="H644" s="51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48"/>
      <c r="AJ644" s="27"/>
      <c r="AK644" s="27"/>
      <c r="AL644" s="27"/>
      <c r="AM644" s="27"/>
      <c r="AN644" s="27"/>
      <c r="AO644" s="27"/>
      <c r="AP644" s="27"/>
      <c r="AQ644" s="27"/>
    </row>
    <row r="645" spans="1:43" ht="14.25" customHeight="1">
      <c r="A645" s="27"/>
      <c r="B645" s="27"/>
      <c r="C645" s="50"/>
      <c r="D645" s="27"/>
      <c r="E645" s="27"/>
      <c r="F645" s="51"/>
      <c r="G645" s="51"/>
      <c r="H645" s="51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48"/>
      <c r="AJ645" s="27"/>
      <c r="AK645" s="27"/>
      <c r="AL645" s="27"/>
      <c r="AM645" s="27"/>
      <c r="AN645" s="27"/>
      <c r="AO645" s="27"/>
      <c r="AP645" s="27"/>
      <c r="AQ645" s="27"/>
    </row>
    <row r="646" spans="1:43" ht="14.25" customHeight="1">
      <c r="A646" s="27"/>
      <c r="B646" s="27"/>
      <c r="C646" s="50"/>
      <c r="D646" s="27"/>
      <c r="E646" s="27"/>
      <c r="F646" s="51"/>
      <c r="G646" s="51"/>
      <c r="H646" s="51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48"/>
      <c r="AJ646" s="27"/>
      <c r="AK646" s="27"/>
      <c r="AL646" s="27"/>
      <c r="AM646" s="27"/>
      <c r="AN646" s="27"/>
      <c r="AO646" s="27"/>
      <c r="AP646" s="27"/>
      <c r="AQ646" s="27"/>
    </row>
    <row r="647" spans="1:43" ht="14.25" customHeight="1">
      <c r="A647" s="27"/>
      <c r="B647" s="27"/>
      <c r="C647" s="50"/>
      <c r="D647" s="27"/>
      <c r="E647" s="27"/>
      <c r="F647" s="51"/>
      <c r="G647" s="51"/>
      <c r="H647" s="51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48"/>
      <c r="AJ647" s="27"/>
      <c r="AK647" s="27"/>
      <c r="AL647" s="27"/>
      <c r="AM647" s="27"/>
      <c r="AN647" s="27"/>
      <c r="AO647" s="27"/>
      <c r="AP647" s="27"/>
      <c r="AQ647" s="27"/>
    </row>
    <row r="648" spans="1:43" ht="14.25" customHeight="1">
      <c r="A648" s="27"/>
      <c r="B648" s="27"/>
      <c r="C648" s="50"/>
      <c r="D648" s="27"/>
      <c r="E648" s="27"/>
      <c r="F648" s="51"/>
      <c r="G648" s="51"/>
      <c r="H648" s="51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48"/>
      <c r="AJ648" s="27"/>
      <c r="AK648" s="27"/>
      <c r="AL648" s="27"/>
      <c r="AM648" s="27"/>
      <c r="AN648" s="27"/>
      <c r="AO648" s="27"/>
      <c r="AP648" s="27"/>
      <c r="AQ648" s="27"/>
    </row>
    <row r="649" spans="1:43" ht="14.25" customHeight="1">
      <c r="A649" s="27"/>
      <c r="B649" s="27"/>
      <c r="C649" s="50"/>
      <c r="D649" s="27"/>
      <c r="E649" s="27"/>
      <c r="F649" s="51"/>
      <c r="G649" s="51"/>
      <c r="H649" s="51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48"/>
      <c r="AJ649" s="27"/>
      <c r="AK649" s="27"/>
      <c r="AL649" s="27"/>
      <c r="AM649" s="27"/>
      <c r="AN649" s="27"/>
      <c r="AO649" s="27"/>
      <c r="AP649" s="27"/>
      <c r="AQ649" s="27"/>
    </row>
    <row r="650" spans="1:43" ht="14.25" customHeight="1">
      <c r="A650" s="27"/>
      <c r="B650" s="27"/>
      <c r="C650" s="50"/>
      <c r="D650" s="27"/>
      <c r="E650" s="27"/>
      <c r="F650" s="51"/>
      <c r="G650" s="51"/>
      <c r="H650" s="51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48"/>
      <c r="AJ650" s="27"/>
      <c r="AK650" s="27"/>
      <c r="AL650" s="27"/>
      <c r="AM650" s="27"/>
      <c r="AN650" s="27"/>
      <c r="AO650" s="27"/>
      <c r="AP650" s="27"/>
      <c r="AQ650" s="27"/>
    </row>
    <row r="651" spans="1:43" ht="14.25" customHeight="1">
      <c r="A651" s="27"/>
      <c r="B651" s="27"/>
      <c r="C651" s="50"/>
      <c r="D651" s="27"/>
      <c r="E651" s="27"/>
      <c r="F651" s="51"/>
      <c r="G651" s="51"/>
      <c r="H651" s="51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48"/>
      <c r="AJ651" s="27"/>
      <c r="AK651" s="27"/>
      <c r="AL651" s="27"/>
      <c r="AM651" s="27"/>
      <c r="AN651" s="27"/>
      <c r="AO651" s="27"/>
      <c r="AP651" s="27"/>
      <c r="AQ651" s="27"/>
    </row>
    <row r="652" spans="1:43" ht="14.25" customHeight="1">
      <c r="A652" s="27"/>
      <c r="B652" s="27"/>
      <c r="C652" s="50"/>
      <c r="D652" s="27"/>
      <c r="E652" s="27"/>
      <c r="F652" s="51"/>
      <c r="G652" s="51"/>
      <c r="H652" s="51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48"/>
      <c r="AJ652" s="27"/>
      <c r="AK652" s="27"/>
      <c r="AL652" s="27"/>
      <c r="AM652" s="27"/>
      <c r="AN652" s="27"/>
      <c r="AO652" s="27"/>
      <c r="AP652" s="27"/>
      <c r="AQ652" s="27"/>
    </row>
    <row r="653" spans="1:43" ht="14.25" customHeight="1">
      <c r="A653" s="27"/>
      <c r="B653" s="27"/>
      <c r="C653" s="50"/>
      <c r="D653" s="27"/>
      <c r="E653" s="27"/>
      <c r="F653" s="51"/>
      <c r="G653" s="51"/>
      <c r="H653" s="51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48"/>
      <c r="AJ653" s="27"/>
      <c r="AK653" s="27"/>
      <c r="AL653" s="27"/>
      <c r="AM653" s="27"/>
      <c r="AN653" s="27"/>
      <c r="AO653" s="27"/>
      <c r="AP653" s="27"/>
      <c r="AQ653" s="27"/>
    </row>
    <row r="654" spans="1:43" ht="14.25" customHeight="1">
      <c r="A654" s="27"/>
      <c r="B654" s="27"/>
      <c r="C654" s="50"/>
      <c r="D654" s="27"/>
      <c r="E654" s="27"/>
      <c r="F654" s="51"/>
      <c r="G654" s="51"/>
      <c r="H654" s="51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48"/>
      <c r="AJ654" s="27"/>
      <c r="AK654" s="27"/>
      <c r="AL654" s="27"/>
      <c r="AM654" s="27"/>
      <c r="AN654" s="27"/>
      <c r="AO654" s="27"/>
      <c r="AP654" s="27"/>
      <c r="AQ654" s="27"/>
    </row>
    <row r="655" spans="1:43" ht="14.25" customHeight="1">
      <c r="A655" s="27"/>
      <c r="B655" s="27"/>
      <c r="C655" s="50"/>
      <c r="D655" s="27"/>
      <c r="E655" s="27"/>
      <c r="F655" s="51"/>
      <c r="G655" s="51"/>
      <c r="H655" s="51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48"/>
      <c r="AJ655" s="27"/>
      <c r="AK655" s="27"/>
      <c r="AL655" s="27"/>
      <c r="AM655" s="27"/>
      <c r="AN655" s="27"/>
      <c r="AO655" s="27"/>
      <c r="AP655" s="27"/>
      <c r="AQ655" s="27"/>
    </row>
    <row r="656" spans="1:43" ht="14.25" customHeight="1">
      <c r="A656" s="27"/>
      <c r="B656" s="27"/>
      <c r="C656" s="50"/>
      <c r="D656" s="27"/>
      <c r="E656" s="27"/>
      <c r="F656" s="51"/>
      <c r="G656" s="51"/>
      <c r="H656" s="51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48"/>
      <c r="AJ656" s="27"/>
      <c r="AK656" s="27"/>
      <c r="AL656" s="27"/>
      <c r="AM656" s="27"/>
      <c r="AN656" s="27"/>
      <c r="AO656" s="27"/>
      <c r="AP656" s="27"/>
      <c r="AQ656" s="27"/>
    </row>
    <row r="657" spans="1:43" ht="14.25" customHeight="1">
      <c r="A657" s="27"/>
      <c r="B657" s="27"/>
      <c r="C657" s="50"/>
      <c r="D657" s="27"/>
      <c r="E657" s="27"/>
      <c r="F657" s="51"/>
      <c r="G657" s="51"/>
      <c r="H657" s="51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48"/>
      <c r="AJ657" s="27"/>
      <c r="AK657" s="27"/>
      <c r="AL657" s="27"/>
      <c r="AM657" s="27"/>
      <c r="AN657" s="27"/>
      <c r="AO657" s="27"/>
      <c r="AP657" s="27"/>
      <c r="AQ657" s="27"/>
    </row>
    <row r="658" spans="1:43" ht="14.25" customHeight="1">
      <c r="A658" s="27"/>
      <c r="B658" s="27"/>
      <c r="C658" s="50"/>
      <c r="D658" s="27"/>
      <c r="E658" s="27"/>
      <c r="F658" s="51"/>
      <c r="G658" s="51"/>
      <c r="H658" s="51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48"/>
      <c r="AJ658" s="27"/>
      <c r="AK658" s="27"/>
      <c r="AL658" s="27"/>
      <c r="AM658" s="27"/>
      <c r="AN658" s="27"/>
      <c r="AO658" s="27"/>
      <c r="AP658" s="27"/>
      <c r="AQ658" s="27"/>
    </row>
    <row r="659" spans="1:43" ht="14.25" customHeight="1">
      <c r="A659" s="27"/>
      <c r="B659" s="27"/>
      <c r="C659" s="50"/>
      <c r="D659" s="27"/>
      <c r="E659" s="27"/>
      <c r="F659" s="51"/>
      <c r="G659" s="51"/>
      <c r="H659" s="51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48"/>
      <c r="AJ659" s="27"/>
      <c r="AK659" s="27"/>
      <c r="AL659" s="27"/>
      <c r="AM659" s="27"/>
      <c r="AN659" s="27"/>
      <c r="AO659" s="27"/>
      <c r="AP659" s="27"/>
      <c r="AQ659" s="27"/>
    </row>
    <row r="660" spans="1:43" ht="14.25" customHeight="1">
      <c r="A660" s="27"/>
      <c r="B660" s="27"/>
      <c r="C660" s="50"/>
      <c r="D660" s="27"/>
      <c r="E660" s="27"/>
      <c r="F660" s="51"/>
      <c r="G660" s="51"/>
      <c r="H660" s="51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48"/>
      <c r="AJ660" s="27"/>
      <c r="AK660" s="27"/>
      <c r="AL660" s="27"/>
      <c r="AM660" s="27"/>
      <c r="AN660" s="27"/>
      <c r="AO660" s="27"/>
      <c r="AP660" s="27"/>
      <c r="AQ660" s="27"/>
    </row>
    <row r="661" spans="1:43" ht="14.25" customHeight="1">
      <c r="A661" s="27"/>
      <c r="B661" s="27"/>
      <c r="C661" s="50"/>
      <c r="D661" s="27"/>
      <c r="E661" s="27"/>
      <c r="F661" s="51"/>
      <c r="G661" s="51"/>
      <c r="H661" s="51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48"/>
      <c r="AJ661" s="27"/>
      <c r="AK661" s="27"/>
      <c r="AL661" s="27"/>
      <c r="AM661" s="27"/>
      <c r="AN661" s="27"/>
      <c r="AO661" s="27"/>
      <c r="AP661" s="27"/>
      <c r="AQ661" s="27"/>
    </row>
    <row r="662" spans="1:43" ht="14.25" customHeight="1">
      <c r="A662" s="27"/>
      <c r="B662" s="27"/>
      <c r="C662" s="50"/>
      <c r="D662" s="27"/>
      <c r="E662" s="27"/>
      <c r="F662" s="51"/>
      <c r="G662" s="51"/>
      <c r="H662" s="51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48"/>
      <c r="AJ662" s="27"/>
      <c r="AK662" s="27"/>
      <c r="AL662" s="27"/>
      <c r="AM662" s="27"/>
      <c r="AN662" s="27"/>
      <c r="AO662" s="27"/>
      <c r="AP662" s="27"/>
      <c r="AQ662" s="27"/>
    </row>
    <row r="663" spans="1:43" ht="14.25" customHeight="1">
      <c r="A663" s="27"/>
      <c r="B663" s="27"/>
      <c r="C663" s="50"/>
      <c r="D663" s="27"/>
      <c r="E663" s="27"/>
      <c r="F663" s="51"/>
      <c r="G663" s="51"/>
      <c r="H663" s="51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48"/>
      <c r="AJ663" s="27"/>
      <c r="AK663" s="27"/>
      <c r="AL663" s="27"/>
      <c r="AM663" s="27"/>
      <c r="AN663" s="27"/>
      <c r="AO663" s="27"/>
      <c r="AP663" s="27"/>
      <c r="AQ663" s="27"/>
    </row>
    <row r="664" spans="1:43" ht="14.25" customHeight="1">
      <c r="A664" s="27"/>
      <c r="B664" s="27"/>
      <c r="C664" s="50"/>
      <c r="D664" s="27"/>
      <c r="E664" s="27"/>
      <c r="F664" s="51"/>
      <c r="G664" s="51"/>
      <c r="H664" s="51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48"/>
      <c r="AJ664" s="27"/>
      <c r="AK664" s="27"/>
      <c r="AL664" s="27"/>
      <c r="AM664" s="27"/>
      <c r="AN664" s="27"/>
      <c r="AO664" s="27"/>
      <c r="AP664" s="27"/>
      <c r="AQ664" s="27"/>
    </row>
    <row r="665" spans="1:43" ht="14.25" customHeight="1">
      <c r="A665" s="27"/>
      <c r="B665" s="27"/>
      <c r="C665" s="50"/>
      <c r="D665" s="27"/>
      <c r="E665" s="27"/>
      <c r="F665" s="51"/>
      <c r="G665" s="51"/>
      <c r="H665" s="51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48"/>
      <c r="AJ665" s="27"/>
      <c r="AK665" s="27"/>
      <c r="AL665" s="27"/>
      <c r="AM665" s="27"/>
      <c r="AN665" s="27"/>
      <c r="AO665" s="27"/>
      <c r="AP665" s="27"/>
      <c r="AQ665" s="27"/>
    </row>
    <row r="666" spans="1:43" ht="14.25" customHeight="1">
      <c r="A666" s="27"/>
      <c r="B666" s="27"/>
      <c r="C666" s="50"/>
      <c r="D666" s="27"/>
      <c r="E666" s="27"/>
      <c r="F666" s="51"/>
      <c r="G666" s="51"/>
      <c r="H666" s="51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48"/>
      <c r="AJ666" s="27"/>
      <c r="AK666" s="27"/>
      <c r="AL666" s="27"/>
      <c r="AM666" s="27"/>
      <c r="AN666" s="27"/>
      <c r="AO666" s="27"/>
      <c r="AP666" s="27"/>
      <c r="AQ666" s="27"/>
    </row>
    <row r="667" spans="1:43" ht="14.25" customHeight="1">
      <c r="A667" s="27"/>
      <c r="B667" s="27"/>
      <c r="C667" s="50"/>
      <c r="D667" s="27"/>
      <c r="E667" s="27"/>
      <c r="F667" s="51"/>
      <c r="G667" s="51"/>
      <c r="H667" s="51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48"/>
      <c r="AJ667" s="27"/>
      <c r="AK667" s="27"/>
      <c r="AL667" s="27"/>
      <c r="AM667" s="27"/>
      <c r="AN667" s="27"/>
      <c r="AO667" s="27"/>
      <c r="AP667" s="27"/>
      <c r="AQ667" s="27"/>
    </row>
    <row r="668" spans="1:43" ht="14.25" customHeight="1">
      <c r="A668" s="27"/>
      <c r="B668" s="27"/>
      <c r="C668" s="50"/>
      <c r="D668" s="27"/>
      <c r="E668" s="27"/>
      <c r="F668" s="51"/>
      <c r="G668" s="51"/>
      <c r="H668" s="51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48"/>
      <c r="AJ668" s="27"/>
      <c r="AK668" s="27"/>
      <c r="AL668" s="27"/>
      <c r="AM668" s="27"/>
      <c r="AN668" s="27"/>
      <c r="AO668" s="27"/>
      <c r="AP668" s="27"/>
      <c r="AQ668" s="27"/>
    </row>
    <row r="669" spans="1:43" ht="14.25" customHeight="1">
      <c r="A669" s="27"/>
      <c r="B669" s="27"/>
      <c r="C669" s="50"/>
      <c r="D669" s="27"/>
      <c r="E669" s="27"/>
      <c r="F669" s="51"/>
      <c r="G669" s="51"/>
      <c r="H669" s="51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48"/>
      <c r="AJ669" s="27"/>
      <c r="AK669" s="27"/>
      <c r="AL669" s="27"/>
      <c r="AM669" s="27"/>
      <c r="AN669" s="27"/>
      <c r="AO669" s="27"/>
      <c r="AP669" s="27"/>
      <c r="AQ669" s="27"/>
    </row>
    <row r="670" spans="1:43" ht="14.25" customHeight="1">
      <c r="A670" s="27"/>
      <c r="B670" s="27"/>
      <c r="C670" s="50"/>
      <c r="D670" s="27"/>
      <c r="E670" s="27"/>
      <c r="F670" s="51"/>
      <c r="G670" s="51"/>
      <c r="H670" s="51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48"/>
      <c r="AJ670" s="27"/>
      <c r="AK670" s="27"/>
      <c r="AL670" s="27"/>
      <c r="AM670" s="27"/>
      <c r="AN670" s="27"/>
      <c r="AO670" s="27"/>
      <c r="AP670" s="27"/>
      <c r="AQ670" s="27"/>
    </row>
    <row r="671" spans="1:43" ht="14.25" customHeight="1">
      <c r="A671" s="27"/>
      <c r="B671" s="27"/>
      <c r="C671" s="50"/>
      <c r="D671" s="27"/>
      <c r="E671" s="27"/>
      <c r="F671" s="51"/>
      <c r="G671" s="51"/>
      <c r="H671" s="51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48"/>
      <c r="AJ671" s="27"/>
      <c r="AK671" s="27"/>
      <c r="AL671" s="27"/>
      <c r="AM671" s="27"/>
      <c r="AN671" s="27"/>
      <c r="AO671" s="27"/>
      <c r="AP671" s="27"/>
      <c r="AQ671" s="27"/>
    </row>
    <row r="672" spans="1:43" ht="14.25" customHeight="1">
      <c r="A672" s="27"/>
      <c r="B672" s="27"/>
      <c r="C672" s="50"/>
      <c r="D672" s="27"/>
      <c r="E672" s="27"/>
      <c r="F672" s="51"/>
      <c r="G672" s="51"/>
      <c r="H672" s="51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48"/>
      <c r="AJ672" s="27"/>
      <c r="AK672" s="27"/>
      <c r="AL672" s="27"/>
      <c r="AM672" s="27"/>
      <c r="AN672" s="27"/>
      <c r="AO672" s="27"/>
      <c r="AP672" s="27"/>
      <c r="AQ672" s="27"/>
    </row>
    <row r="673" spans="1:43" ht="14.25" customHeight="1">
      <c r="A673" s="27"/>
      <c r="B673" s="27"/>
      <c r="C673" s="50"/>
      <c r="D673" s="27"/>
      <c r="E673" s="27"/>
      <c r="F673" s="51"/>
      <c r="G673" s="51"/>
      <c r="H673" s="51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48"/>
      <c r="AJ673" s="27"/>
      <c r="AK673" s="27"/>
      <c r="AL673" s="27"/>
      <c r="AM673" s="27"/>
      <c r="AN673" s="27"/>
      <c r="AO673" s="27"/>
      <c r="AP673" s="27"/>
      <c r="AQ673" s="27"/>
    </row>
    <row r="674" spans="1:43" ht="14.25" customHeight="1">
      <c r="A674" s="27"/>
      <c r="B674" s="27"/>
      <c r="C674" s="50"/>
      <c r="D674" s="27"/>
      <c r="E674" s="27"/>
      <c r="F674" s="51"/>
      <c r="G674" s="51"/>
      <c r="H674" s="51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48"/>
      <c r="AJ674" s="27"/>
      <c r="AK674" s="27"/>
      <c r="AL674" s="27"/>
      <c r="AM674" s="27"/>
      <c r="AN674" s="27"/>
      <c r="AO674" s="27"/>
      <c r="AP674" s="27"/>
      <c r="AQ674" s="27"/>
    </row>
    <row r="675" spans="1:43" ht="14.25" customHeight="1">
      <c r="A675" s="27"/>
      <c r="B675" s="27"/>
      <c r="C675" s="50"/>
      <c r="D675" s="27"/>
      <c r="E675" s="27"/>
      <c r="F675" s="51"/>
      <c r="G675" s="51"/>
      <c r="H675" s="51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48"/>
      <c r="AJ675" s="27"/>
      <c r="AK675" s="27"/>
      <c r="AL675" s="27"/>
      <c r="AM675" s="27"/>
      <c r="AN675" s="27"/>
      <c r="AO675" s="27"/>
      <c r="AP675" s="27"/>
      <c r="AQ675" s="27"/>
    </row>
    <row r="676" spans="1:43" ht="14.25" customHeight="1">
      <c r="A676" s="27"/>
      <c r="B676" s="27"/>
      <c r="C676" s="50"/>
      <c r="D676" s="27"/>
      <c r="E676" s="27"/>
      <c r="F676" s="51"/>
      <c r="G676" s="51"/>
      <c r="H676" s="51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48"/>
      <c r="AJ676" s="27"/>
      <c r="AK676" s="27"/>
      <c r="AL676" s="27"/>
      <c r="AM676" s="27"/>
      <c r="AN676" s="27"/>
      <c r="AO676" s="27"/>
      <c r="AP676" s="27"/>
      <c r="AQ676" s="27"/>
    </row>
    <row r="677" spans="1:43" ht="14.25" customHeight="1">
      <c r="A677" s="27"/>
      <c r="B677" s="27"/>
      <c r="C677" s="50"/>
      <c r="D677" s="27"/>
      <c r="E677" s="27"/>
      <c r="F677" s="51"/>
      <c r="G677" s="51"/>
      <c r="H677" s="51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48"/>
      <c r="AJ677" s="27"/>
      <c r="AK677" s="27"/>
      <c r="AL677" s="27"/>
      <c r="AM677" s="27"/>
      <c r="AN677" s="27"/>
      <c r="AO677" s="27"/>
      <c r="AP677" s="27"/>
      <c r="AQ677" s="27"/>
    </row>
    <row r="678" spans="1:43" ht="14.25" customHeight="1">
      <c r="A678" s="27"/>
      <c r="B678" s="27"/>
      <c r="C678" s="50"/>
      <c r="D678" s="27"/>
      <c r="E678" s="27"/>
      <c r="F678" s="51"/>
      <c r="G678" s="51"/>
      <c r="H678" s="51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48"/>
      <c r="AJ678" s="27"/>
      <c r="AK678" s="27"/>
      <c r="AL678" s="27"/>
      <c r="AM678" s="27"/>
      <c r="AN678" s="27"/>
      <c r="AO678" s="27"/>
      <c r="AP678" s="27"/>
      <c r="AQ678" s="27"/>
    </row>
    <row r="679" spans="1:43" ht="14.25" customHeight="1">
      <c r="A679" s="27"/>
      <c r="B679" s="27"/>
      <c r="C679" s="50"/>
      <c r="D679" s="27"/>
      <c r="E679" s="27"/>
      <c r="F679" s="51"/>
      <c r="G679" s="51"/>
      <c r="H679" s="51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48"/>
      <c r="AJ679" s="27"/>
      <c r="AK679" s="27"/>
      <c r="AL679" s="27"/>
      <c r="AM679" s="27"/>
      <c r="AN679" s="27"/>
      <c r="AO679" s="27"/>
      <c r="AP679" s="27"/>
      <c r="AQ679" s="27"/>
    </row>
    <row r="680" spans="1:43" ht="14.25" customHeight="1">
      <c r="A680" s="27"/>
      <c r="B680" s="27"/>
      <c r="C680" s="50"/>
      <c r="D680" s="27"/>
      <c r="E680" s="27"/>
      <c r="F680" s="51"/>
      <c r="G680" s="51"/>
      <c r="H680" s="51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48"/>
      <c r="AJ680" s="27"/>
      <c r="AK680" s="27"/>
      <c r="AL680" s="27"/>
      <c r="AM680" s="27"/>
      <c r="AN680" s="27"/>
      <c r="AO680" s="27"/>
      <c r="AP680" s="27"/>
      <c r="AQ680" s="27"/>
    </row>
    <row r="681" spans="1:43" ht="14.25" customHeight="1">
      <c r="A681" s="27"/>
      <c r="B681" s="27"/>
      <c r="C681" s="50"/>
      <c r="D681" s="27"/>
      <c r="E681" s="27"/>
      <c r="F681" s="51"/>
      <c r="G681" s="51"/>
      <c r="H681" s="51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48"/>
      <c r="AJ681" s="27"/>
      <c r="AK681" s="27"/>
      <c r="AL681" s="27"/>
      <c r="AM681" s="27"/>
      <c r="AN681" s="27"/>
      <c r="AO681" s="27"/>
      <c r="AP681" s="27"/>
      <c r="AQ681" s="27"/>
    </row>
    <row r="682" spans="1:43" ht="14.25" customHeight="1">
      <c r="A682" s="27"/>
      <c r="B682" s="27"/>
      <c r="C682" s="50"/>
      <c r="D682" s="27"/>
      <c r="E682" s="27"/>
      <c r="F682" s="51"/>
      <c r="G682" s="51"/>
      <c r="H682" s="51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48"/>
      <c r="AJ682" s="27"/>
      <c r="AK682" s="27"/>
      <c r="AL682" s="27"/>
      <c r="AM682" s="27"/>
      <c r="AN682" s="27"/>
      <c r="AO682" s="27"/>
      <c r="AP682" s="27"/>
      <c r="AQ682" s="27"/>
    </row>
    <row r="683" spans="1:43" ht="14.25" customHeight="1">
      <c r="A683" s="27"/>
      <c r="B683" s="27"/>
      <c r="C683" s="50"/>
      <c r="D683" s="27"/>
      <c r="E683" s="27"/>
      <c r="F683" s="51"/>
      <c r="G683" s="51"/>
      <c r="H683" s="51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48"/>
      <c r="AJ683" s="27"/>
      <c r="AK683" s="27"/>
      <c r="AL683" s="27"/>
      <c r="AM683" s="27"/>
      <c r="AN683" s="27"/>
      <c r="AO683" s="27"/>
      <c r="AP683" s="27"/>
      <c r="AQ683" s="27"/>
    </row>
    <row r="684" spans="1:43" ht="14.25" customHeight="1">
      <c r="A684" s="27"/>
      <c r="B684" s="27"/>
      <c r="C684" s="50"/>
      <c r="D684" s="27"/>
      <c r="E684" s="27"/>
      <c r="F684" s="51"/>
      <c r="G684" s="51"/>
      <c r="H684" s="51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48"/>
      <c r="AJ684" s="27"/>
      <c r="AK684" s="27"/>
      <c r="AL684" s="27"/>
      <c r="AM684" s="27"/>
      <c r="AN684" s="27"/>
      <c r="AO684" s="27"/>
      <c r="AP684" s="27"/>
      <c r="AQ684" s="27"/>
    </row>
    <row r="685" spans="1:43" ht="14.25" customHeight="1">
      <c r="A685" s="27"/>
      <c r="B685" s="27"/>
      <c r="C685" s="50"/>
      <c r="D685" s="27"/>
      <c r="E685" s="27"/>
      <c r="F685" s="51"/>
      <c r="G685" s="51"/>
      <c r="H685" s="51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48"/>
      <c r="AJ685" s="27"/>
      <c r="AK685" s="27"/>
      <c r="AL685" s="27"/>
      <c r="AM685" s="27"/>
      <c r="AN685" s="27"/>
      <c r="AO685" s="27"/>
      <c r="AP685" s="27"/>
      <c r="AQ685" s="27"/>
    </row>
    <row r="686" spans="1:43" ht="14.25" customHeight="1">
      <c r="A686" s="27"/>
      <c r="B686" s="27"/>
      <c r="C686" s="50"/>
      <c r="D686" s="27"/>
      <c r="E686" s="27"/>
      <c r="F686" s="51"/>
      <c r="G686" s="51"/>
      <c r="H686" s="51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48"/>
      <c r="AJ686" s="27"/>
      <c r="AK686" s="27"/>
      <c r="AL686" s="27"/>
      <c r="AM686" s="27"/>
      <c r="AN686" s="27"/>
      <c r="AO686" s="27"/>
      <c r="AP686" s="27"/>
      <c r="AQ686" s="27"/>
    </row>
    <row r="687" spans="1:43" ht="14.25" customHeight="1">
      <c r="A687" s="27"/>
      <c r="B687" s="27"/>
      <c r="C687" s="50"/>
      <c r="D687" s="27"/>
      <c r="E687" s="27"/>
      <c r="F687" s="51"/>
      <c r="G687" s="51"/>
      <c r="H687" s="51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48"/>
      <c r="AJ687" s="27"/>
      <c r="AK687" s="27"/>
      <c r="AL687" s="27"/>
      <c r="AM687" s="27"/>
      <c r="AN687" s="27"/>
      <c r="AO687" s="27"/>
      <c r="AP687" s="27"/>
      <c r="AQ687" s="27"/>
    </row>
    <row r="688" spans="1:43" ht="14.25" customHeight="1">
      <c r="A688" s="27"/>
      <c r="B688" s="27"/>
      <c r="C688" s="50"/>
      <c r="D688" s="27"/>
      <c r="E688" s="27"/>
      <c r="F688" s="51"/>
      <c r="G688" s="51"/>
      <c r="H688" s="51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48"/>
      <c r="AJ688" s="27"/>
      <c r="AK688" s="27"/>
      <c r="AL688" s="27"/>
      <c r="AM688" s="27"/>
      <c r="AN688" s="27"/>
      <c r="AO688" s="27"/>
      <c r="AP688" s="27"/>
      <c r="AQ688" s="27"/>
    </row>
    <row r="689" spans="1:43" ht="14.25" customHeight="1">
      <c r="A689" s="27"/>
      <c r="B689" s="27"/>
      <c r="C689" s="50"/>
      <c r="D689" s="27"/>
      <c r="E689" s="27"/>
      <c r="F689" s="51"/>
      <c r="G689" s="51"/>
      <c r="H689" s="51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48"/>
      <c r="AJ689" s="27"/>
      <c r="AK689" s="27"/>
      <c r="AL689" s="27"/>
      <c r="AM689" s="27"/>
      <c r="AN689" s="27"/>
      <c r="AO689" s="27"/>
      <c r="AP689" s="27"/>
      <c r="AQ689" s="27"/>
    </row>
    <row r="690" spans="1:43" ht="14.25" customHeight="1">
      <c r="A690" s="27"/>
      <c r="B690" s="27"/>
      <c r="C690" s="50"/>
      <c r="D690" s="27"/>
      <c r="E690" s="27"/>
      <c r="F690" s="51"/>
      <c r="G690" s="51"/>
      <c r="H690" s="51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48"/>
      <c r="AJ690" s="27"/>
      <c r="AK690" s="27"/>
      <c r="AL690" s="27"/>
      <c r="AM690" s="27"/>
      <c r="AN690" s="27"/>
      <c r="AO690" s="27"/>
      <c r="AP690" s="27"/>
      <c r="AQ690" s="27"/>
    </row>
    <row r="691" spans="1:43" ht="14.25" customHeight="1">
      <c r="A691" s="27"/>
      <c r="B691" s="27"/>
      <c r="C691" s="50"/>
      <c r="D691" s="27"/>
      <c r="E691" s="27"/>
      <c r="F691" s="51"/>
      <c r="G691" s="51"/>
      <c r="H691" s="51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48"/>
      <c r="AJ691" s="27"/>
      <c r="AK691" s="27"/>
      <c r="AL691" s="27"/>
      <c r="AM691" s="27"/>
      <c r="AN691" s="27"/>
      <c r="AO691" s="27"/>
      <c r="AP691" s="27"/>
      <c r="AQ691" s="27"/>
    </row>
    <row r="692" spans="1:43" ht="14.25" customHeight="1">
      <c r="A692" s="27"/>
      <c r="B692" s="27"/>
      <c r="C692" s="50"/>
      <c r="D692" s="27"/>
      <c r="E692" s="27"/>
      <c r="F692" s="51"/>
      <c r="G692" s="51"/>
      <c r="H692" s="51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48"/>
      <c r="AJ692" s="27"/>
      <c r="AK692" s="27"/>
      <c r="AL692" s="27"/>
      <c r="AM692" s="27"/>
      <c r="AN692" s="27"/>
      <c r="AO692" s="27"/>
      <c r="AP692" s="27"/>
      <c r="AQ692" s="27"/>
    </row>
    <row r="693" spans="1:43" ht="14.25" customHeight="1">
      <c r="A693" s="27"/>
      <c r="B693" s="27"/>
      <c r="C693" s="50"/>
      <c r="D693" s="27"/>
      <c r="E693" s="27"/>
      <c r="F693" s="51"/>
      <c r="G693" s="51"/>
      <c r="H693" s="51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48"/>
      <c r="AJ693" s="27"/>
      <c r="AK693" s="27"/>
      <c r="AL693" s="27"/>
      <c r="AM693" s="27"/>
      <c r="AN693" s="27"/>
      <c r="AO693" s="27"/>
      <c r="AP693" s="27"/>
      <c r="AQ693" s="27"/>
    </row>
    <row r="694" spans="1:43" ht="14.25" customHeight="1">
      <c r="A694" s="27"/>
      <c r="B694" s="27"/>
      <c r="C694" s="50"/>
      <c r="D694" s="27"/>
      <c r="E694" s="27"/>
      <c r="F694" s="51"/>
      <c r="G694" s="51"/>
      <c r="H694" s="51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48"/>
      <c r="AJ694" s="27"/>
      <c r="AK694" s="27"/>
      <c r="AL694" s="27"/>
      <c r="AM694" s="27"/>
      <c r="AN694" s="27"/>
      <c r="AO694" s="27"/>
      <c r="AP694" s="27"/>
      <c r="AQ694" s="27"/>
    </row>
    <row r="695" spans="1:43" ht="14.25" customHeight="1">
      <c r="A695" s="27"/>
      <c r="B695" s="27"/>
      <c r="C695" s="50"/>
      <c r="D695" s="27"/>
      <c r="E695" s="27"/>
      <c r="F695" s="51"/>
      <c r="G695" s="51"/>
      <c r="H695" s="51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48"/>
      <c r="AJ695" s="27"/>
      <c r="AK695" s="27"/>
      <c r="AL695" s="27"/>
      <c r="AM695" s="27"/>
      <c r="AN695" s="27"/>
      <c r="AO695" s="27"/>
      <c r="AP695" s="27"/>
      <c r="AQ695" s="27"/>
    </row>
    <row r="696" spans="1:43" ht="14.25" customHeight="1">
      <c r="A696" s="27"/>
      <c r="B696" s="27"/>
      <c r="C696" s="50"/>
      <c r="D696" s="27"/>
      <c r="E696" s="27"/>
      <c r="F696" s="51"/>
      <c r="G696" s="51"/>
      <c r="H696" s="51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48"/>
      <c r="AJ696" s="27"/>
      <c r="AK696" s="27"/>
      <c r="AL696" s="27"/>
      <c r="AM696" s="27"/>
      <c r="AN696" s="27"/>
      <c r="AO696" s="27"/>
      <c r="AP696" s="27"/>
      <c r="AQ696" s="27"/>
    </row>
    <row r="697" spans="1:43" ht="14.25" customHeight="1">
      <c r="A697" s="27"/>
      <c r="B697" s="27"/>
      <c r="C697" s="50"/>
      <c r="D697" s="27"/>
      <c r="E697" s="27"/>
      <c r="F697" s="51"/>
      <c r="G697" s="51"/>
      <c r="H697" s="51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48"/>
      <c r="AJ697" s="27"/>
      <c r="AK697" s="27"/>
      <c r="AL697" s="27"/>
      <c r="AM697" s="27"/>
      <c r="AN697" s="27"/>
      <c r="AO697" s="27"/>
      <c r="AP697" s="27"/>
      <c r="AQ697" s="27"/>
    </row>
    <row r="698" spans="1:43" ht="14.25" customHeight="1">
      <c r="A698" s="27"/>
      <c r="B698" s="27"/>
      <c r="C698" s="50"/>
      <c r="D698" s="27"/>
      <c r="E698" s="27"/>
      <c r="F698" s="51"/>
      <c r="G698" s="51"/>
      <c r="H698" s="51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48"/>
      <c r="AJ698" s="27"/>
      <c r="AK698" s="27"/>
      <c r="AL698" s="27"/>
      <c r="AM698" s="27"/>
      <c r="AN698" s="27"/>
      <c r="AO698" s="27"/>
      <c r="AP698" s="27"/>
      <c r="AQ698" s="27"/>
    </row>
    <row r="699" spans="1:43" ht="14.25" customHeight="1">
      <c r="A699" s="27"/>
      <c r="B699" s="27"/>
      <c r="C699" s="50"/>
      <c r="D699" s="27"/>
      <c r="E699" s="27"/>
      <c r="F699" s="51"/>
      <c r="G699" s="51"/>
      <c r="H699" s="51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48"/>
      <c r="AJ699" s="27"/>
      <c r="AK699" s="27"/>
      <c r="AL699" s="27"/>
      <c r="AM699" s="27"/>
      <c r="AN699" s="27"/>
      <c r="AO699" s="27"/>
      <c r="AP699" s="27"/>
      <c r="AQ699" s="27"/>
    </row>
    <row r="700" spans="1:43" ht="14.25" customHeight="1">
      <c r="A700" s="27"/>
      <c r="B700" s="27"/>
      <c r="C700" s="50"/>
      <c r="D700" s="27"/>
      <c r="E700" s="27"/>
      <c r="F700" s="51"/>
      <c r="G700" s="51"/>
      <c r="H700" s="51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48"/>
      <c r="AJ700" s="27"/>
      <c r="AK700" s="27"/>
      <c r="AL700" s="27"/>
      <c r="AM700" s="27"/>
      <c r="AN700" s="27"/>
      <c r="AO700" s="27"/>
      <c r="AP700" s="27"/>
      <c r="AQ700" s="27"/>
    </row>
    <row r="701" spans="1:43" ht="14.25" customHeight="1">
      <c r="A701" s="27"/>
      <c r="B701" s="27"/>
      <c r="C701" s="50"/>
      <c r="D701" s="27"/>
      <c r="E701" s="27"/>
      <c r="F701" s="51"/>
      <c r="G701" s="51"/>
      <c r="H701" s="51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48"/>
      <c r="AJ701" s="27"/>
      <c r="AK701" s="27"/>
      <c r="AL701" s="27"/>
      <c r="AM701" s="27"/>
      <c r="AN701" s="27"/>
      <c r="AO701" s="27"/>
      <c r="AP701" s="27"/>
      <c r="AQ701" s="27"/>
    </row>
    <row r="702" spans="1:43" ht="14.25" customHeight="1">
      <c r="A702" s="27"/>
      <c r="B702" s="27"/>
      <c r="C702" s="50"/>
      <c r="D702" s="27"/>
      <c r="E702" s="27"/>
      <c r="F702" s="51"/>
      <c r="G702" s="51"/>
      <c r="H702" s="51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48"/>
      <c r="AJ702" s="27"/>
      <c r="AK702" s="27"/>
      <c r="AL702" s="27"/>
      <c r="AM702" s="27"/>
      <c r="AN702" s="27"/>
      <c r="AO702" s="27"/>
      <c r="AP702" s="27"/>
      <c r="AQ702" s="27"/>
    </row>
    <row r="703" spans="1:43" ht="14.25" customHeight="1">
      <c r="A703" s="27"/>
      <c r="B703" s="27"/>
      <c r="C703" s="50"/>
      <c r="D703" s="27"/>
      <c r="E703" s="27"/>
      <c r="F703" s="51"/>
      <c r="G703" s="51"/>
      <c r="H703" s="51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48"/>
      <c r="AJ703" s="27"/>
      <c r="AK703" s="27"/>
      <c r="AL703" s="27"/>
      <c r="AM703" s="27"/>
      <c r="AN703" s="27"/>
      <c r="AO703" s="27"/>
      <c r="AP703" s="27"/>
      <c r="AQ703" s="27"/>
    </row>
    <row r="704" spans="1:43" ht="14.25" customHeight="1">
      <c r="A704" s="27"/>
      <c r="B704" s="27"/>
      <c r="C704" s="50"/>
      <c r="D704" s="27"/>
      <c r="E704" s="27"/>
      <c r="F704" s="51"/>
      <c r="G704" s="51"/>
      <c r="H704" s="51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48"/>
      <c r="AJ704" s="27"/>
      <c r="AK704" s="27"/>
      <c r="AL704" s="27"/>
      <c r="AM704" s="27"/>
      <c r="AN704" s="27"/>
      <c r="AO704" s="27"/>
      <c r="AP704" s="27"/>
      <c r="AQ704" s="27"/>
    </row>
    <row r="705" spans="1:43" ht="14.25" customHeight="1">
      <c r="A705" s="27"/>
      <c r="B705" s="27"/>
      <c r="C705" s="50"/>
      <c r="D705" s="27"/>
      <c r="E705" s="27"/>
      <c r="F705" s="51"/>
      <c r="G705" s="51"/>
      <c r="H705" s="51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48"/>
      <c r="AJ705" s="27"/>
      <c r="AK705" s="27"/>
      <c r="AL705" s="27"/>
      <c r="AM705" s="27"/>
      <c r="AN705" s="27"/>
      <c r="AO705" s="27"/>
      <c r="AP705" s="27"/>
      <c r="AQ705" s="27"/>
    </row>
    <row r="706" spans="1:43" ht="14.25" customHeight="1">
      <c r="A706" s="27"/>
      <c r="B706" s="27"/>
      <c r="C706" s="50"/>
      <c r="D706" s="27"/>
      <c r="E706" s="27"/>
      <c r="F706" s="51"/>
      <c r="G706" s="51"/>
      <c r="H706" s="51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48"/>
      <c r="AJ706" s="27"/>
      <c r="AK706" s="27"/>
      <c r="AL706" s="27"/>
      <c r="AM706" s="27"/>
      <c r="AN706" s="27"/>
      <c r="AO706" s="27"/>
      <c r="AP706" s="27"/>
      <c r="AQ706" s="27"/>
    </row>
    <row r="707" spans="1:43" ht="14.25" customHeight="1">
      <c r="A707" s="27"/>
      <c r="B707" s="27"/>
      <c r="C707" s="50"/>
      <c r="D707" s="27"/>
      <c r="E707" s="27"/>
      <c r="F707" s="51"/>
      <c r="G707" s="51"/>
      <c r="H707" s="51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48"/>
      <c r="AJ707" s="27"/>
      <c r="AK707" s="27"/>
      <c r="AL707" s="27"/>
      <c r="AM707" s="27"/>
      <c r="AN707" s="27"/>
      <c r="AO707" s="27"/>
      <c r="AP707" s="27"/>
      <c r="AQ707" s="27"/>
    </row>
    <row r="708" spans="1:43" ht="14.25" customHeight="1">
      <c r="A708" s="27"/>
      <c r="B708" s="27"/>
      <c r="C708" s="50"/>
      <c r="D708" s="27"/>
      <c r="E708" s="27"/>
      <c r="F708" s="51"/>
      <c r="G708" s="51"/>
      <c r="H708" s="51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48"/>
      <c r="AJ708" s="27"/>
      <c r="AK708" s="27"/>
      <c r="AL708" s="27"/>
      <c r="AM708" s="27"/>
      <c r="AN708" s="27"/>
      <c r="AO708" s="27"/>
      <c r="AP708" s="27"/>
      <c r="AQ708" s="27"/>
    </row>
    <row r="709" spans="1:43" ht="14.25" customHeight="1">
      <c r="A709" s="27"/>
      <c r="B709" s="27"/>
      <c r="C709" s="50"/>
      <c r="D709" s="27"/>
      <c r="E709" s="27"/>
      <c r="F709" s="51"/>
      <c r="G709" s="51"/>
      <c r="H709" s="51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48"/>
      <c r="AJ709" s="27"/>
      <c r="AK709" s="27"/>
      <c r="AL709" s="27"/>
      <c r="AM709" s="27"/>
      <c r="AN709" s="27"/>
      <c r="AO709" s="27"/>
      <c r="AP709" s="27"/>
      <c r="AQ709" s="27"/>
    </row>
    <row r="710" spans="1:43" ht="14.25" customHeight="1">
      <c r="A710" s="27"/>
      <c r="B710" s="27"/>
      <c r="C710" s="50"/>
      <c r="D710" s="27"/>
      <c r="E710" s="27"/>
      <c r="F710" s="51"/>
      <c r="G710" s="51"/>
      <c r="H710" s="51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48"/>
      <c r="AJ710" s="27"/>
      <c r="AK710" s="27"/>
      <c r="AL710" s="27"/>
      <c r="AM710" s="27"/>
      <c r="AN710" s="27"/>
      <c r="AO710" s="27"/>
      <c r="AP710" s="27"/>
      <c r="AQ710" s="27"/>
    </row>
    <row r="711" spans="1:43" ht="14.25" customHeight="1">
      <c r="A711" s="27"/>
      <c r="B711" s="27"/>
      <c r="C711" s="50"/>
      <c r="D711" s="27"/>
      <c r="E711" s="27"/>
      <c r="F711" s="51"/>
      <c r="G711" s="51"/>
      <c r="H711" s="51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48"/>
      <c r="AJ711" s="27"/>
      <c r="AK711" s="27"/>
      <c r="AL711" s="27"/>
      <c r="AM711" s="27"/>
      <c r="AN711" s="27"/>
      <c r="AO711" s="27"/>
      <c r="AP711" s="27"/>
      <c r="AQ711" s="27"/>
    </row>
    <row r="712" spans="1:43" ht="14.25" customHeight="1">
      <c r="A712" s="27"/>
      <c r="B712" s="27"/>
      <c r="C712" s="50"/>
      <c r="D712" s="27"/>
      <c r="E712" s="27"/>
      <c r="F712" s="51"/>
      <c r="G712" s="51"/>
      <c r="H712" s="51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48"/>
      <c r="AJ712" s="27"/>
      <c r="AK712" s="27"/>
      <c r="AL712" s="27"/>
      <c r="AM712" s="27"/>
      <c r="AN712" s="27"/>
      <c r="AO712" s="27"/>
      <c r="AP712" s="27"/>
      <c r="AQ712" s="27"/>
    </row>
    <row r="713" spans="1:43" ht="14.25" customHeight="1">
      <c r="A713" s="27"/>
      <c r="B713" s="27"/>
      <c r="C713" s="50"/>
      <c r="D713" s="27"/>
      <c r="E713" s="27"/>
      <c r="F713" s="51"/>
      <c r="G713" s="51"/>
      <c r="H713" s="51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48"/>
      <c r="AJ713" s="27"/>
      <c r="AK713" s="27"/>
      <c r="AL713" s="27"/>
      <c r="AM713" s="27"/>
      <c r="AN713" s="27"/>
      <c r="AO713" s="27"/>
      <c r="AP713" s="27"/>
      <c r="AQ713" s="27"/>
    </row>
    <row r="714" spans="1:43" ht="14.25" customHeight="1">
      <c r="A714" s="27"/>
      <c r="B714" s="27"/>
      <c r="C714" s="50"/>
      <c r="D714" s="27"/>
      <c r="E714" s="27"/>
      <c r="F714" s="51"/>
      <c r="G714" s="51"/>
      <c r="H714" s="51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48"/>
      <c r="AJ714" s="27"/>
      <c r="AK714" s="27"/>
      <c r="AL714" s="27"/>
      <c r="AM714" s="27"/>
      <c r="AN714" s="27"/>
      <c r="AO714" s="27"/>
      <c r="AP714" s="27"/>
      <c r="AQ714" s="27"/>
    </row>
    <row r="715" spans="1:43" ht="14.25" customHeight="1">
      <c r="A715" s="27"/>
      <c r="B715" s="27"/>
      <c r="C715" s="50"/>
      <c r="D715" s="27"/>
      <c r="E715" s="27"/>
      <c r="F715" s="51"/>
      <c r="G715" s="51"/>
      <c r="H715" s="51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48"/>
      <c r="AJ715" s="27"/>
      <c r="AK715" s="27"/>
      <c r="AL715" s="27"/>
      <c r="AM715" s="27"/>
      <c r="AN715" s="27"/>
      <c r="AO715" s="27"/>
      <c r="AP715" s="27"/>
      <c r="AQ715" s="27"/>
    </row>
    <row r="716" spans="1:43" ht="14.25" customHeight="1">
      <c r="A716" s="27"/>
      <c r="B716" s="27"/>
      <c r="C716" s="50"/>
      <c r="D716" s="27"/>
      <c r="E716" s="27"/>
      <c r="F716" s="51"/>
      <c r="G716" s="51"/>
      <c r="H716" s="51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48"/>
      <c r="AJ716" s="27"/>
      <c r="AK716" s="27"/>
      <c r="AL716" s="27"/>
      <c r="AM716" s="27"/>
      <c r="AN716" s="27"/>
      <c r="AO716" s="27"/>
      <c r="AP716" s="27"/>
      <c r="AQ716" s="27"/>
    </row>
    <row r="717" spans="1:43" ht="14.25" customHeight="1">
      <c r="A717" s="27"/>
      <c r="B717" s="27"/>
      <c r="C717" s="50"/>
      <c r="D717" s="27"/>
      <c r="E717" s="27"/>
      <c r="F717" s="51"/>
      <c r="G717" s="51"/>
      <c r="H717" s="51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48"/>
      <c r="AJ717" s="27"/>
      <c r="AK717" s="27"/>
      <c r="AL717" s="27"/>
      <c r="AM717" s="27"/>
      <c r="AN717" s="27"/>
      <c r="AO717" s="27"/>
      <c r="AP717" s="27"/>
      <c r="AQ717" s="27"/>
    </row>
    <row r="718" spans="1:43" ht="14.25" customHeight="1">
      <c r="A718" s="27"/>
      <c r="B718" s="27"/>
      <c r="C718" s="50"/>
      <c r="D718" s="27"/>
      <c r="E718" s="27"/>
      <c r="F718" s="51"/>
      <c r="G718" s="51"/>
      <c r="H718" s="51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48"/>
      <c r="AJ718" s="27"/>
      <c r="AK718" s="27"/>
      <c r="AL718" s="27"/>
      <c r="AM718" s="27"/>
      <c r="AN718" s="27"/>
      <c r="AO718" s="27"/>
      <c r="AP718" s="27"/>
      <c r="AQ718" s="27"/>
    </row>
    <row r="719" spans="1:43" ht="14.25" customHeight="1">
      <c r="A719" s="27"/>
      <c r="B719" s="27"/>
      <c r="C719" s="50"/>
      <c r="D719" s="27"/>
      <c r="E719" s="27"/>
      <c r="F719" s="51"/>
      <c r="G719" s="51"/>
      <c r="H719" s="51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48"/>
      <c r="AJ719" s="27"/>
      <c r="AK719" s="27"/>
      <c r="AL719" s="27"/>
      <c r="AM719" s="27"/>
      <c r="AN719" s="27"/>
      <c r="AO719" s="27"/>
      <c r="AP719" s="27"/>
      <c r="AQ719" s="27"/>
    </row>
    <row r="720" spans="1:43" ht="14.25" customHeight="1">
      <c r="A720" s="27"/>
      <c r="B720" s="27"/>
      <c r="C720" s="50"/>
      <c r="D720" s="27"/>
      <c r="E720" s="27"/>
      <c r="F720" s="51"/>
      <c r="G720" s="51"/>
      <c r="H720" s="51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48"/>
      <c r="AJ720" s="27"/>
      <c r="AK720" s="27"/>
      <c r="AL720" s="27"/>
      <c r="AM720" s="27"/>
      <c r="AN720" s="27"/>
      <c r="AO720" s="27"/>
      <c r="AP720" s="27"/>
      <c r="AQ720" s="27"/>
    </row>
    <row r="721" spans="1:43" ht="14.25" customHeight="1">
      <c r="A721" s="27"/>
      <c r="B721" s="27"/>
      <c r="C721" s="50"/>
      <c r="D721" s="27"/>
      <c r="E721" s="27"/>
      <c r="F721" s="51"/>
      <c r="G721" s="51"/>
      <c r="H721" s="51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48"/>
      <c r="AJ721" s="27"/>
      <c r="AK721" s="27"/>
      <c r="AL721" s="27"/>
      <c r="AM721" s="27"/>
      <c r="AN721" s="27"/>
      <c r="AO721" s="27"/>
      <c r="AP721" s="27"/>
      <c r="AQ721" s="27"/>
    </row>
    <row r="722" spans="1:43" ht="14.25" customHeight="1">
      <c r="A722" s="27"/>
      <c r="B722" s="27"/>
      <c r="C722" s="50"/>
      <c r="D722" s="27"/>
      <c r="E722" s="27"/>
      <c r="F722" s="51"/>
      <c r="G722" s="51"/>
      <c r="H722" s="51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48"/>
      <c r="AJ722" s="27"/>
      <c r="AK722" s="27"/>
      <c r="AL722" s="27"/>
      <c r="AM722" s="27"/>
      <c r="AN722" s="27"/>
      <c r="AO722" s="27"/>
      <c r="AP722" s="27"/>
      <c r="AQ722" s="27"/>
    </row>
    <row r="723" spans="1:43" ht="14.25" customHeight="1">
      <c r="A723" s="27"/>
      <c r="B723" s="27"/>
      <c r="C723" s="50"/>
      <c r="D723" s="27"/>
      <c r="E723" s="27"/>
      <c r="F723" s="51"/>
      <c r="G723" s="51"/>
      <c r="H723" s="51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48"/>
      <c r="AJ723" s="27"/>
      <c r="AK723" s="27"/>
      <c r="AL723" s="27"/>
      <c r="AM723" s="27"/>
      <c r="AN723" s="27"/>
      <c r="AO723" s="27"/>
      <c r="AP723" s="27"/>
      <c r="AQ723" s="27"/>
    </row>
    <row r="724" spans="1:43" ht="14.25" customHeight="1">
      <c r="A724" s="27"/>
      <c r="B724" s="27"/>
      <c r="C724" s="50"/>
      <c r="D724" s="27"/>
      <c r="E724" s="27"/>
      <c r="F724" s="51"/>
      <c r="G724" s="51"/>
      <c r="H724" s="51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48"/>
      <c r="AJ724" s="27"/>
      <c r="AK724" s="27"/>
      <c r="AL724" s="27"/>
      <c r="AM724" s="27"/>
      <c r="AN724" s="27"/>
      <c r="AO724" s="27"/>
      <c r="AP724" s="27"/>
      <c r="AQ724" s="27"/>
    </row>
    <row r="725" spans="1:43" ht="14.25" customHeight="1">
      <c r="A725" s="27"/>
      <c r="B725" s="27"/>
      <c r="C725" s="50"/>
      <c r="D725" s="27"/>
      <c r="E725" s="27"/>
      <c r="F725" s="51"/>
      <c r="G725" s="51"/>
      <c r="H725" s="51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48"/>
      <c r="AJ725" s="27"/>
      <c r="AK725" s="27"/>
      <c r="AL725" s="27"/>
      <c r="AM725" s="27"/>
      <c r="AN725" s="27"/>
      <c r="AO725" s="27"/>
      <c r="AP725" s="27"/>
      <c r="AQ725" s="27"/>
    </row>
    <row r="726" spans="1:43" ht="14.25" customHeight="1">
      <c r="A726" s="27"/>
      <c r="B726" s="27"/>
      <c r="C726" s="50"/>
      <c r="D726" s="27"/>
      <c r="E726" s="27"/>
      <c r="F726" s="51"/>
      <c r="G726" s="51"/>
      <c r="H726" s="51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48"/>
      <c r="AJ726" s="27"/>
      <c r="AK726" s="27"/>
      <c r="AL726" s="27"/>
      <c r="AM726" s="27"/>
      <c r="AN726" s="27"/>
      <c r="AO726" s="27"/>
      <c r="AP726" s="27"/>
      <c r="AQ726" s="27"/>
    </row>
    <row r="727" spans="1:43" ht="14.25" customHeight="1">
      <c r="A727" s="27"/>
      <c r="B727" s="27"/>
      <c r="C727" s="50"/>
      <c r="D727" s="27"/>
      <c r="E727" s="27"/>
      <c r="F727" s="51"/>
      <c r="G727" s="51"/>
      <c r="H727" s="51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48"/>
      <c r="AJ727" s="27"/>
      <c r="AK727" s="27"/>
      <c r="AL727" s="27"/>
      <c r="AM727" s="27"/>
      <c r="AN727" s="27"/>
      <c r="AO727" s="27"/>
      <c r="AP727" s="27"/>
      <c r="AQ727" s="27"/>
    </row>
    <row r="728" spans="1:43" ht="14.25" customHeight="1">
      <c r="A728" s="27"/>
      <c r="B728" s="27"/>
      <c r="C728" s="50"/>
      <c r="D728" s="27"/>
      <c r="E728" s="27"/>
      <c r="F728" s="51"/>
      <c r="G728" s="51"/>
      <c r="H728" s="51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48"/>
      <c r="AJ728" s="27"/>
      <c r="AK728" s="27"/>
      <c r="AL728" s="27"/>
      <c r="AM728" s="27"/>
      <c r="AN728" s="27"/>
      <c r="AO728" s="27"/>
      <c r="AP728" s="27"/>
      <c r="AQ728" s="27"/>
    </row>
    <row r="729" spans="1:43" ht="14.25" customHeight="1">
      <c r="A729" s="27"/>
      <c r="B729" s="27"/>
      <c r="C729" s="50"/>
      <c r="D729" s="27"/>
      <c r="E729" s="27"/>
      <c r="F729" s="51"/>
      <c r="G729" s="51"/>
      <c r="H729" s="51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48"/>
      <c r="AJ729" s="27"/>
      <c r="AK729" s="27"/>
      <c r="AL729" s="27"/>
      <c r="AM729" s="27"/>
      <c r="AN729" s="27"/>
      <c r="AO729" s="27"/>
      <c r="AP729" s="27"/>
      <c r="AQ729" s="27"/>
    </row>
    <row r="730" spans="1:43" ht="14.25" customHeight="1">
      <c r="A730" s="27"/>
      <c r="B730" s="27"/>
      <c r="C730" s="50"/>
      <c r="D730" s="27"/>
      <c r="E730" s="27"/>
      <c r="F730" s="51"/>
      <c r="G730" s="51"/>
      <c r="H730" s="51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48"/>
      <c r="AJ730" s="27"/>
      <c r="AK730" s="27"/>
      <c r="AL730" s="27"/>
      <c r="AM730" s="27"/>
      <c r="AN730" s="27"/>
      <c r="AO730" s="27"/>
      <c r="AP730" s="27"/>
      <c r="AQ730" s="27"/>
    </row>
    <row r="731" spans="1:43" ht="14.25" customHeight="1">
      <c r="A731" s="27"/>
      <c r="B731" s="27"/>
      <c r="C731" s="50"/>
      <c r="D731" s="27"/>
      <c r="E731" s="27"/>
      <c r="F731" s="51"/>
      <c r="G731" s="51"/>
      <c r="H731" s="51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48"/>
      <c r="AJ731" s="27"/>
      <c r="AK731" s="27"/>
      <c r="AL731" s="27"/>
      <c r="AM731" s="27"/>
      <c r="AN731" s="27"/>
      <c r="AO731" s="27"/>
      <c r="AP731" s="27"/>
      <c r="AQ731" s="27"/>
    </row>
    <row r="732" spans="1:43" ht="14.25" customHeight="1">
      <c r="A732" s="27"/>
      <c r="B732" s="27"/>
      <c r="C732" s="50"/>
      <c r="D732" s="27"/>
      <c r="E732" s="27"/>
      <c r="F732" s="51"/>
      <c r="G732" s="51"/>
      <c r="H732" s="51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48"/>
      <c r="AJ732" s="27"/>
      <c r="AK732" s="27"/>
      <c r="AL732" s="27"/>
      <c r="AM732" s="27"/>
      <c r="AN732" s="27"/>
      <c r="AO732" s="27"/>
      <c r="AP732" s="27"/>
      <c r="AQ732" s="27"/>
    </row>
    <row r="733" spans="1:43" ht="14.25" customHeight="1">
      <c r="A733" s="27"/>
      <c r="B733" s="27"/>
      <c r="C733" s="50"/>
      <c r="D733" s="27"/>
      <c r="E733" s="27"/>
      <c r="F733" s="51"/>
      <c r="G733" s="51"/>
      <c r="H733" s="51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48"/>
      <c r="AJ733" s="27"/>
      <c r="AK733" s="27"/>
      <c r="AL733" s="27"/>
      <c r="AM733" s="27"/>
      <c r="AN733" s="27"/>
      <c r="AO733" s="27"/>
      <c r="AP733" s="27"/>
      <c r="AQ733" s="27"/>
    </row>
    <row r="734" spans="1:43" ht="14.25" customHeight="1">
      <c r="A734" s="27"/>
      <c r="B734" s="27"/>
      <c r="C734" s="50"/>
      <c r="D734" s="27"/>
      <c r="E734" s="27"/>
      <c r="F734" s="51"/>
      <c r="G734" s="51"/>
      <c r="H734" s="51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48"/>
      <c r="AJ734" s="27"/>
      <c r="AK734" s="27"/>
      <c r="AL734" s="27"/>
      <c r="AM734" s="27"/>
      <c r="AN734" s="27"/>
      <c r="AO734" s="27"/>
      <c r="AP734" s="27"/>
      <c r="AQ734" s="27"/>
    </row>
    <row r="735" spans="1:43" ht="14.25" customHeight="1">
      <c r="A735" s="27"/>
      <c r="B735" s="27"/>
      <c r="C735" s="50"/>
      <c r="D735" s="27"/>
      <c r="E735" s="27"/>
      <c r="F735" s="51"/>
      <c r="G735" s="51"/>
      <c r="H735" s="51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48"/>
      <c r="AJ735" s="27"/>
      <c r="AK735" s="27"/>
      <c r="AL735" s="27"/>
      <c r="AM735" s="27"/>
      <c r="AN735" s="27"/>
      <c r="AO735" s="27"/>
      <c r="AP735" s="27"/>
      <c r="AQ735" s="27"/>
    </row>
    <row r="736" spans="1:43" ht="14.25" customHeight="1">
      <c r="A736" s="27"/>
      <c r="B736" s="27"/>
      <c r="C736" s="50"/>
      <c r="D736" s="27"/>
      <c r="E736" s="27"/>
      <c r="F736" s="51"/>
      <c r="G736" s="51"/>
      <c r="H736" s="51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48"/>
      <c r="AJ736" s="27"/>
      <c r="AK736" s="27"/>
      <c r="AL736" s="27"/>
      <c r="AM736" s="27"/>
      <c r="AN736" s="27"/>
      <c r="AO736" s="27"/>
      <c r="AP736" s="27"/>
      <c r="AQ736" s="27"/>
    </row>
    <row r="737" spans="1:43" ht="14.25" customHeight="1">
      <c r="A737" s="27"/>
      <c r="B737" s="27"/>
      <c r="C737" s="50"/>
      <c r="D737" s="27"/>
      <c r="E737" s="27"/>
      <c r="F737" s="51"/>
      <c r="G737" s="51"/>
      <c r="H737" s="51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48"/>
      <c r="AJ737" s="27"/>
      <c r="AK737" s="27"/>
      <c r="AL737" s="27"/>
      <c r="AM737" s="27"/>
      <c r="AN737" s="27"/>
      <c r="AO737" s="27"/>
      <c r="AP737" s="27"/>
      <c r="AQ737" s="27"/>
    </row>
    <row r="738" spans="1:43" ht="14.25" customHeight="1">
      <c r="A738" s="27"/>
      <c r="B738" s="27"/>
      <c r="C738" s="50"/>
      <c r="D738" s="27"/>
      <c r="E738" s="27"/>
      <c r="F738" s="51"/>
      <c r="G738" s="51"/>
      <c r="H738" s="51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48"/>
      <c r="AJ738" s="27"/>
      <c r="AK738" s="27"/>
      <c r="AL738" s="27"/>
      <c r="AM738" s="27"/>
      <c r="AN738" s="27"/>
      <c r="AO738" s="27"/>
      <c r="AP738" s="27"/>
      <c r="AQ738" s="27"/>
    </row>
    <row r="739" spans="1:43" ht="14.25" customHeight="1">
      <c r="A739" s="27"/>
      <c r="B739" s="27"/>
      <c r="C739" s="50"/>
      <c r="D739" s="27"/>
      <c r="E739" s="27"/>
      <c r="F739" s="51"/>
      <c r="G739" s="51"/>
      <c r="H739" s="51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48"/>
      <c r="AJ739" s="27"/>
      <c r="AK739" s="27"/>
      <c r="AL739" s="27"/>
      <c r="AM739" s="27"/>
      <c r="AN739" s="27"/>
      <c r="AO739" s="27"/>
      <c r="AP739" s="27"/>
      <c r="AQ739" s="27"/>
    </row>
    <row r="740" spans="1:43" ht="14.25" customHeight="1">
      <c r="A740" s="27"/>
      <c r="B740" s="27"/>
      <c r="C740" s="50"/>
      <c r="D740" s="27"/>
      <c r="E740" s="27"/>
      <c r="F740" s="51"/>
      <c r="G740" s="51"/>
      <c r="H740" s="51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48"/>
      <c r="AJ740" s="27"/>
      <c r="AK740" s="27"/>
      <c r="AL740" s="27"/>
      <c r="AM740" s="27"/>
      <c r="AN740" s="27"/>
      <c r="AO740" s="27"/>
      <c r="AP740" s="27"/>
      <c r="AQ740" s="27"/>
    </row>
    <row r="741" spans="1:43" ht="14.25" customHeight="1">
      <c r="A741" s="27"/>
      <c r="B741" s="27"/>
      <c r="C741" s="50"/>
      <c r="D741" s="27"/>
      <c r="E741" s="27"/>
      <c r="F741" s="51"/>
      <c r="G741" s="51"/>
      <c r="H741" s="51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48"/>
      <c r="AJ741" s="27"/>
      <c r="AK741" s="27"/>
      <c r="AL741" s="27"/>
      <c r="AM741" s="27"/>
      <c r="AN741" s="27"/>
      <c r="AO741" s="27"/>
      <c r="AP741" s="27"/>
      <c r="AQ741" s="27"/>
    </row>
    <row r="742" spans="1:43" ht="14.25" customHeight="1">
      <c r="A742" s="27"/>
      <c r="B742" s="27"/>
      <c r="C742" s="50"/>
      <c r="D742" s="27"/>
      <c r="E742" s="27"/>
      <c r="F742" s="51"/>
      <c r="G742" s="51"/>
      <c r="H742" s="51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48"/>
      <c r="AJ742" s="27"/>
      <c r="AK742" s="27"/>
      <c r="AL742" s="27"/>
      <c r="AM742" s="27"/>
      <c r="AN742" s="27"/>
      <c r="AO742" s="27"/>
      <c r="AP742" s="27"/>
      <c r="AQ742" s="27"/>
    </row>
    <row r="743" spans="1:43" ht="14.25" customHeight="1">
      <c r="A743" s="27"/>
      <c r="B743" s="27"/>
      <c r="C743" s="50"/>
      <c r="D743" s="27"/>
      <c r="E743" s="27"/>
      <c r="F743" s="51"/>
      <c r="G743" s="51"/>
      <c r="H743" s="51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48"/>
      <c r="AJ743" s="27"/>
      <c r="AK743" s="27"/>
      <c r="AL743" s="27"/>
      <c r="AM743" s="27"/>
      <c r="AN743" s="27"/>
      <c r="AO743" s="27"/>
      <c r="AP743" s="27"/>
      <c r="AQ743" s="27"/>
    </row>
    <row r="744" spans="1:43" ht="14.25" customHeight="1">
      <c r="A744" s="27"/>
      <c r="B744" s="27"/>
      <c r="C744" s="50"/>
      <c r="D744" s="27"/>
      <c r="E744" s="27"/>
      <c r="F744" s="51"/>
      <c r="G744" s="51"/>
      <c r="H744" s="51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48"/>
      <c r="AJ744" s="27"/>
      <c r="AK744" s="27"/>
      <c r="AL744" s="27"/>
      <c r="AM744" s="27"/>
      <c r="AN744" s="27"/>
      <c r="AO744" s="27"/>
      <c r="AP744" s="27"/>
      <c r="AQ744" s="27"/>
    </row>
    <row r="745" spans="1:43" ht="14.25" customHeight="1">
      <c r="A745" s="27"/>
      <c r="B745" s="27"/>
      <c r="C745" s="50"/>
      <c r="D745" s="27"/>
      <c r="E745" s="27"/>
      <c r="F745" s="51"/>
      <c r="G745" s="51"/>
      <c r="H745" s="51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48"/>
      <c r="AJ745" s="27"/>
      <c r="AK745" s="27"/>
      <c r="AL745" s="27"/>
      <c r="AM745" s="27"/>
      <c r="AN745" s="27"/>
      <c r="AO745" s="27"/>
      <c r="AP745" s="27"/>
      <c r="AQ745" s="27"/>
    </row>
    <row r="746" spans="1:43" ht="14.25" customHeight="1">
      <c r="A746" s="27"/>
      <c r="B746" s="27"/>
      <c r="C746" s="50"/>
      <c r="D746" s="27"/>
      <c r="E746" s="27"/>
      <c r="F746" s="51"/>
      <c r="G746" s="51"/>
      <c r="H746" s="51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48"/>
      <c r="AJ746" s="27"/>
      <c r="AK746" s="27"/>
      <c r="AL746" s="27"/>
      <c r="AM746" s="27"/>
      <c r="AN746" s="27"/>
      <c r="AO746" s="27"/>
      <c r="AP746" s="27"/>
      <c r="AQ746" s="27"/>
    </row>
    <row r="747" spans="1:43" ht="14.25" customHeight="1">
      <c r="A747" s="27"/>
      <c r="B747" s="27"/>
      <c r="C747" s="50"/>
      <c r="D747" s="27"/>
      <c r="E747" s="27"/>
      <c r="F747" s="51"/>
      <c r="G747" s="51"/>
      <c r="H747" s="51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48"/>
      <c r="AJ747" s="27"/>
      <c r="AK747" s="27"/>
      <c r="AL747" s="27"/>
      <c r="AM747" s="27"/>
      <c r="AN747" s="27"/>
      <c r="AO747" s="27"/>
      <c r="AP747" s="27"/>
      <c r="AQ747" s="27"/>
    </row>
    <row r="748" spans="1:43" ht="14.25" customHeight="1">
      <c r="A748" s="27"/>
      <c r="B748" s="27"/>
      <c r="C748" s="50"/>
      <c r="D748" s="27"/>
      <c r="E748" s="27"/>
      <c r="F748" s="51"/>
      <c r="G748" s="51"/>
      <c r="H748" s="51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48"/>
      <c r="AJ748" s="27"/>
      <c r="AK748" s="27"/>
      <c r="AL748" s="27"/>
      <c r="AM748" s="27"/>
      <c r="AN748" s="27"/>
      <c r="AO748" s="27"/>
      <c r="AP748" s="27"/>
      <c r="AQ748" s="27"/>
    </row>
    <row r="749" spans="1:43" ht="14.25" customHeight="1">
      <c r="A749" s="27"/>
      <c r="B749" s="27"/>
      <c r="C749" s="50"/>
      <c r="D749" s="27"/>
      <c r="E749" s="27"/>
      <c r="F749" s="51"/>
      <c r="G749" s="51"/>
      <c r="H749" s="51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48"/>
      <c r="AJ749" s="27"/>
      <c r="AK749" s="27"/>
      <c r="AL749" s="27"/>
      <c r="AM749" s="27"/>
      <c r="AN749" s="27"/>
      <c r="AO749" s="27"/>
      <c r="AP749" s="27"/>
      <c r="AQ749" s="27"/>
    </row>
    <row r="750" spans="1:43" ht="14.25" customHeight="1">
      <c r="A750" s="27"/>
      <c r="B750" s="27"/>
      <c r="C750" s="50"/>
      <c r="D750" s="27"/>
      <c r="E750" s="27"/>
      <c r="F750" s="51"/>
      <c r="G750" s="51"/>
      <c r="H750" s="51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48"/>
      <c r="AJ750" s="27"/>
      <c r="AK750" s="27"/>
      <c r="AL750" s="27"/>
      <c r="AM750" s="27"/>
      <c r="AN750" s="27"/>
      <c r="AO750" s="27"/>
      <c r="AP750" s="27"/>
      <c r="AQ750" s="27"/>
    </row>
    <row r="751" spans="1:43" ht="14.25" customHeight="1">
      <c r="A751" s="27"/>
      <c r="B751" s="27"/>
      <c r="C751" s="50"/>
      <c r="D751" s="27"/>
      <c r="E751" s="27"/>
      <c r="F751" s="51"/>
      <c r="G751" s="51"/>
      <c r="H751" s="51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48"/>
      <c r="AJ751" s="27"/>
      <c r="AK751" s="27"/>
      <c r="AL751" s="27"/>
      <c r="AM751" s="27"/>
      <c r="AN751" s="27"/>
      <c r="AO751" s="27"/>
      <c r="AP751" s="27"/>
      <c r="AQ751" s="27"/>
    </row>
    <row r="752" spans="1:43" ht="14.25" customHeight="1">
      <c r="A752" s="27"/>
      <c r="B752" s="27"/>
      <c r="C752" s="50"/>
      <c r="D752" s="27"/>
      <c r="E752" s="27"/>
      <c r="F752" s="51"/>
      <c r="G752" s="51"/>
      <c r="H752" s="51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48"/>
      <c r="AJ752" s="27"/>
      <c r="AK752" s="27"/>
      <c r="AL752" s="27"/>
      <c r="AM752" s="27"/>
      <c r="AN752" s="27"/>
      <c r="AO752" s="27"/>
      <c r="AP752" s="27"/>
      <c r="AQ752" s="27"/>
    </row>
    <row r="753" spans="1:43" ht="14.25" customHeight="1">
      <c r="A753" s="27"/>
      <c r="B753" s="27"/>
      <c r="C753" s="50"/>
      <c r="D753" s="27"/>
      <c r="E753" s="27"/>
      <c r="F753" s="51"/>
      <c r="G753" s="51"/>
      <c r="H753" s="51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48"/>
      <c r="AJ753" s="27"/>
      <c r="AK753" s="27"/>
      <c r="AL753" s="27"/>
      <c r="AM753" s="27"/>
      <c r="AN753" s="27"/>
      <c r="AO753" s="27"/>
      <c r="AP753" s="27"/>
      <c r="AQ753" s="27"/>
    </row>
    <row r="754" spans="1:43" ht="14.25" customHeight="1">
      <c r="A754" s="27"/>
      <c r="B754" s="27"/>
      <c r="C754" s="50"/>
      <c r="D754" s="27"/>
      <c r="E754" s="27"/>
      <c r="F754" s="51"/>
      <c r="G754" s="51"/>
      <c r="H754" s="51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48"/>
      <c r="AJ754" s="27"/>
      <c r="AK754" s="27"/>
      <c r="AL754" s="27"/>
      <c r="AM754" s="27"/>
      <c r="AN754" s="27"/>
      <c r="AO754" s="27"/>
      <c r="AP754" s="27"/>
      <c r="AQ754" s="27"/>
    </row>
    <row r="755" spans="1:43" ht="14.25" customHeight="1">
      <c r="A755" s="27"/>
      <c r="B755" s="27"/>
      <c r="C755" s="50"/>
      <c r="D755" s="27"/>
      <c r="E755" s="27"/>
      <c r="F755" s="51"/>
      <c r="G755" s="51"/>
      <c r="H755" s="51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48"/>
      <c r="AJ755" s="27"/>
      <c r="AK755" s="27"/>
      <c r="AL755" s="27"/>
      <c r="AM755" s="27"/>
      <c r="AN755" s="27"/>
      <c r="AO755" s="27"/>
      <c r="AP755" s="27"/>
      <c r="AQ755" s="27"/>
    </row>
    <row r="756" spans="1:43" ht="14.25" customHeight="1">
      <c r="A756" s="27"/>
      <c r="B756" s="27"/>
      <c r="C756" s="50"/>
      <c r="D756" s="27"/>
      <c r="E756" s="27"/>
      <c r="F756" s="51"/>
      <c r="G756" s="51"/>
      <c r="H756" s="51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48"/>
      <c r="AJ756" s="27"/>
      <c r="AK756" s="27"/>
      <c r="AL756" s="27"/>
      <c r="AM756" s="27"/>
      <c r="AN756" s="27"/>
      <c r="AO756" s="27"/>
      <c r="AP756" s="27"/>
      <c r="AQ756" s="27"/>
    </row>
    <row r="757" spans="1:43" ht="14.25" customHeight="1">
      <c r="A757" s="27"/>
      <c r="B757" s="27"/>
      <c r="C757" s="50"/>
      <c r="D757" s="27"/>
      <c r="E757" s="27"/>
      <c r="F757" s="51"/>
      <c r="G757" s="51"/>
      <c r="H757" s="51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48"/>
      <c r="AJ757" s="27"/>
      <c r="AK757" s="27"/>
      <c r="AL757" s="27"/>
      <c r="AM757" s="27"/>
      <c r="AN757" s="27"/>
      <c r="AO757" s="27"/>
      <c r="AP757" s="27"/>
      <c r="AQ757" s="27"/>
    </row>
    <row r="758" spans="1:43" ht="14.25" customHeight="1">
      <c r="A758" s="27"/>
      <c r="B758" s="27"/>
      <c r="C758" s="50"/>
      <c r="D758" s="27"/>
      <c r="E758" s="27"/>
      <c r="F758" s="51"/>
      <c r="G758" s="51"/>
      <c r="H758" s="51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48"/>
      <c r="AJ758" s="27"/>
      <c r="AK758" s="27"/>
      <c r="AL758" s="27"/>
      <c r="AM758" s="27"/>
      <c r="AN758" s="27"/>
      <c r="AO758" s="27"/>
      <c r="AP758" s="27"/>
      <c r="AQ758" s="27"/>
    </row>
    <row r="759" spans="1:43" ht="14.25" customHeight="1">
      <c r="A759" s="27"/>
      <c r="B759" s="27"/>
      <c r="C759" s="50"/>
      <c r="D759" s="27"/>
      <c r="E759" s="27"/>
      <c r="F759" s="51"/>
      <c r="G759" s="51"/>
      <c r="H759" s="51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48"/>
      <c r="AJ759" s="27"/>
      <c r="AK759" s="27"/>
      <c r="AL759" s="27"/>
      <c r="AM759" s="27"/>
      <c r="AN759" s="27"/>
      <c r="AO759" s="27"/>
      <c r="AP759" s="27"/>
      <c r="AQ759" s="27"/>
    </row>
    <row r="760" spans="1:43" ht="14.25" customHeight="1">
      <c r="A760" s="27"/>
      <c r="B760" s="27"/>
      <c r="C760" s="50"/>
      <c r="D760" s="27"/>
      <c r="E760" s="27"/>
      <c r="F760" s="51"/>
      <c r="G760" s="51"/>
      <c r="H760" s="51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48"/>
      <c r="AJ760" s="27"/>
      <c r="AK760" s="27"/>
      <c r="AL760" s="27"/>
      <c r="AM760" s="27"/>
      <c r="AN760" s="27"/>
      <c r="AO760" s="27"/>
      <c r="AP760" s="27"/>
      <c r="AQ760" s="27"/>
    </row>
    <row r="761" spans="1:43" ht="14.25" customHeight="1">
      <c r="A761" s="27"/>
      <c r="B761" s="27"/>
      <c r="C761" s="50"/>
      <c r="D761" s="27"/>
      <c r="E761" s="27"/>
      <c r="F761" s="51"/>
      <c r="G761" s="51"/>
      <c r="H761" s="51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48"/>
      <c r="AJ761" s="27"/>
      <c r="AK761" s="27"/>
      <c r="AL761" s="27"/>
      <c r="AM761" s="27"/>
      <c r="AN761" s="27"/>
      <c r="AO761" s="27"/>
      <c r="AP761" s="27"/>
      <c r="AQ761" s="27"/>
    </row>
    <row r="762" spans="1:43" ht="14.25" customHeight="1">
      <c r="A762" s="27"/>
      <c r="B762" s="27"/>
      <c r="C762" s="50"/>
      <c r="D762" s="27"/>
      <c r="E762" s="27"/>
      <c r="F762" s="51"/>
      <c r="G762" s="51"/>
      <c r="H762" s="51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48"/>
      <c r="AJ762" s="27"/>
      <c r="AK762" s="27"/>
      <c r="AL762" s="27"/>
      <c r="AM762" s="27"/>
      <c r="AN762" s="27"/>
      <c r="AO762" s="27"/>
      <c r="AP762" s="27"/>
      <c r="AQ762" s="27"/>
    </row>
    <row r="763" spans="1:43" ht="14.25" customHeight="1">
      <c r="A763" s="27"/>
      <c r="B763" s="27"/>
      <c r="C763" s="50"/>
      <c r="D763" s="27"/>
      <c r="E763" s="27"/>
      <c r="F763" s="51"/>
      <c r="G763" s="51"/>
      <c r="H763" s="51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48"/>
      <c r="AJ763" s="27"/>
      <c r="AK763" s="27"/>
      <c r="AL763" s="27"/>
      <c r="AM763" s="27"/>
      <c r="AN763" s="27"/>
      <c r="AO763" s="27"/>
      <c r="AP763" s="27"/>
      <c r="AQ763" s="27"/>
    </row>
    <row r="764" spans="1:43" ht="14.25" customHeight="1">
      <c r="A764" s="27"/>
      <c r="B764" s="27"/>
      <c r="C764" s="50"/>
      <c r="D764" s="27"/>
      <c r="E764" s="27"/>
      <c r="F764" s="51"/>
      <c r="G764" s="51"/>
      <c r="H764" s="51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48"/>
      <c r="AJ764" s="27"/>
      <c r="AK764" s="27"/>
      <c r="AL764" s="27"/>
      <c r="AM764" s="27"/>
      <c r="AN764" s="27"/>
      <c r="AO764" s="27"/>
      <c r="AP764" s="27"/>
      <c r="AQ764" s="27"/>
    </row>
    <row r="765" spans="1:43" ht="14.25" customHeight="1">
      <c r="A765" s="27"/>
      <c r="B765" s="27"/>
      <c r="C765" s="50"/>
      <c r="D765" s="27"/>
      <c r="E765" s="27"/>
      <c r="F765" s="51"/>
      <c r="G765" s="51"/>
      <c r="H765" s="51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48"/>
      <c r="AJ765" s="27"/>
      <c r="AK765" s="27"/>
      <c r="AL765" s="27"/>
      <c r="AM765" s="27"/>
      <c r="AN765" s="27"/>
      <c r="AO765" s="27"/>
      <c r="AP765" s="27"/>
      <c r="AQ765" s="27"/>
    </row>
    <row r="766" spans="1:43" ht="14.25" customHeight="1">
      <c r="A766" s="27"/>
      <c r="B766" s="27"/>
      <c r="C766" s="50"/>
      <c r="D766" s="27"/>
      <c r="E766" s="27"/>
      <c r="F766" s="51"/>
      <c r="G766" s="51"/>
      <c r="H766" s="51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48"/>
      <c r="AJ766" s="27"/>
      <c r="AK766" s="27"/>
      <c r="AL766" s="27"/>
      <c r="AM766" s="27"/>
      <c r="AN766" s="27"/>
      <c r="AO766" s="27"/>
      <c r="AP766" s="27"/>
      <c r="AQ766" s="27"/>
    </row>
    <row r="767" spans="1:43" ht="14.25" customHeight="1">
      <c r="A767" s="27"/>
      <c r="B767" s="27"/>
      <c r="C767" s="50"/>
      <c r="D767" s="27"/>
      <c r="E767" s="27"/>
      <c r="F767" s="51"/>
      <c r="G767" s="51"/>
      <c r="H767" s="51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48"/>
      <c r="AJ767" s="27"/>
      <c r="AK767" s="27"/>
      <c r="AL767" s="27"/>
      <c r="AM767" s="27"/>
      <c r="AN767" s="27"/>
      <c r="AO767" s="27"/>
      <c r="AP767" s="27"/>
      <c r="AQ767" s="27"/>
    </row>
    <row r="768" spans="1:43" ht="14.25" customHeight="1">
      <c r="A768" s="27"/>
      <c r="B768" s="27"/>
      <c r="C768" s="50"/>
      <c r="D768" s="27"/>
      <c r="E768" s="27"/>
      <c r="F768" s="51"/>
      <c r="G768" s="51"/>
      <c r="H768" s="51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48"/>
      <c r="AJ768" s="27"/>
      <c r="AK768" s="27"/>
      <c r="AL768" s="27"/>
      <c r="AM768" s="27"/>
      <c r="AN768" s="27"/>
      <c r="AO768" s="27"/>
      <c r="AP768" s="27"/>
      <c r="AQ768" s="27"/>
    </row>
    <row r="769" spans="1:43" ht="14.25" customHeight="1">
      <c r="A769" s="27"/>
      <c r="B769" s="27"/>
      <c r="C769" s="50"/>
      <c r="D769" s="27"/>
      <c r="E769" s="27"/>
      <c r="F769" s="51"/>
      <c r="G769" s="51"/>
      <c r="H769" s="51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48"/>
      <c r="AJ769" s="27"/>
      <c r="AK769" s="27"/>
      <c r="AL769" s="27"/>
      <c r="AM769" s="27"/>
      <c r="AN769" s="27"/>
      <c r="AO769" s="27"/>
      <c r="AP769" s="27"/>
      <c r="AQ769" s="27"/>
    </row>
    <row r="770" spans="1:43" ht="14.25" customHeight="1">
      <c r="A770" s="27"/>
      <c r="B770" s="27"/>
      <c r="C770" s="50"/>
      <c r="D770" s="27"/>
      <c r="E770" s="27"/>
      <c r="F770" s="51"/>
      <c r="G770" s="51"/>
      <c r="H770" s="51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48"/>
      <c r="AJ770" s="27"/>
      <c r="AK770" s="27"/>
      <c r="AL770" s="27"/>
      <c r="AM770" s="27"/>
      <c r="AN770" s="27"/>
      <c r="AO770" s="27"/>
      <c r="AP770" s="27"/>
      <c r="AQ770" s="27"/>
    </row>
    <row r="771" spans="1:43" ht="14.25" customHeight="1">
      <c r="A771" s="27"/>
      <c r="B771" s="27"/>
      <c r="C771" s="50"/>
      <c r="D771" s="27"/>
      <c r="E771" s="27"/>
      <c r="F771" s="51"/>
      <c r="G771" s="51"/>
      <c r="H771" s="51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48"/>
      <c r="AJ771" s="27"/>
      <c r="AK771" s="27"/>
      <c r="AL771" s="27"/>
      <c r="AM771" s="27"/>
      <c r="AN771" s="27"/>
      <c r="AO771" s="27"/>
      <c r="AP771" s="27"/>
      <c r="AQ771" s="27"/>
    </row>
    <row r="772" spans="1:43" ht="14.25" customHeight="1">
      <c r="A772" s="27"/>
      <c r="B772" s="27"/>
      <c r="C772" s="50"/>
      <c r="D772" s="27"/>
      <c r="E772" s="27"/>
      <c r="F772" s="51"/>
      <c r="G772" s="51"/>
      <c r="H772" s="51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48"/>
      <c r="AJ772" s="27"/>
      <c r="AK772" s="27"/>
      <c r="AL772" s="27"/>
      <c r="AM772" s="27"/>
      <c r="AN772" s="27"/>
      <c r="AO772" s="27"/>
      <c r="AP772" s="27"/>
      <c r="AQ772" s="27"/>
    </row>
    <row r="773" spans="1:43" ht="14.25" customHeight="1">
      <c r="A773" s="27"/>
      <c r="B773" s="27"/>
      <c r="C773" s="50"/>
      <c r="D773" s="27"/>
      <c r="E773" s="27"/>
      <c r="F773" s="51"/>
      <c r="G773" s="51"/>
      <c r="H773" s="51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48"/>
      <c r="AJ773" s="27"/>
      <c r="AK773" s="27"/>
      <c r="AL773" s="27"/>
      <c r="AM773" s="27"/>
      <c r="AN773" s="27"/>
      <c r="AO773" s="27"/>
      <c r="AP773" s="27"/>
      <c r="AQ773" s="27"/>
    </row>
    <row r="774" spans="1:43" ht="14.25" customHeight="1">
      <c r="A774" s="27"/>
      <c r="B774" s="27"/>
      <c r="C774" s="50"/>
      <c r="D774" s="27"/>
      <c r="E774" s="27"/>
      <c r="F774" s="51"/>
      <c r="G774" s="51"/>
      <c r="H774" s="51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48"/>
      <c r="AJ774" s="27"/>
      <c r="AK774" s="27"/>
      <c r="AL774" s="27"/>
      <c r="AM774" s="27"/>
      <c r="AN774" s="27"/>
      <c r="AO774" s="27"/>
      <c r="AP774" s="27"/>
      <c r="AQ774" s="27"/>
    </row>
    <row r="775" spans="1:43" ht="14.25" customHeight="1">
      <c r="A775" s="27"/>
      <c r="B775" s="27"/>
      <c r="C775" s="50"/>
      <c r="D775" s="27"/>
      <c r="E775" s="27"/>
      <c r="F775" s="51"/>
      <c r="G775" s="51"/>
      <c r="H775" s="51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48"/>
      <c r="AJ775" s="27"/>
      <c r="AK775" s="27"/>
      <c r="AL775" s="27"/>
      <c r="AM775" s="27"/>
      <c r="AN775" s="27"/>
      <c r="AO775" s="27"/>
      <c r="AP775" s="27"/>
      <c r="AQ775" s="27"/>
    </row>
    <row r="776" spans="1:43" ht="14.25" customHeight="1">
      <c r="A776" s="27"/>
      <c r="B776" s="27"/>
      <c r="C776" s="50"/>
      <c r="D776" s="27"/>
      <c r="E776" s="27"/>
      <c r="F776" s="51"/>
      <c r="G776" s="51"/>
      <c r="H776" s="51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48"/>
      <c r="AJ776" s="27"/>
      <c r="AK776" s="27"/>
      <c r="AL776" s="27"/>
      <c r="AM776" s="27"/>
      <c r="AN776" s="27"/>
      <c r="AO776" s="27"/>
      <c r="AP776" s="27"/>
      <c r="AQ776" s="27"/>
    </row>
    <row r="777" spans="1:43" ht="14.25" customHeight="1">
      <c r="A777" s="27"/>
      <c r="B777" s="27"/>
      <c r="C777" s="50"/>
      <c r="D777" s="27"/>
      <c r="E777" s="27"/>
      <c r="F777" s="51"/>
      <c r="G777" s="51"/>
      <c r="H777" s="51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48"/>
      <c r="AJ777" s="27"/>
      <c r="AK777" s="27"/>
      <c r="AL777" s="27"/>
      <c r="AM777" s="27"/>
      <c r="AN777" s="27"/>
      <c r="AO777" s="27"/>
      <c r="AP777" s="27"/>
      <c r="AQ777" s="27"/>
    </row>
    <row r="778" spans="1:43" ht="14.25" customHeight="1">
      <c r="A778" s="27"/>
      <c r="B778" s="27"/>
      <c r="C778" s="50"/>
      <c r="D778" s="27"/>
      <c r="E778" s="27"/>
      <c r="F778" s="51"/>
      <c r="G778" s="51"/>
      <c r="H778" s="51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48"/>
      <c r="AJ778" s="27"/>
      <c r="AK778" s="27"/>
      <c r="AL778" s="27"/>
      <c r="AM778" s="27"/>
      <c r="AN778" s="27"/>
      <c r="AO778" s="27"/>
      <c r="AP778" s="27"/>
      <c r="AQ778" s="27"/>
    </row>
    <row r="779" spans="1:43" ht="14.25" customHeight="1">
      <c r="A779" s="27"/>
      <c r="B779" s="27"/>
      <c r="C779" s="50"/>
      <c r="D779" s="27"/>
      <c r="E779" s="27"/>
      <c r="F779" s="51"/>
      <c r="G779" s="51"/>
      <c r="H779" s="51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48"/>
      <c r="AJ779" s="27"/>
      <c r="AK779" s="27"/>
      <c r="AL779" s="27"/>
      <c r="AM779" s="27"/>
      <c r="AN779" s="27"/>
      <c r="AO779" s="27"/>
      <c r="AP779" s="27"/>
      <c r="AQ779" s="27"/>
    </row>
    <row r="780" spans="1:43" ht="14.25" customHeight="1">
      <c r="A780" s="27"/>
      <c r="B780" s="27"/>
      <c r="C780" s="50"/>
      <c r="D780" s="27"/>
      <c r="E780" s="27"/>
      <c r="F780" s="51"/>
      <c r="G780" s="51"/>
      <c r="H780" s="51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48"/>
      <c r="AJ780" s="27"/>
      <c r="AK780" s="27"/>
      <c r="AL780" s="27"/>
      <c r="AM780" s="27"/>
      <c r="AN780" s="27"/>
      <c r="AO780" s="27"/>
      <c r="AP780" s="27"/>
      <c r="AQ780" s="27"/>
    </row>
    <row r="781" spans="1:43" ht="14.25" customHeight="1">
      <c r="A781" s="27"/>
      <c r="B781" s="27"/>
      <c r="C781" s="50"/>
      <c r="D781" s="27"/>
      <c r="E781" s="27"/>
      <c r="F781" s="51"/>
      <c r="G781" s="51"/>
      <c r="H781" s="51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48"/>
      <c r="AJ781" s="27"/>
      <c r="AK781" s="27"/>
      <c r="AL781" s="27"/>
      <c r="AM781" s="27"/>
      <c r="AN781" s="27"/>
      <c r="AO781" s="27"/>
      <c r="AP781" s="27"/>
      <c r="AQ781" s="27"/>
    </row>
    <row r="782" spans="1:43" ht="14.25" customHeight="1">
      <c r="A782" s="27"/>
      <c r="B782" s="27"/>
      <c r="C782" s="50"/>
      <c r="D782" s="27"/>
      <c r="E782" s="27"/>
      <c r="F782" s="51"/>
      <c r="G782" s="51"/>
      <c r="H782" s="51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48"/>
      <c r="AJ782" s="27"/>
      <c r="AK782" s="27"/>
      <c r="AL782" s="27"/>
      <c r="AM782" s="27"/>
      <c r="AN782" s="27"/>
      <c r="AO782" s="27"/>
      <c r="AP782" s="27"/>
      <c r="AQ782" s="27"/>
    </row>
    <row r="783" spans="1:43" ht="14.25" customHeight="1">
      <c r="A783" s="27"/>
      <c r="B783" s="27"/>
      <c r="C783" s="50"/>
      <c r="D783" s="27"/>
      <c r="E783" s="27"/>
      <c r="F783" s="51"/>
      <c r="G783" s="51"/>
      <c r="H783" s="51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48"/>
      <c r="AJ783" s="27"/>
      <c r="AK783" s="27"/>
      <c r="AL783" s="27"/>
      <c r="AM783" s="27"/>
      <c r="AN783" s="27"/>
      <c r="AO783" s="27"/>
      <c r="AP783" s="27"/>
      <c r="AQ783" s="27"/>
    </row>
    <row r="784" spans="1:43" ht="14.25" customHeight="1">
      <c r="A784" s="27"/>
      <c r="B784" s="27"/>
      <c r="C784" s="50"/>
      <c r="D784" s="27"/>
      <c r="E784" s="27"/>
      <c r="F784" s="51"/>
      <c r="G784" s="51"/>
      <c r="H784" s="51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48"/>
      <c r="AJ784" s="27"/>
      <c r="AK784" s="27"/>
      <c r="AL784" s="27"/>
      <c r="AM784" s="27"/>
      <c r="AN784" s="27"/>
      <c r="AO784" s="27"/>
      <c r="AP784" s="27"/>
      <c r="AQ784" s="27"/>
    </row>
    <row r="785" spans="1:43" ht="14.25" customHeight="1">
      <c r="A785" s="27"/>
      <c r="B785" s="27"/>
      <c r="C785" s="50"/>
      <c r="D785" s="27"/>
      <c r="E785" s="27"/>
      <c r="F785" s="51"/>
      <c r="G785" s="51"/>
      <c r="H785" s="51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48"/>
      <c r="AJ785" s="27"/>
      <c r="AK785" s="27"/>
      <c r="AL785" s="27"/>
      <c r="AM785" s="27"/>
      <c r="AN785" s="27"/>
      <c r="AO785" s="27"/>
      <c r="AP785" s="27"/>
      <c r="AQ785" s="27"/>
    </row>
    <row r="786" spans="1:43" ht="14.25" customHeight="1">
      <c r="A786" s="27"/>
      <c r="B786" s="27"/>
      <c r="C786" s="50"/>
      <c r="D786" s="27"/>
      <c r="E786" s="27"/>
      <c r="F786" s="51"/>
      <c r="G786" s="51"/>
      <c r="H786" s="51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48"/>
      <c r="AJ786" s="27"/>
      <c r="AK786" s="27"/>
      <c r="AL786" s="27"/>
      <c r="AM786" s="27"/>
      <c r="AN786" s="27"/>
      <c r="AO786" s="27"/>
      <c r="AP786" s="27"/>
      <c r="AQ786" s="27"/>
    </row>
    <row r="787" spans="1:43" ht="14.25" customHeight="1">
      <c r="A787" s="27"/>
      <c r="B787" s="27"/>
      <c r="C787" s="50"/>
      <c r="D787" s="27"/>
      <c r="E787" s="27"/>
      <c r="F787" s="51"/>
      <c r="G787" s="51"/>
      <c r="H787" s="51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48"/>
      <c r="AJ787" s="27"/>
      <c r="AK787" s="27"/>
      <c r="AL787" s="27"/>
      <c r="AM787" s="27"/>
      <c r="AN787" s="27"/>
      <c r="AO787" s="27"/>
      <c r="AP787" s="27"/>
      <c r="AQ787" s="27"/>
    </row>
    <row r="788" spans="1:43" ht="14.25" customHeight="1">
      <c r="A788" s="27"/>
      <c r="B788" s="27"/>
      <c r="C788" s="50"/>
      <c r="D788" s="27"/>
      <c r="E788" s="27"/>
      <c r="F788" s="51"/>
      <c r="G788" s="51"/>
      <c r="H788" s="51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48"/>
      <c r="AJ788" s="27"/>
      <c r="AK788" s="27"/>
      <c r="AL788" s="27"/>
      <c r="AM788" s="27"/>
      <c r="AN788" s="27"/>
      <c r="AO788" s="27"/>
      <c r="AP788" s="27"/>
      <c r="AQ788" s="27"/>
    </row>
    <row r="789" spans="1:43" ht="14.25" customHeight="1">
      <c r="A789" s="27"/>
      <c r="B789" s="27"/>
      <c r="C789" s="50"/>
      <c r="D789" s="27"/>
      <c r="E789" s="27"/>
      <c r="F789" s="51"/>
      <c r="G789" s="51"/>
      <c r="H789" s="51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48"/>
      <c r="AJ789" s="27"/>
      <c r="AK789" s="27"/>
      <c r="AL789" s="27"/>
      <c r="AM789" s="27"/>
      <c r="AN789" s="27"/>
      <c r="AO789" s="27"/>
      <c r="AP789" s="27"/>
      <c r="AQ789" s="27"/>
    </row>
    <row r="790" spans="1:43" ht="14.25" customHeight="1">
      <c r="A790" s="27"/>
      <c r="B790" s="27"/>
      <c r="C790" s="50"/>
      <c r="D790" s="27"/>
      <c r="E790" s="27"/>
      <c r="F790" s="51"/>
      <c r="G790" s="51"/>
      <c r="H790" s="51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48"/>
      <c r="AJ790" s="27"/>
      <c r="AK790" s="27"/>
      <c r="AL790" s="27"/>
      <c r="AM790" s="27"/>
      <c r="AN790" s="27"/>
      <c r="AO790" s="27"/>
      <c r="AP790" s="27"/>
      <c r="AQ790" s="27"/>
    </row>
    <row r="791" spans="1:43" ht="14.25" customHeight="1">
      <c r="A791" s="27"/>
      <c r="B791" s="27"/>
      <c r="C791" s="50"/>
      <c r="D791" s="27"/>
      <c r="E791" s="27"/>
      <c r="F791" s="51"/>
      <c r="G791" s="51"/>
      <c r="H791" s="51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48"/>
      <c r="AJ791" s="27"/>
      <c r="AK791" s="27"/>
      <c r="AL791" s="27"/>
      <c r="AM791" s="27"/>
      <c r="AN791" s="27"/>
      <c r="AO791" s="27"/>
      <c r="AP791" s="27"/>
      <c r="AQ791" s="27"/>
    </row>
    <row r="792" spans="1:43" ht="14.25" customHeight="1">
      <c r="A792" s="27"/>
      <c r="B792" s="27"/>
      <c r="C792" s="50"/>
      <c r="D792" s="27"/>
      <c r="E792" s="27"/>
      <c r="F792" s="51"/>
      <c r="G792" s="51"/>
      <c r="H792" s="51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48"/>
      <c r="AJ792" s="27"/>
      <c r="AK792" s="27"/>
      <c r="AL792" s="27"/>
      <c r="AM792" s="27"/>
      <c r="AN792" s="27"/>
      <c r="AO792" s="27"/>
      <c r="AP792" s="27"/>
      <c r="AQ792" s="27"/>
    </row>
    <row r="793" spans="1:43" ht="14.25" customHeight="1">
      <c r="A793" s="27"/>
      <c r="B793" s="27"/>
      <c r="C793" s="50"/>
      <c r="D793" s="27"/>
      <c r="E793" s="27"/>
      <c r="F793" s="51"/>
      <c r="G793" s="51"/>
      <c r="H793" s="51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48"/>
      <c r="AJ793" s="27"/>
      <c r="AK793" s="27"/>
      <c r="AL793" s="27"/>
      <c r="AM793" s="27"/>
      <c r="AN793" s="27"/>
      <c r="AO793" s="27"/>
      <c r="AP793" s="27"/>
      <c r="AQ793" s="27"/>
    </row>
    <row r="794" spans="1:43" ht="14.25" customHeight="1">
      <c r="A794" s="27"/>
      <c r="B794" s="27"/>
      <c r="C794" s="50"/>
      <c r="D794" s="27"/>
      <c r="E794" s="27"/>
      <c r="F794" s="51"/>
      <c r="G794" s="51"/>
      <c r="H794" s="51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48"/>
      <c r="AJ794" s="27"/>
      <c r="AK794" s="27"/>
      <c r="AL794" s="27"/>
      <c r="AM794" s="27"/>
      <c r="AN794" s="27"/>
      <c r="AO794" s="27"/>
      <c r="AP794" s="27"/>
      <c r="AQ794" s="27"/>
    </row>
    <row r="795" spans="1:43" ht="14.25" customHeight="1">
      <c r="A795" s="27"/>
      <c r="B795" s="27"/>
      <c r="C795" s="50"/>
      <c r="D795" s="27"/>
      <c r="E795" s="27"/>
      <c r="F795" s="51"/>
      <c r="G795" s="51"/>
      <c r="H795" s="51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48"/>
      <c r="AJ795" s="27"/>
      <c r="AK795" s="27"/>
      <c r="AL795" s="27"/>
      <c r="AM795" s="27"/>
      <c r="AN795" s="27"/>
      <c r="AO795" s="27"/>
      <c r="AP795" s="27"/>
      <c r="AQ795" s="27"/>
    </row>
    <row r="796" spans="1:43" ht="14.25" customHeight="1">
      <c r="A796" s="27"/>
      <c r="B796" s="27"/>
      <c r="C796" s="50"/>
      <c r="D796" s="27"/>
      <c r="E796" s="27"/>
      <c r="F796" s="51"/>
      <c r="G796" s="51"/>
      <c r="H796" s="51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48"/>
      <c r="AJ796" s="27"/>
      <c r="AK796" s="27"/>
      <c r="AL796" s="27"/>
      <c r="AM796" s="27"/>
      <c r="AN796" s="27"/>
      <c r="AO796" s="27"/>
      <c r="AP796" s="27"/>
      <c r="AQ796" s="27"/>
    </row>
    <row r="797" spans="1:43" ht="14.25" customHeight="1">
      <c r="A797" s="27"/>
      <c r="B797" s="27"/>
      <c r="C797" s="50"/>
      <c r="D797" s="27"/>
      <c r="E797" s="27"/>
      <c r="F797" s="51"/>
      <c r="G797" s="51"/>
      <c r="H797" s="51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48"/>
      <c r="AJ797" s="27"/>
      <c r="AK797" s="27"/>
      <c r="AL797" s="27"/>
      <c r="AM797" s="27"/>
      <c r="AN797" s="27"/>
      <c r="AO797" s="27"/>
      <c r="AP797" s="27"/>
      <c r="AQ797" s="27"/>
    </row>
    <row r="798" spans="1:43" ht="14.25" customHeight="1">
      <c r="A798" s="27"/>
      <c r="B798" s="27"/>
      <c r="C798" s="50"/>
      <c r="D798" s="27"/>
      <c r="E798" s="27"/>
      <c r="F798" s="51"/>
      <c r="G798" s="51"/>
      <c r="H798" s="51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48"/>
      <c r="AJ798" s="27"/>
      <c r="AK798" s="27"/>
      <c r="AL798" s="27"/>
      <c r="AM798" s="27"/>
      <c r="AN798" s="27"/>
      <c r="AO798" s="27"/>
      <c r="AP798" s="27"/>
      <c r="AQ798" s="27"/>
    </row>
    <row r="799" spans="1:43" ht="14.25" customHeight="1">
      <c r="A799" s="27"/>
      <c r="B799" s="27"/>
      <c r="C799" s="50"/>
      <c r="D799" s="27"/>
      <c r="E799" s="27"/>
      <c r="F799" s="51"/>
      <c r="G799" s="51"/>
      <c r="H799" s="51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48"/>
      <c r="AJ799" s="27"/>
      <c r="AK799" s="27"/>
      <c r="AL799" s="27"/>
      <c r="AM799" s="27"/>
      <c r="AN799" s="27"/>
      <c r="AO799" s="27"/>
      <c r="AP799" s="27"/>
      <c r="AQ799" s="27"/>
    </row>
    <row r="800" spans="1:43" ht="14.25" customHeight="1">
      <c r="A800" s="27"/>
      <c r="B800" s="27"/>
      <c r="C800" s="50"/>
      <c r="D800" s="27"/>
      <c r="E800" s="27"/>
      <c r="F800" s="51"/>
      <c r="G800" s="51"/>
      <c r="H800" s="51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48"/>
      <c r="AJ800" s="27"/>
      <c r="AK800" s="27"/>
      <c r="AL800" s="27"/>
      <c r="AM800" s="27"/>
      <c r="AN800" s="27"/>
      <c r="AO800" s="27"/>
      <c r="AP800" s="27"/>
      <c r="AQ800" s="27"/>
    </row>
    <row r="801" spans="1:43" ht="14.25" customHeight="1">
      <c r="A801" s="27"/>
      <c r="B801" s="27"/>
      <c r="C801" s="50"/>
      <c r="D801" s="27"/>
      <c r="E801" s="27"/>
      <c r="F801" s="51"/>
      <c r="G801" s="51"/>
      <c r="H801" s="51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48"/>
      <c r="AJ801" s="27"/>
      <c r="AK801" s="27"/>
      <c r="AL801" s="27"/>
      <c r="AM801" s="27"/>
      <c r="AN801" s="27"/>
      <c r="AO801" s="27"/>
      <c r="AP801" s="27"/>
      <c r="AQ801" s="27"/>
    </row>
    <row r="802" spans="1:43" ht="14.25" customHeight="1">
      <c r="A802" s="27"/>
      <c r="B802" s="27"/>
      <c r="C802" s="50"/>
      <c r="D802" s="27"/>
      <c r="E802" s="27"/>
      <c r="F802" s="51"/>
      <c r="G802" s="51"/>
      <c r="H802" s="51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48"/>
      <c r="AJ802" s="27"/>
      <c r="AK802" s="27"/>
      <c r="AL802" s="27"/>
      <c r="AM802" s="27"/>
      <c r="AN802" s="27"/>
      <c r="AO802" s="27"/>
      <c r="AP802" s="27"/>
      <c r="AQ802" s="27"/>
    </row>
    <row r="803" spans="1:43" ht="14.25" customHeight="1">
      <c r="A803" s="27"/>
      <c r="B803" s="27"/>
      <c r="C803" s="50"/>
      <c r="D803" s="27"/>
      <c r="E803" s="27"/>
      <c r="F803" s="51"/>
      <c r="G803" s="51"/>
      <c r="H803" s="51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48"/>
      <c r="AJ803" s="27"/>
      <c r="AK803" s="27"/>
      <c r="AL803" s="27"/>
      <c r="AM803" s="27"/>
      <c r="AN803" s="27"/>
      <c r="AO803" s="27"/>
      <c r="AP803" s="27"/>
      <c r="AQ803" s="27"/>
    </row>
    <row r="804" spans="1:43" ht="14.25" customHeight="1">
      <c r="A804" s="27"/>
      <c r="B804" s="27"/>
      <c r="C804" s="50"/>
      <c r="D804" s="27"/>
      <c r="E804" s="27"/>
      <c r="F804" s="51"/>
      <c r="G804" s="51"/>
      <c r="H804" s="51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48"/>
      <c r="AJ804" s="27"/>
      <c r="AK804" s="27"/>
      <c r="AL804" s="27"/>
      <c r="AM804" s="27"/>
      <c r="AN804" s="27"/>
      <c r="AO804" s="27"/>
      <c r="AP804" s="27"/>
      <c r="AQ804" s="27"/>
    </row>
    <row r="805" spans="1:43" ht="14.25" customHeight="1">
      <c r="A805" s="27"/>
      <c r="B805" s="27"/>
      <c r="C805" s="50"/>
      <c r="D805" s="27"/>
      <c r="E805" s="27"/>
      <c r="F805" s="51"/>
      <c r="G805" s="51"/>
      <c r="H805" s="51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48"/>
      <c r="AJ805" s="27"/>
      <c r="AK805" s="27"/>
      <c r="AL805" s="27"/>
      <c r="AM805" s="27"/>
      <c r="AN805" s="27"/>
      <c r="AO805" s="27"/>
      <c r="AP805" s="27"/>
      <c r="AQ805" s="27"/>
    </row>
    <row r="806" spans="1:43" ht="14.25" customHeight="1">
      <c r="A806" s="27"/>
      <c r="B806" s="27"/>
      <c r="C806" s="50"/>
      <c r="D806" s="27"/>
      <c r="E806" s="27"/>
      <c r="F806" s="51"/>
      <c r="G806" s="51"/>
      <c r="H806" s="51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48"/>
      <c r="AJ806" s="27"/>
      <c r="AK806" s="27"/>
      <c r="AL806" s="27"/>
      <c r="AM806" s="27"/>
      <c r="AN806" s="27"/>
      <c r="AO806" s="27"/>
      <c r="AP806" s="27"/>
      <c r="AQ806" s="27"/>
    </row>
    <row r="807" spans="1:43" ht="14.25" customHeight="1">
      <c r="A807" s="27"/>
      <c r="B807" s="27"/>
      <c r="C807" s="50"/>
      <c r="D807" s="27"/>
      <c r="E807" s="27"/>
      <c r="F807" s="51"/>
      <c r="G807" s="51"/>
      <c r="H807" s="51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48"/>
      <c r="AJ807" s="27"/>
      <c r="AK807" s="27"/>
      <c r="AL807" s="27"/>
      <c r="AM807" s="27"/>
      <c r="AN807" s="27"/>
      <c r="AO807" s="27"/>
      <c r="AP807" s="27"/>
      <c r="AQ807" s="27"/>
    </row>
    <row r="808" spans="1:43" ht="14.25" customHeight="1">
      <c r="A808" s="27"/>
      <c r="B808" s="27"/>
      <c r="C808" s="50"/>
      <c r="D808" s="27"/>
      <c r="E808" s="27"/>
      <c r="F808" s="51"/>
      <c r="G808" s="51"/>
      <c r="H808" s="51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48"/>
      <c r="AJ808" s="27"/>
      <c r="AK808" s="27"/>
      <c r="AL808" s="27"/>
      <c r="AM808" s="27"/>
      <c r="AN808" s="27"/>
      <c r="AO808" s="27"/>
      <c r="AP808" s="27"/>
      <c r="AQ808" s="27"/>
    </row>
    <row r="809" spans="1:43" ht="14.25" customHeight="1">
      <c r="A809" s="27"/>
      <c r="B809" s="27"/>
      <c r="C809" s="50"/>
      <c r="D809" s="27"/>
      <c r="E809" s="27"/>
      <c r="F809" s="51"/>
      <c r="G809" s="51"/>
      <c r="H809" s="51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48"/>
      <c r="AJ809" s="27"/>
      <c r="AK809" s="27"/>
      <c r="AL809" s="27"/>
      <c r="AM809" s="27"/>
      <c r="AN809" s="27"/>
      <c r="AO809" s="27"/>
      <c r="AP809" s="27"/>
      <c r="AQ809" s="27"/>
    </row>
    <row r="810" spans="1:43" ht="14.25" customHeight="1">
      <c r="A810" s="27"/>
      <c r="B810" s="27"/>
      <c r="C810" s="50"/>
      <c r="D810" s="27"/>
      <c r="E810" s="27"/>
      <c r="F810" s="51"/>
      <c r="G810" s="51"/>
      <c r="H810" s="51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48"/>
      <c r="AJ810" s="27"/>
      <c r="AK810" s="27"/>
      <c r="AL810" s="27"/>
      <c r="AM810" s="27"/>
      <c r="AN810" s="27"/>
      <c r="AO810" s="27"/>
      <c r="AP810" s="27"/>
      <c r="AQ810" s="27"/>
    </row>
    <row r="811" spans="1:43" ht="14.25" customHeight="1">
      <c r="A811" s="27"/>
      <c r="B811" s="27"/>
      <c r="C811" s="50"/>
      <c r="D811" s="27"/>
      <c r="E811" s="27"/>
      <c r="F811" s="51"/>
      <c r="G811" s="51"/>
      <c r="H811" s="51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48"/>
      <c r="AJ811" s="27"/>
      <c r="AK811" s="27"/>
      <c r="AL811" s="27"/>
      <c r="AM811" s="27"/>
      <c r="AN811" s="27"/>
      <c r="AO811" s="27"/>
      <c r="AP811" s="27"/>
      <c r="AQ811" s="27"/>
    </row>
    <row r="812" spans="1:43" ht="14.25" customHeight="1">
      <c r="A812" s="27"/>
      <c r="B812" s="27"/>
      <c r="C812" s="50"/>
      <c r="D812" s="27"/>
      <c r="E812" s="27"/>
      <c r="F812" s="51"/>
      <c r="G812" s="51"/>
      <c r="H812" s="51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48"/>
      <c r="AJ812" s="27"/>
      <c r="AK812" s="27"/>
      <c r="AL812" s="27"/>
      <c r="AM812" s="27"/>
      <c r="AN812" s="27"/>
      <c r="AO812" s="27"/>
      <c r="AP812" s="27"/>
      <c r="AQ812" s="27"/>
    </row>
    <row r="813" spans="1:43" ht="14.25" customHeight="1">
      <c r="A813" s="27"/>
      <c r="B813" s="27"/>
      <c r="C813" s="50"/>
      <c r="D813" s="27"/>
      <c r="E813" s="27"/>
      <c r="F813" s="51"/>
      <c r="G813" s="51"/>
      <c r="H813" s="51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48"/>
      <c r="AJ813" s="27"/>
      <c r="AK813" s="27"/>
      <c r="AL813" s="27"/>
      <c r="AM813" s="27"/>
      <c r="AN813" s="27"/>
      <c r="AO813" s="27"/>
      <c r="AP813" s="27"/>
      <c r="AQ813" s="27"/>
    </row>
    <row r="814" spans="1:43" ht="14.25" customHeight="1">
      <c r="A814" s="27"/>
      <c r="B814" s="27"/>
      <c r="C814" s="50"/>
      <c r="D814" s="27"/>
      <c r="E814" s="27"/>
      <c r="F814" s="51"/>
      <c r="G814" s="51"/>
      <c r="H814" s="51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48"/>
      <c r="AJ814" s="27"/>
      <c r="AK814" s="27"/>
      <c r="AL814" s="27"/>
      <c r="AM814" s="27"/>
      <c r="AN814" s="27"/>
      <c r="AO814" s="27"/>
      <c r="AP814" s="27"/>
      <c r="AQ814" s="27"/>
    </row>
    <row r="815" spans="1:43" ht="14.25" customHeight="1">
      <c r="A815" s="27"/>
      <c r="B815" s="27"/>
      <c r="C815" s="50"/>
      <c r="D815" s="27"/>
      <c r="E815" s="27"/>
      <c r="F815" s="51"/>
      <c r="G815" s="51"/>
      <c r="H815" s="51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48"/>
      <c r="AJ815" s="27"/>
      <c r="AK815" s="27"/>
      <c r="AL815" s="27"/>
      <c r="AM815" s="27"/>
      <c r="AN815" s="27"/>
      <c r="AO815" s="27"/>
      <c r="AP815" s="27"/>
      <c r="AQ815" s="27"/>
    </row>
    <row r="816" spans="1:43" ht="14.25" customHeight="1">
      <c r="A816" s="27"/>
      <c r="B816" s="27"/>
      <c r="C816" s="50"/>
      <c r="D816" s="27"/>
      <c r="E816" s="27"/>
      <c r="F816" s="51"/>
      <c r="G816" s="51"/>
      <c r="H816" s="51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48"/>
      <c r="AJ816" s="27"/>
      <c r="AK816" s="27"/>
      <c r="AL816" s="27"/>
      <c r="AM816" s="27"/>
      <c r="AN816" s="27"/>
      <c r="AO816" s="27"/>
      <c r="AP816" s="27"/>
      <c r="AQ816" s="27"/>
    </row>
    <row r="817" spans="1:43" ht="14.25" customHeight="1">
      <c r="A817" s="27"/>
      <c r="B817" s="27"/>
      <c r="C817" s="50"/>
      <c r="D817" s="27"/>
      <c r="E817" s="27"/>
      <c r="F817" s="51"/>
      <c r="G817" s="51"/>
      <c r="H817" s="51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48"/>
      <c r="AJ817" s="27"/>
      <c r="AK817" s="27"/>
      <c r="AL817" s="27"/>
      <c r="AM817" s="27"/>
      <c r="AN817" s="27"/>
      <c r="AO817" s="27"/>
      <c r="AP817" s="27"/>
      <c r="AQ817" s="27"/>
    </row>
    <row r="818" spans="1:43" ht="14.25" customHeight="1">
      <c r="A818" s="27"/>
      <c r="B818" s="27"/>
      <c r="C818" s="50"/>
      <c r="D818" s="27"/>
      <c r="E818" s="27"/>
      <c r="F818" s="51"/>
      <c r="G818" s="51"/>
      <c r="H818" s="51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48"/>
      <c r="AJ818" s="27"/>
      <c r="AK818" s="27"/>
      <c r="AL818" s="27"/>
      <c r="AM818" s="27"/>
      <c r="AN818" s="27"/>
      <c r="AO818" s="27"/>
      <c r="AP818" s="27"/>
      <c r="AQ818" s="27"/>
    </row>
    <row r="819" spans="1:43" ht="14.25" customHeight="1">
      <c r="A819" s="27"/>
      <c r="B819" s="27"/>
      <c r="C819" s="50"/>
      <c r="D819" s="27"/>
      <c r="E819" s="27"/>
      <c r="F819" s="51"/>
      <c r="G819" s="51"/>
      <c r="H819" s="51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48"/>
      <c r="AJ819" s="27"/>
      <c r="AK819" s="27"/>
      <c r="AL819" s="27"/>
      <c r="AM819" s="27"/>
      <c r="AN819" s="27"/>
      <c r="AO819" s="27"/>
      <c r="AP819" s="27"/>
      <c r="AQ819" s="27"/>
    </row>
    <row r="820" spans="1:43" ht="14.25" customHeight="1">
      <c r="A820" s="27"/>
      <c r="B820" s="27"/>
      <c r="C820" s="50"/>
      <c r="D820" s="27"/>
      <c r="E820" s="27"/>
      <c r="F820" s="51"/>
      <c r="G820" s="51"/>
      <c r="H820" s="51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48"/>
      <c r="AJ820" s="27"/>
      <c r="AK820" s="27"/>
      <c r="AL820" s="27"/>
      <c r="AM820" s="27"/>
      <c r="AN820" s="27"/>
      <c r="AO820" s="27"/>
      <c r="AP820" s="27"/>
      <c r="AQ820" s="27"/>
    </row>
    <row r="821" spans="1:43" ht="14.25" customHeight="1">
      <c r="A821" s="27"/>
      <c r="B821" s="27"/>
      <c r="C821" s="50"/>
      <c r="D821" s="27"/>
      <c r="E821" s="27"/>
      <c r="F821" s="51"/>
      <c r="G821" s="51"/>
      <c r="H821" s="51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48"/>
      <c r="AJ821" s="27"/>
      <c r="AK821" s="27"/>
      <c r="AL821" s="27"/>
      <c r="AM821" s="27"/>
      <c r="AN821" s="27"/>
      <c r="AO821" s="27"/>
      <c r="AP821" s="27"/>
      <c r="AQ821" s="27"/>
    </row>
    <row r="822" spans="1:43" ht="14.25" customHeight="1">
      <c r="A822" s="27"/>
      <c r="B822" s="27"/>
      <c r="C822" s="50"/>
      <c r="D822" s="27"/>
      <c r="E822" s="27"/>
      <c r="F822" s="51"/>
      <c r="G822" s="51"/>
      <c r="H822" s="51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48"/>
      <c r="AJ822" s="27"/>
      <c r="AK822" s="27"/>
      <c r="AL822" s="27"/>
      <c r="AM822" s="27"/>
      <c r="AN822" s="27"/>
      <c r="AO822" s="27"/>
      <c r="AP822" s="27"/>
      <c r="AQ822" s="27"/>
    </row>
    <row r="823" spans="1:43" ht="14.25" customHeight="1">
      <c r="A823" s="27"/>
      <c r="B823" s="27"/>
      <c r="C823" s="50"/>
      <c r="D823" s="27"/>
      <c r="E823" s="27"/>
      <c r="F823" s="51"/>
      <c r="G823" s="51"/>
      <c r="H823" s="51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48"/>
      <c r="AJ823" s="27"/>
      <c r="AK823" s="27"/>
      <c r="AL823" s="27"/>
      <c r="AM823" s="27"/>
      <c r="AN823" s="27"/>
      <c r="AO823" s="27"/>
      <c r="AP823" s="27"/>
      <c r="AQ823" s="27"/>
    </row>
    <row r="824" spans="1:43" ht="14.25" customHeight="1">
      <c r="A824" s="27"/>
      <c r="B824" s="27"/>
      <c r="C824" s="50"/>
      <c r="D824" s="27"/>
      <c r="E824" s="27"/>
      <c r="F824" s="51"/>
      <c r="G824" s="51"/>
      <c r="H824" s="51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48"/>
      <c r="AJ824" s="27"/>
      <c r="AK824" s="27"/>
      <c r="AL824" s="27"/>
      <c r="AM824" s="27"/>
      <c r="AN824" s="27"/>
      <c r="AO824" s="27"/>
      <c r="AP824" s="27"/>
      <c r="AQ824" s="27"/>
    </row>
    <row r="825" spans="1:43" ht="14.25" customHeight="1">
      <c r="A825" s="27"/>
      <c r="B825" s="27"/>
      <c r="C825" s="50"/>
      <c r="D825" s="27"/>
      <c r="E825" s="27"/>
      <c r="F825" s="51"/>
      <c r="G825" s="51"/>
      <c r="H825" s="51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48"/>
      <c r="AJ825" s="27"/>
      <c r="AK825" s="27"/>
      <c r="AL825" s="27"/>
      <c r="AM825" s="27"/>
      <c r="AN825" s="27"/>
      <c r="AO825" s="27"/>
      <c r="AP825" s="27"/>
      <c r="AQ825" s="27"/>
    </row>
    <row r="826" spans="1:43" ht="14.25" customHeight="1">
      <c r="A826" s="27"/>
      <c r="B826" s="27"/>
      <c r="C826" s="50"/>
      <c r="D826" s="27"/>
      <c r="E826" s="27"/>
      <c r="F826" s="51"/>
      <c r="G826" s="51"/>
      <c r="H826" s="51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48"/>
      <c r="AJ826" s="27"/>
      <c r="AK826" s="27"/>
      <c r="AL826" s="27"/>
      <c r="AM826" s="27"/>
      <c r="AN826" s="27"/>
      <c r="AO826" s="27"/>
      <c r="AP826" s="27"/>
      <c r="AQ826" s="27"/>
    </row>
    <row r="827" spans="1:43" ht="14.25" customHeight="1">
      <c r="A827" s="27"/>
      <c r="B827" s="27"/>
      <c r="C827" s="50"/>
      <c r="D827" s="27"/>
      <c r="E827" s="27"/>
      <c r="F827" s="51"/>
      <c r="G827" s="51"/>
      <c r="H827" s="51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48"/>
      <c r="AJ827" s="27"/>
      <c r="AK827" s="27"/>
      <c r="AL827" s="27"/>
      <c r="AM827" s="27"/>
      <c r="AN827" s="27"/>
      <c r="AO827" s="27"/>
      <c r="AP827" s="27"/>
      <c r="AQ827" s="27"/>
    </row>
    <row r="828" spans="1:43" ht="14.25" customHeight="1">
      <c r="A828" s="27"/>
      <c r="B828" s="27"/>
      <c r="C828" s="50"/>
      <c r="D828" s="27"/>
      <c r="E828" s="27"/>
      <c r="F828" s="51"/>
      <c r="G828" s="51"/>
      <c r="H828" s="51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48"/>
      <c r="AJ828" s="27"/>
      <c r="AK828" s="27"/>
      <c r="AL828" s="27"/>
      <c r="AM828" s="27"/>
      <c r="AN828" s="27"/>
      <c r="AO828" s="27"/>
      <c r="AP828" s="27"/>
      <c r="AQ828" s="27"/>
    </row>
    <row r="829" spans="1:43" ht="14.25" customHeight="1">
      <c r="A829" s="27"/>
      <c r="B829" s="27"/>
      <c r="C829" s="50"/>
      <c r="D829" s="27"/>
      <c r="E829" s="27"/>
      <c r="F829" s="51"/>
      <c r="G829" s="51"/>
      <c r="H829" s="51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48"/>
      <c r="AJ829" s="27"/>
      <c r="AK829" s="27"/>
      <c r="AL829" s="27"/>
      <c r="AM829" s="27"/>
      <c r="AN829" s="27"/>
      <c r="AO829" s="27"/>
      <c r="AP829" s="27"/>
      <c r="AQ829" s="27"/>
    </row>
    <row r="830" spans="1:43" ht="14.25" customHeight="1">
      <c r="A830" s="27"/>
      <c r="B830" s="27"/>
      <c r="C830" s="50"/>
      <c r="D830" s="27"/>
      <c r="E830" s="27"/>
      <c r="F830" s="51"/>
      <c r="G830" s="51"/>
      <c r="H830" s="51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48"/>
      <c r="AJ830" s="27"/>
      <c r="AK830" s="27"/>
      <c r="AL830" s="27"/>
      <c r="AM830" s="27"/>
      <c r="AN830" s="27"/>
      <c r="AO830" s="27"/>
      <c r="AP830" s="27"/>
      <c r="AQ830" s="27"/>
    </row>
    <row r="831" spans="1:43" ht="14.25" customHeight="1">
      <c r="A831" s="27"/>
      <c r="B831" s="27"/>
      <c r="C831" s="50"/>
      <c r="D831" s="27"/>
      <c r="E831" s="27"/>
      <c r="F831" s="51"/>
      <c r="G831" s="51"/>
      <c r="H831" s="51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48"/>
      <c r="AJ831" s="27"/>
      <c r="AK831" s="27"/>
      <c r="AL831" s="27"/>
      <c r="AM831" s="27"/>
      <c r="AN831" s="27"/>
      <c r="AO831" s="27"/>
      <c r="AP831" s="27"/>
      <c r="AQ831" s="27"/>
    </row>
    <row r="832" spans="1:43" ht="14.25" customHeight="1">
      <c r="A832" s="27"/>
      <c r="B832" s="27"/>
      <c r="C832" s="50"/>
      <c r="D832" s="27"/>
      <c r="E832" s="27"/>
      <c r="F832" s="51"/>
      <c r="G832" s="51"/>
      <c r="H832" s="51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48"/>
      <c r="AJ832" s="27"/>
      <c r="AK832" s="27"/>
      <c r="AL832" s="27"/>
      <c r="AM832" s="27"/>
      <c r="AN832" s="27"/>
      <c r="AO832" s="27"/>
      <c r="AP832" s="27"/>
      <c r="AQ832" s="27"/>
    </row>
    <row r="833" spans="1:43" ht="14.25" customHeight="1">
      <c r="A833" s="27"/>
      <c r="B833" s="27"/>
      <c r="C833" s="50"/>
      <c r="D833" s="27"/>
      <c r="E833" s="27"/>
      <c r="F833" s="51"/>
      <c r="G833" s="51"/>
      <c r="H833" s="51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48"/>
      <c r="AJ833" s="27"/>
      <c r="AK833" s="27"/>
      <c r="AL833" s="27"/>
      <c r="AM833" s="27"/>
      <c r="AN833" s="27"/>
      <c r="AO833" s="27"/>
      <c r="AP833" s="27"/>
      <c r="AQ833" s="27"/>
    </row>
    <row r="834" spans="1:43" ht="14.25" customHeight="1">
      <c r="A834" s="27"/>
      <c r="B834" s="27"/>
      <c r="C834" s="50"/>
      <c r="D834" s="27"/>
      <c r="E834" s="27"/>
      <c r="F834" s="51"/>
      <c r="G834" s="51"/>
      <c r="H834" s="51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48"/>
      <c r="AJ834" s="27"/>
      <c r="AK834" s="27"/>
      <c r="AL834" s="27"/>
      <c r="AM834" s="27"/>
      <c r="AN834" s="27"/>
      <c r="AO834" s="27"/>
      <c r="AP834" s="27"/>
      <c r="AQ834" s="27"/>
    </row>
    <row r="835" spans="1:43" ht="14.25" customHeight="1">
      <c r="A835" s="27"/>
      <c r="B835" s="27"/>
      <c r="C835" s="50"/>
      <c r="D835" s="27"/>
      <c r="E835" s="27"/>
      <c r="F835" s="51"/>
      <c r="G835" s="51"/>
      <c r="H835" s="51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48"/>
      <c r="AJ835" s="27"/>
      <c r="AK835" s="27"/>
      <c r="AL835" s="27"/>
      <c r="AM835" s="27"/>
      <c r="AN835" s="27"/>
      <c r="AO835" s="27"/>
      <c r="AP835" s="27"/>
      <c r="AQ835" s="27"/>
    </row>
    <row r="836" spans="1:43" ht="14.25" customHeight="1">
      <c r="A836" s="27"/>
      <c r="B836" s="27"/>
      <c r="C836" s="50"/>
      <c r="D836" s="27"/>
      <c r="E836" s="27"/>
      <c r="F836" s="51"/>
      <c r="G836" s="51"/>
      <c r="H836" s="51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48"/>
      <c r="AJ836" s="27"/>
      <c r="AK836" s="27"/>
      <c r="AL836" s="27"/>
      <c r="AM836" s="27"/>
      <c r="AN836" s="27"/>
      <c r="AO836" s="27"/>
      <c r="AP836" s="27"/>
      <c r="AQ836" s="27"/>
    </row>
    <row r="837" spans="1:43" ht="14.25" customHeight="1">
      <c r="A837" s="27"/>
      <c r="B837" s="27"/>
      <c r="C837" s="50"/>
      <c r="D837" s="27"/>
      <c r="E837" s="27"/>
      <c r="F837" s="51"/>
      <c r="G837" s="51"/>
      <c r="H837" s="51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48"/>
      <c r="AJ837" s="27"/>
      <c r="AK837" s="27"/>
      <c r="AL837" s="27"/>
      <c r="AM837" s="27"/>
      <c r="AN837" s="27"/>
      <c r="AO837" s="27"/>
      <c r="AP837" s="27"/>
      <c r="AQ837" s="27"/>
    </row>
    <row r="838" spans="1:43" ht="14.25" customHeight="1">
      <c r="A838" s="27"/>
      <c r="B838" s="27"/>
      <c r="C838" s="50"/>
      <c r="D838" s="27"/>
      <c r="E838" s="27"/>
      <c r="F838" s="51"/>
      <c r="G838" s="51"/>
      <c r="H838" s="51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48"/>
      <c r="AJ838" s="27"/>
      <c r="AK838" s="27"/>
      <c r="AL838" s="27"/>
      <c r="AM838" s="27"/>
      <c r="AN838" s="27"/>
      <c r="AO838" s="27"/>
      <c r="AP838" s="27"/>
      <c r="AQ838" s="27"/>
    </row>
    <row r="839" spans="1:43" ht="14.25" customHeight="1">
      <c r="A839" s="27"/>
      <c r="B839" s="27"/>
      <c r="C839" s="50"/>
      <c r="D839" s="27"/>
      <c r="E839" s="27"/>
      <c r="F839" s="51"/>
      <c r="G839" s="51"/>
      <c r="H839" s="51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48"/>
      <c r="AJ839" s="27"/>
      <c r="AK839" s="27"/>
      <c r="AL839" s="27"/>
      <c r="AM839" s="27"/>
      <c r="AN839" s="27"/>
      <c r="AO839" s="27"/>
      <c r="AP839" s="27"/>
      <c r="AQ839" s="27"/>
    </row>
    <row r="840" spans="1:43" ht="14.25" customHeight="1">
      <c r="A840" s="27"/>
      <c r="B840" s="27"/>
      <c r="C840" s="50"/>
      <c r="D840" s="27"/>
      <c r="E840" s="27"/>
      <c r="F840" s="51"/>
      <c r="G840" s="51"/>
      <c r="H840" s="51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48"/>
      <c r="AJ840" s="27"/>
      <c r="AK840" s="27"/>
      <c r="AL840" s="27"/>
      <c r="AM840" s="27"/>
      <c r="AN840" s="27"/>
      <c r="AO840" s="27"/>
      <c r="AP840" s="27"/>
      <c r="AQ840" s="27"/>
    </row>
    <row r="841" spans="1:43" ht="14.25" customHeight="1">
      <c r="A841" s="27"/>
      <c r="B841" s="27"/>
      <c r="C841" s="50"/>
      <c r="D841" s="27"/>
      <c r="E841" s="27"/>
      <c r="F841" s="51"/>
      <c r="G841" s="51"/>
      <c r="H841" s="51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48"/>
      <c r="AJ841" s="27"/>
      <c r="AK841" s="27"/>
      <c r="AL841" s="27"/>
      <c r="AM841" s="27"/>
      <c r="AN841" s="27"/>
      <c r="AO841" s="27"/>
      <c r="AP841" s="27"/>
      <c r="AQ841" s="27"/>
    </row>
    <row r="842" spans="1:43" ht="14.25" customHeight="1">
      <c r="A842" s="27"/>
      <c r="B842" s="27"/>
      <c r="C842" s="50"/>
      <c r="D842" s="27"/>
      <c r="E842" s="27"/>
      <c r="F842" s="51"/>
      <c r="G842" s="51"/>
      <c r="H842" s="51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48"/>
      <c r="AJ842" s="27"/>
      <c r="AK842" s="27"/>
      <c r="AL842" s="27"/>
      <c r="AM842" s="27"/>
      <c r="AN842" s="27"/>
      <c r="AO842" s="27"/>
      <c r="AP842" s="27"/>
      <c r="AQ842" s="27"/>
    </row>
    <row r="843" spans="1:43" ht="14.25" customHeight="1">
      <c r="A843" s="27"/>
      <c r="B843" s="27"/>
      <c r="C843" s="50"/>
      <c r="D843" s="27"/>
      <c r="E843" s="27"/>
      <c r="F843" s="51"/>
      <c r="G843" s="51"/>
      <c r="H843" s="51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48"/>
      <c r="AJ843" s="27"/>
      <c r="AK843" s="27"/>
      <c r="AL843" s="27"/>
      <c r="AM843" s="27"/>
      <c r="AN843" s="27"/>
      <c r="AO843" s="27"/>
      <c r="AP843" s="27"/>
      <c r="AQ843" s="27"/>
    </row>
    <row r="844" spans="1:43" ht="14.25" customHeight="1">
      <c r="A844" s="27"/>
      <c r="B844" s="27"/>
      <c r="C844" s="50"/>
      <c r="D844" s="27"/>
      <c r="E844" s="27"/>
      <c r="F844" s="51"/>
      <c r="G844" s="51"/>
      <c r="H844" s="51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48"/>
      <c r="AJ844" s="27"/>
      <c r="AK844" s="27"/>
      <c r="AL844" s="27"/>
      <c r="AM844" s="27"/>
      <c r="AN844" s="27"/>
      <c r="AO844" s="27"/>
      <c r="AP844" s="27"/>
      <c r="AQ844" s="27"/>
    </row>
    <row r="845" spans="1:43" ht="14.25" customHeight="1">
      <c r="A845" s="27"/>
      <c r="B845" s="27"/>
      <c r="C845" s="50"/>
      <c r="D845" s="27"/>
      <c r="E845" s="27"/>
      <c r="F845" s="51"/>
      <c r="G845" s="51"/>
      <c r="H845" s="51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48"/>
      <c r="AJ845" s="27"/>
      <c r="AK845" s="27"/>
      <c r="AL845" s="27"/>
      <c r="AM845" s="27"/>
      <c r="AN845" s="27"/>
      <c r="AO845" s="27"/>
      <c r="AP845" s="27"/>
      <c r="AQ845" s="27"/>
    </row>
    <row r="846" spans="1:43" ht="14.25" customHeight="1">
      <c r="A846" s="27"/>
      <c r="B846" s="27"/>
      <c r="C846" s="50"/>
      <c r="D846" s="27"/>
      <c r="E846" s="27"/>
      <c r="F846" s="51"/>
      <c r="G846" s="51"/>
      <c r="H846" s="51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48"/>
      <c r="AJ846" s="27"/>
      <c r="AK846" s="27"/>
      <c r="AL846" s="27"/>
      <c r="AM846" s="27"/>
      <c r="AN846" s="27"/>
      <c r="AO846" s="27"/>
      <c r="AP846" s="27"/>
      <c r="AQ846" s="27"/>
    </row>
    <row r="847" spans="1:43" ht="14.25" customHeight="1">
      <c r="A847" s="27"/>
      <c r="B847" s="27"/>
      <c r="C847" s="50"/>
      <c r="D847" s="27"/>
      <c r="E847" s="27"/>
      <c r="F847" s="51"/>
      <c r="G847" s="51"/>
      <c r="H847" s="51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48"/>
      <c r="AJ847" s="27"/>
      <c r="AK847" s="27"/>
      <c r="AL847" s="27"/>
      <c r="AM847" s="27"/>
      <c r="AN847" s="27"/>
      <c r="AO847" s="27"/>
      <c r="AP847" s="27"/>
      <c r="AQ847" s="27"/>
    </row>
    <row r="848" spans="1:43" ht="14.25" customHeight="1">
      <c r="A848" s="27"/>
      <c r="B848" s="27"/>
      <c r="C848" s="50"/>
      <c r="D848" s="27"/>
      <c r="E848" s="27"/>
      <c r="F848" s="51"/>
      <c r="G848" s="51"/>
      <c r="H848" s="51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48"/>
      <c r="AJ848" s="27"/>
      <c r="AK848" s="27"/>
      <c r="AL848" s="27"/>
      <c r="AM848" s="27"/>
      <c r="AN848" s="27"/>
      <c r="AO848" s="27"/>
      <c r="AP848" s="27"/>
      <c r="AQ848" s="27"/>
    </row>
    <row r="849" spans="1:43" ht="14.25" customHeight="1">
      <c r="A849" s="27"/>
      <c r="B849" s="27"/>
      <c r="C849" s="50"/>
      <c r="D849" s="27"/>
      <c r="E849" s="27"/>
      <c r="F849" s="51"/>
      <c r="G849" s="51"/>
      <c r="H849" s="51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48"/>
      <c r="AJ849" s="27"/>
      <c r="AK849" s="27"/>
      <c r="AL849" s="27"/>
      <c r="AM849" s="27"/>
      <c r="AN849" s="27"/>
      <c r="AO849" s="27"/>
      <c r="AP849" s="27"/>
      <c r="AQ849" s="27"/>
    </row>
    <row r="850" spans="1:43" ht="14.25" customHeight="1">
      <c r="A850" s="27"/>
      <c r="B850" s="27"/>
      <c r="C850" s="50"/>
      <c r="D850" s="27"/>
      <c r="E850" s="27"/>
      <c r="F850" s="51"/>
      <c r="G850" s="51"/>
      <c r="H850" s="51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48"/>
      <c r="AJ850" s="27"/>
      <c r="AK850" s="27"/>
      <c r="AL850" s="27"/>
      <c r="AM850" s="27"/>
      <c r="AN850" s="27"/>
      <c r="AO850" s="27"/>
      <c r="AP850" s="27"/>
      <c r="AQ850" s="27"/>
    </row>
    <row r="851" spans="1:43" ht="14.25" customHeight="1">
      <c r="A851" s="27"/>
      <c r="B851" s="27"/>
      <c r="C851" s="50"/>
      <c r="D851" s="27"/>
      <c r="E851" s="27"/>
      <c r="F851" s="51"/>
      <c r="G851" s="51"/>
      <c r="H851" s="51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48"/>
      <c r="AJ851" s="27"/>
      <c r="AK851" s="27"/>
      <c r="AL851" s="27"/>
      <c r="AM851" s="27"/>
      <c r="AN851" s="27"/>
      <c r="AO851" s="27"/>
      <c r="AP851" s="27"/>
      <c r="AQ851" s="27"/>
    </row>
    <row r="852" spans="1:43" ht="14.25" customHeight="1">
      <c r="A852" s="27"/>
      <c r="B852" s="27"/>
      <c r="C852" s="50"/>
      <c r="D852" s="27"/>
      <c r="E852" s="27"/>
      <c r="F852" s="51"/>
      <c r="G852" s="51"/>
      <c r="H852" s="51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48"/>
      <c r="AJ852" s="27"/>
      <c r="AK852" s="27"/>
      <c r="AL852" s="27"/>
      <c r="AM852" s="27"/>
      <c r="AN852" s="27"/>
      <c r="AO852" s="27"/>
      <c r="AP852" s="27"/>
      <c r="AQ852" s="27"/>
    </row>
    <row r="853" spans="1:43" ht="14.25" customHeight="1">
      <c r="A853" s="27"/>
      <c r="B853" s="27"/>
      <c r="C853" s="50"/>
      <c r="D853" s="27"/>
      <c r="E853" s="27"/>
      <c r="F853" s="51"/>
      <c r="G853" s="51"/>
      <c r="H853" s="51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48"/>
      <c r="AJ853" s="27"/>
      <c r="AK853" s="27"/>
      <c r="AL853" s="27"/>
      <c r="AM853" s="27"/>
      <c r="AN853" s="27"/>
      <c r="AO853" s="27"/>
      <c r="AP853" s="27"/>
      <c r="AQ853" s="27"/>
    </row>
    <row r="854" spans="1:43" ht="14.25" customHeight="1">
      <c r="A854" s="27"/>
      <c r="B854" s="27"/>
      <c r="C854" s="50"/>
      <c r="D854" s="27"/>
      <c r="E854" s="27"/>
      <c r="F854" s="51"/>
      <c r="G854" s="51"/>
      <c r="H854" s="51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48"/>
      <c r="AJ854" s="27"/>
      <c r="AK854" s="27"/>
      <c r="AL854" s="27"/>
      <c r="AM854" s="27"/>
      <c r="AN854" s="27"/>
      <c r="AO854" s="27"/>
      <c r="AP854" s="27"/>
      <c r="AQ854" s="27"/>
    </row>
    <row r="855" spans="1:43" ht="14.25" customHeight="1">
      <c r="A855" s="27"/>
      <c r="B855" s="27"/>
      <c r="C855" s="50"/>
      <c r="D855" s="27"/>
      <c r="E855" s="27"/>
      <c r="F855" s="51"/>
      <c r="G855" s="51"/>
      <c r="H855" s="51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48"/>
      <c r="AJ855" s="27"/>
      <c r="AK855" s="27"/>
      <c r="AL855" s="27"/>
      <c r="AM855" s="27"/>
      <c r="AN855" s="27"/>
      <c r="AO855" s="27"/>
      <c r="AP855" s="27"/>
      <c r="AQ855" s="27"/>
    </row>
    <row r="856" spans="1:43" ht="14.25" customHeight="1">
      <c r="A856" s="27"/>
      <c r="B856" s="27"/>
      <c r="C856" s="50"/>
      <c r="D856" s="27"/>
      <c r="E856" s="27"/>
      <c r="F856" s="51"/>
      <c r="G856" s="51"/>
      <c r="H856" s="51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48"/>
      <c r="AJ856" s="27"/>
      <c r="AK856" s="27"/>
      <c r="AL856" s="27"/>
      <c r="AM856" s="27"/>
      <c r="AN856" s="27"/>
      <c r="AO856" s="27"/>
      <c r="AP856" s="27"/>
      <c r="AQ856" s="27"/>
    </row>
    <row r="857" spans="1:43" ht="14.25" customHeight="1">
      <c r="A857" s="27"/>
      <c r="B857" s="27"/>
      <c r="C857" s="50"/>
      <c r="D857" s="27"/>
      <c r="E857" s="27"/>
      <c r="F857" s="51"/>
      <c r="G857" s="51"/>
      <c r="H857" s="51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48"/>
      <c r="AJ857" s="27"/>
      <c r="AK857" s="27"/>
      <c r="AL857" s="27"/>
      <c r="AM857" s="27"/>
      <c r="AN857" s="27"/>
      <c r="AO857" s="27"/>
      <c r="AP857" s="27"/>
      <c r="AQ857" s="27"/>
    </row>
    <row r="858" spans="1:43" ht="14.25" customHeight="1">
      <c r="A858" s="27"/>
      <c r="B858" s="27"/>
      <c r="C858" s="50"/>
      <c r="D858" s="27"/>
      <c r="E858" s="27"/>
      <c r="F858" s="51"/>
      <c r="G858" s="51"/>
      <c r="H858" s="51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48"/>
      <c r="AJ858" s="27"/>
      <c r="AK858" s="27"/>
      <c r="AL858" s="27"/>
      <c r="AM858" s="27"/>
      <c r="AN858" s="27"/>
      <c r="AO858" s="27"/>
      <c r="AP858" s="27"/>
      <c r="AQ858" s="27"/>
    </row>
    <row r="859" spans="1:43" ht="14.25" customHeight="1">
      <c r="A859" s="27"/>
      <c r="B859" s="27"/>
      <c r="C859" s="50"/>
      <c r="D859" s="27"/>
      <c r="E859" s="27"/>
      <c r="F859" s="51"/>
      <c r="G859" s="51"/>
      <c r="H859" s="51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48"/>
      <c r="AJ859" s="27"/>
      <c r="AK859" s="27"/>
      <c r="AL859" s="27"/>
      <c r="AM859" s="27"/>
      <c r="AN859" s="27"/>
      <c r="AO859" s="27"/>
      <c r="AP859" s="27"/>
      <c r="AQ859" s="27"/>
    </row>
    <row r="860" spans="1:43" ht="14.25" customHeight="1">
      <c r="A860" s="27"/>
      <c r="B860" s="27"/>
      <c r="C860" s="50"/>
      <c r="D860" s="27"/>
      <c r="E860" s="27"/>
      <c r="F860" s="51"/>
      <c r="G860" s="51"/>
      <c r="H860" s="51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48"/>
      <c r="AJ860" s="27"/>
      <c r="AK860" s="27"/>
      <c r="AL860" s="27"/>
      <c r="AM860" s="27"/>
      <c r="AN860" s="27"/>
      <c r="AO860" s="27"/>
      <c r="AP860" s="27"/>
      <c r="AQ860" s="27"/>
    </row>
    <row r="861" spans="1:43" ht="14.25" customHeight="1">
      <c r="A861" s="27"/>
      <c r="B861" s="27"/>
      <c r="C861" s="50"/>
      <c r="D861" s="27"/>
      <c r="E861" s="27"/>
      <c r="F861" s="51"/>
      <c r="G861" s="51"/>
      <c r="H861" s="51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48"/>
      <c r="AJ861" s="27"/>
      <c r="AK861" s="27"/>
      <c r="AL861" s="27"/>
      <c r="AM861" s="27"/>
      <c r="AN861" s="27"/>
      <c r="AO861" s="27"/>
      <c r="AP861" s="27"/>
      <c r="AQ861" s="27"/>
    </row>
    <row r="862" spans="1:43" ht="14.25" customHeight="1">
      <c r="A862" s="27"/>
      <c r="B862" s="27"/>
      <c r="C862" s="50"/>
      <c r="D862" s="27"/>
      <c r="E862" s="27"/>
      <c r="F862" s="51"/>
      <c r="G862" s="51"/>
      <c r="H862" s="51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48"/>
      <c r="AJ862" s="27"/>
      <c r="AK862" s="27"/>
      <c r="AL862" s="27"/>
      <c r="AM862" s="27"/>
      <c r="AN862" s="27"/>
      <c r="AO862" s="27"/>
      <c r="AP862" s="27"/>
      <c r="AQ862" s="27"/>
    </row>
    <row r="863" spans="1:43" ht="14.25" customHeight="1">
      <c r="A863" s="27"/>
      <c r="B863" s="27"/>
      <c r="C863" s="50"/>
      <c r="D863" s="27"/>
      <c r="E863" s="27"/>
      <c r="F863" s="51"/>
      <c r="G863" s="51"/>
      <c r="H863" s="51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48"/>
      <c r="AJ863" s="27"/>
      <c r="AK863" s="27"/>
      <c r="AL863" s="27"/>
      <c r="AM863" s="27"/>
      <c r="AN863" s="27"/>
      <c r="AO863" s="27"/>
      <c r="AP863" s="27"/>
      <c r="AQ863" s="27"/>
    </row>
    <row r="864" spans="1:43" ht="14.25" customHeight="1">
      <c r="A864" s="27"/>
      <c r="B864" s="27"/>
      <c r="C864" s="50"/>
      <c r="D864" s="27"/>
      <c r="E864" s="27"/>
      <c r="F864" s="51"/>
      <c r="G864" s="51"/>
      <c r="H864" s="51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48"/>
      <c r="AJ864" s="27"/>
      <c r="AK864" s="27"/>
      <c r="AL864" s="27"/>
      <c r="AM864" s="27"/>
      <c r="AN864" s="27"/>
      <c r="AO864" s="27"/>
      <c r="AP864" s="27"/>
      <c r="AQ864" s="27"/>
    </row>
    <row r="865" spans="1:43" ht="14.25" customHeight="1">
      <c r="A865" s="27"/>
      <c r="B865" s="27"/>
      <c r="C865" s="50"/>
      <c r="D865" s="27"/>
      <c r="E865" s="27"/>
      <c r="F865" s="51"/>
      <c r="G865" s="51"/>
      <c r="H865" s="51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48"/>
      <c r="AJ865" s="27"/>
      <c r="AK865" s="27"/>
      <c r="AL865" s="27"/>
      <c r="AM865" s="27"/>
      <c r="AN865" s="27"/>
      <c r="AO865" s="27"/>
      <c r="AP865" s="27"/>
      <c r="AQ865" s="27"/>
    </row>
    <row r="866" spans="1:43" ht="14.25" customHeight="1">
      <c r="A866" s="27"/>
      <c r="B866" s="27"/>
      <c r="C866" s="50"/>
      <c r="D866" s="27"/>
      <c r="E866" s="27"/>
      <c r="F866" s="51"/>
      <c r="G866" s="51"/>
      <c r="H866" s="51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48"/>
      <c r="AJ866" s="27"/>
      <c r="AK866" s="27"/>
      <c r="AL866" s="27"/>
      <c r="AM866" s="27"/>
      <c r="AN866" s="27"/>
      <c r="AO866" s="27"/>
      <c r="AP866" s="27"/>
      <c r="AQ866" s="27"/>
    </row>
    <row r="867" spans="1:43" ht="14.25" customHeight="1">
      <c r="A867" s="27"/>
      <c r="B867" s="27"/>
      <c r="C867" s="50"/>
      <c r="D867" s="27"/>
      <c r="E867" s="27"/>
      <c r="F867" s="51"/>
      <c r="G867" s="51"/>
      <c r="H867" s="51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48"/>
      <c r="AJ867" s="27"/>
      <c r="AK867" s="27"/>
      <c r="AL867" s="27"/>
      <c r="AM867" s="27"/>
      <c r="AN867" s="27"/>
      <c r="AO867" s="27"/>
      <c r="AP867" s="27"/>
      <c r="AQ867" s="27"/>
    </row>
    <row r="868" spans="1:43" ht="14.25" customHeight="1">
      <c r="A868" s="27"/>
      <c r="B868" s="27"/>
      <c r="C868" s="50"/>
      <c r="D868" s="27"/>
      <c r="E868" s="27"/>
      <c r="F868" s="51"/>
      <c r="G868" s="51"/>
      <c r="H868" s="51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48"/>
      <c r="AJ868" s="27"/>
      <c r="AK868" s="27"/>
      <c r="AL868" s="27"/>
      <c r="AM868" s="27"/>
      <c r="AN868" s="27"/>
      <c r="AO868" s="27"/>
      <c r="AP868" s="27"/>
      <c r="AQ868" s="27"/>
    </row>
    <row r="869" spans="1:43" ht="14.25" customHeight="1">
      <c r="A869" s="27"/>
      <c r="B869" s="27"/>
      <c r="C869" s="50"/>
      <c r="D869" s="27"/>
      <c r="E869" s="27"/>
      <c r="F869" s="51"/>
      <c r="G869" s="51"/>
      <c r="H869" s="51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48"/>
      <c r="AJ869" s="27"/>
      <c r="AK869" s="27"/>
      <c r="AL869" s="27"/>
      <c r="AM869" s="27"/>
      <c r="AN869" s="27"/>
      <c r="AO869" s="27"/>
      <c r="AP869" s="27"/>
      <c r="AQ869" s="27"/>
    </row>
    <row r="870" spans="1:43" ht="14.25" customHeight="1">
      <c r="A870" s="27"/>
      <c r="B870" s="27"/>
      <c r="C870" s="50"/>
      <c r="D870" s="27"/>
      <c r="E870" s="27"/>
      <c r="F870" s="51"/>
      <c r="G870" s="51"/>
      <c r="H870" s="51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48"/>
      <c r="AJ870" s="27"/>
      <c r="AK870" s="27"/>
      <c r="AL870" s="27"/>
      <c r="AM870" s="27"/>
      <c r="AN870" s="27"/>
      <c r="AO870" s="27"/>
      <c r="AP870" s="27"/>
      <c r="AQ870" s="27"/>
    </row>
    <row r="871" spans="1:43" ht="14.25" customHeight="1">
      <c r="A871" s="27"/>
      <c r="B871" s="27"/>
      <c r="C871" s="50"/>
      <c r="D871" s="27"/>
      <c r="E871" s="27"/>
      <c r="F871" s="51"/>
      <c r="G871" s="51"/>
      <c r="H871" s="51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48"/>
      <c r="AJ871" s="27"/>
      <c r="AK871" s="27"/>
      <c r="AL871" s="27"/>
      <c r="AM871" s="27"/>
      <c r="AN871" s="27"/>
      <c r="AO871" s="27"/>
      <c r="AP871" s="27"/>
      <c r="AQ871" s="27"/>
    </row>
    <row r="872" spans="1:43" ht="14.25" customHeight="1">
      <c r="A872" s="27"/>
      <c r="B872" s="27"/>
      <c r="C872" s="50"/>
      <c r="D872" s="27"/>
      <c r="E872" s="27"/>
      <c r="F872" s="51"/>
      <c r="G872" s="51"/>
      <c r="H872" s="51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48"/>
      <c r="AJ872" s="27"/>
      <c r="AK872" s="27"/>
      <c r="AL872" s="27"/>
      <c r="AM872" s="27"/>
      <c r="AN872" s="27"/>
      <c r="AO872" s="27"/>
      <c r="AP872" s="27"/>
      <c r="AQ872" s="27"/>
    </row>
    <row r="873" spans="1:43" ht="14.25" customHeight="1">
      <c r="A873" s="27"/>
      <c r="B873" s="27"/>
      <c r="C873" s="50"/>
      <c r="D873" s="27"/>
      <c r="E873" s="27"/>
      <c r="F873" s="51"/>
      <c r="G873" s="51"/>
      <c r="H873" s="51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48"/>
      <c r="AJ873" s="27"/>
      <c r="AK873" s="27"/>
      <c r="AL873" s="27"/>
      <c r="AM873" s="27"/>
      <c r="AN873" s="27"/>
      <c r="AO873" s="27"/>
      <c r="AP873" s="27"/>
      <c r="AQ873" s="27"/>
    </row>
    <row r="874" spans="1:43" ht="14.25" customHeight="1">
      <c r="A874" s="27"/>
      <c r="B874" s="27"/>
      <c r="C874" s="50"/>
      <c r="D874" s="27"/>
      <c r="E874" s="27"/>
      <c r="F874" s="51"/>
      <c r="G874" s="51"/>
      <c r="H874" s="51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48"/>
      <c r="AJ874" s="27"/>
      <c r="AK874" s="27"/>
      <c r="AL874" s="27"/>
      <c r="AM874" s="27"/>
      <c r="AN874" s="27"/>
      <c r="AO874" s="27"/>
      <c r="AP874" s="27"/>
      <c r="AQ874" s="27"/>
    </row>
    <row r="875" spans="1:43" ht="14.25" customHeight="1">
      <c r="A875" s="27"/>
      <c r="B875" s="27"/>
      <c r="C875" s="50"/>
      <c r="D875" s="27"/>
      <c r="E875" s="27"/>
      <c r="F875" s="51"/>
      <c r="G875" s="51"/>
      <c r="H875" s="51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48"/>
      <c r="AJ875" s="27"/>
      <c r="AK875" s="27"/>
      <c r="AL875" s="27"/>
      <c r="AM875" s="27"/>
      <c r="AN875" s="27"/>
      <c r="AO875" s="27"/>
      <c r="AP875" s="27"/>
      <c r="AQ875" s="27"/>
    </row>
    <row r="876" spans="1:43" ht="14.25" customHeight="1">
      <c r="A876" s="27"/>
      <c r="B876" s="27"/>
      <c r="C876" s="50"/>
      <c r="D876" s="27"/>
      <c r="E876" s="27"/>
      <c r="F876" s="51"/>
      <c r="G876" s="51"/>
      <c r="H876" s="51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48"/>
      <c r="AJ876" s="27"/>
      <c r="AK876" s="27"/>
      <c r="AL876" s="27"/>
      <c r="AM876" s="27"/>
      <c r="AN876" s="27"/>
      <c r="AO876" s="27"/>
      <c r="AP876" s="27"/>
      <c r="AQ876" s="27"/>
    </row>
    <row r="877" spans="1:43" ht="14.25" customHeight="1">
      <c r="A877" s="27"/>
      <c r="B877" s="27"/>
      <c r="C877" s="50"/>
      <c r="D877" s="27"/>
      <c r="E877" s="27"/>
      <c r="F877" s="51"/>
      <c r="G877" s="51"/>
      <c r="H877" s="51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48"/>
      <c r="AJ877" s="27"/>
      <c r="AK877" s="27"/>
      <c r="AL877" s="27"/>
      <c r="AM877" s="27"/>
      <c r="AN877" s="27"/>
      <c r="AO877" s="27"/>
      <c r="AP877" s="27"/>
      <c r="AQ877" s="27"/>
    </row>
    <row r="878" spans="1:43" ht="14.25" customHeight="1">
      <c r="A878" s="27"/>
      <c r="B878" s="27"/>
      <c r="C878" s="50"/>
      <c r="D878" s="27"/>
      <c r="E878" s="27"/>
      <c r="F878" s="51"/>
      <c r="G878" s="51"/>
      <c r="H878" s="51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48"/>
      <c r="AJ878" s="27"/>
      <c r="AK878" s="27"/>
      <c r="AL878" s="27"/>
      <c r="AM878" s="27"/>
      <c r="AN878" s="27"/>
      <c r="AO878" s="27"/>
      <c r="AP878" s="27"/>
      <c r="AQ878" s="27"/>
    </row>
    <row r="879" spans="1:43" ht="14.25" customHeight="1">
      <c r="A879" s="27"/>
      <c r="B879" s="27"/>
      <c r="C879" s="50"/>
      <c r="D879" s="27"/>
      <c r="E879" s="27"/>
      <c r="F879" s="51"/>
      <c r="G879" s="51"/>
      <c r="H879" s="51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48"/>
      <c r="AJ879" s="27"/>
      <c r="AK879" s="27"/>
      <c r="AL879" s="27"/>
      <c r="AM879" s="27"/>
      <c r="AN879" s="27"/>
      <c r="AO879" s="27"/>
      <c r="AP879" s="27"/>
      <c r="AQ879" s="27"/>
    </row>
    <row r="880" spans="1:43" ht="14.25" customHeight="1">
      <c r="A880" s="27"/>
      <c r="B880" s="27"/>
      <c r="C880" s="50"/>
      <c r="D880" s="27"/>
      <c r="E880" s="27"/>
      <c r="F880" s="51"/>
      <c r="G880" s="51"/>
      <c r="H880" s="51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48"/>
      <c r="AJ880" s="27"/>
      <c r="AK880" s="27"/>
      <c r="AL880" s="27"/>
      <c r="AM880" s="27"/>
      <c r="AN880" s="27"/>
      <c r="AO880" s="27"/>
      <c r="AP880" s="27"/>
      <c r="AQ880" s="27"/>
    </row>
    <row r="881" spans="1:43" ht="14.25" customHeight="1">
      <c r="A881" s="27"/>
      <c r="B881" s="27"/>
      <c r="C881" s="50"/>
      <c r="D881" s="27"/>
      <c r="E881" s="27"/>
      <c r="F881" s="51"/>
      <c r="G881" s="51"/>
      <c r="H881" s="51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48"/>
      <c r="AJ881" s="27"/>
      <c r="AK881" s="27"/>
      <c r="AL881" s="27"/>
      <c r="AM881" s="27"/>
      <c r="AN881" s="27"/>
      <c r="AO881" s="27"/>
      <c r="AP881" s="27"/>
      <c r="AQ881" s="27"/>
    </row>
    <row r="882" spans="1:43" ht="14.25" customHeight="1">
      <c r="A882" s="27"/>
      <c r="B882" s="27"/>
      <c r="C882" s="50"/>
      <c r="D882" s="27"/>
      <c r="E882" s="27"/>
      <c r="F882" s="51"/>
      <c r="G882" s="51"/>
      <c r="H882" s="51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48"/>
      <c r="AJ882" s="27"/>
      <c r="AK882" s="27"/>
      <c r="AL882" s="27"/>
      <c r="AM882" s="27"/>
      <c r="AN882" s="27"/>
      <c r="AO882" s="27"/>
      <c r="AP882" s="27"/>
      <c r="AQ882" s="27"/>
    </row>
    <row r="883" spans="1:43" ht="14.25" customHeight="1">
      <c r="A883" s="27"/>
      <c r="B883" s="27"/>
      <c r="C883" s="50"/>
      <c r="D883" s="27"/>
      <c r="E883" s="27"/>
      <c r="F883" s="51"/>
      <c r="G883" s="51"/>
      <c r="H883" s="51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48"/>
      <c r="AJ883" s="27"/>
      <c r="AK883" s="27"/>
      <c r="AL883" s="27"/>
      <c r="AM883" s="27"/>
      <c r="AN883" s="27"/>
      <c r="AO883" s="27"/>
      <c r="AP883" s="27"/>
      <c r="AQ883" s="27"/>
    </row>
    <row r="884" spans="1:43" ht="14.25" customHeight="1">
      <c r="A884" s="27"/>
      <c r="B884" s="27"/>
      <c r="C884" s="50"/>
      <c r="D884" s="27"/>
      <c r="E884" s="27"/>
      <c r="F884" s="51"/>
      <c r="G884" s="51"/>
      <c r="H884" s="51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48"/>
      <c r="AJ884" s="27"/>
      <c r="AK884" s="27"/>
      <c r="AL884" s="27"/>
      <c r="AM884" s="27"/>
      <c r="AN884" s="27"/>
      <c r="AO884" s="27"/>
      <c r="AP884" s="27"/>
      <c r="AQ884" s="27"/>
    </row>
    <row r="885" spans="1:43" ht="14.25" customHeight="1">
      <c r="A885" s="27"/>
      <c r="B885" s="27"/>
      <c r="C885" s="50"/>
      <c r="D885" s="27"/>
      <c r="E885" s="27"/>
      <c r="F885" s="51"/>
      <c r="G885" s="51"/>
      <c r="H885" s="51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48"/>
      <c r="AJ885" s="27"/>
      <c r="AK885" s="27"/>
      <c r="AL885" s="27"/>
      <c r="AM885" s="27"/>
      <c r="AN885" s="27"/>
      <c r="AO885" s="27"/>
      <c r="AP885" s="27"/>
      <c r="AQ885" s="27"/>
    </row>
    <row r="886" spans="1:43" ht="14.25" customHeight="1">
      <c r="A886" s="27"/>
      <c r="B886" s="27"/>
      <c r="C886" s="50"/>
      <c r="D886" s="27"/>
      <c r="E886" s="27"/>
      <c r="F886" s="51"/>
      <c r="G886" s="51"/>
      <c r="H886" s="51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48"/>
      <c r="AJ886" s="27"/>
      <c r="AK886" s="27"/>
      <c r="AL886" s="27"/>
      <c r="AM886" s="27"/>
      <c r="AN886" s="27"/>
      <c r="AO886" s="27"/>
      <c r="AP886" s="27"/>
      <c r="AQ886" s="27"/>
    </row>
    <row r="887" spans="1:43" ht="14.25" customHeight="1">
      <c r="A887" s="27"/>
      <c r="B887" s="27"/>
      <c r="C887" s="50"/>
      <c r="D887" s="27"/>
      <c r="E887" s="27"/>
      <c r="F887" s="51"/>
      <c r="G887" s="51"/>
      <c r="H887" s="51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48"/>
      <c r="AJ887" s="27"/>
      <c r="AK887" s="27"/>
      <c r="AL887" s="27"/>
      <c r="AM887" s="27"/>
      <c r="AN887" s="27"/>
      <c r="AO887" s="27"/>
      <c r="AP887" s="27"/>
      <c r="AQ887" s="27"/>
    </row>
    <row r="888" spans="1:43" ht="14.25" customHeight="1">
      <c r="A888" s="27"/>
      <c r="B888" s="27"/>
      <c r="C888" s="50"/>
      <c r="D888" s="27"/>
      <c r="E888" s="27"/>
      <c r="F888" s="51"/>
      <c r="G888" s="51"/>
      <c r="H888" s="51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48"/>
      <c r="AJ888" s="27"/>
      <c r="AK888" s="27"/>
      <c r="AL888" s="27"/>
      <c r="AM888" s="27"/>
      <c r="AN888" s="27"/>
      <c r="AO888" s="27"/>
      <c r="AP888" s="27"/>
      <c r="AQ888" s="27"/>
    </row>
    <row r="889" spans="1:43" ht="14.25" customHeight="1">
      <c r="A889" s="27"/>
      <c r="B889" s="27"/>
      <c r="C889" s="50"/>
      <c r="D889" s="27"/>
      <c r="E889" s="27"/>
      <c r="F889" s="51"/>
      <c r="G889" s="51"/>
      <c r="H889" s="51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48"/>
      <c r="AJ889" s="27"/>
      <c r="AK889" s="27"/>
      <c r="AL889" s="27"/>
      <c r="AM889" s="27"/>
      <c r="AN889" s="27"/>
      <c r="AO889" s="27"/>
      <c r="AP889" s="27"/>
      <c r="AQ889" s="27"/>
    </row>
    <row r="890" spans="1:43" ht="14.25" customHeight="1">
      <c r="A890" s="27"/>
      <c r="B890" s="27"/>
      <c r="C890" s="50"/>
      <c r="D890" s="27"/>
      <c r="E890" s="27"/>
      <c r="F890" s="51"/>
      <c r="G890" s="51"/>
      <c r="H890" s="51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48"/>
      <c r="AJ890" s="27"/>
      <c r="AK890" s="27"/>
      <c r="AL890" s="27"/>
      <c r="AM890" s="27"/>
      <c r="AN890" s="27"/>
      <c r="AO890" s="27"/>
      <c r="AP890" s="27"/>
      <c r="AQ890" s="27"/>
    </row>
    <row r="891" spans="1:43" ht="14.25" customHeight="1">
      <c r="A891" s="27"/>
      <c r="B891" s="27"/>
      <c r="C891" s="50"/>
      <c r="D891" s="27"/>
      <c r="E891" s="27"/>
      <c r="F891" s="51"/>
      <c r="G891" s="51"/>
      <c r="H891" s="51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48"/>
      <c r="AJ891" s="27"/>
      <c r="AK891" s="27"/>
      <c r="AL891" s="27"/>
      <c r="AM891" s="27"/>
      <c r="AN891" s="27"/>
      <c r="AO891" s="27"/>
      <c r="AP891" s="27"/>
      <c r="AQ891" s="27"/>
    </row>
    <row r="892" spans="1:43" ht="14.25" customHeight="1">
      <c r="A892" s="27"/>
      <c r="B892" s="27"/>
      <c r="C892" s="50"/>
      <c r="D892" s="27"/>
      <c r="E892" s="27"/>
      <c r="F892" s="51"/>
      <c r="G892" s="51"/>
      <c r="H892" s="51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48"/>
      <c r="AJ892" s="27"/>
      <c r="AK892" s="27"/>
      <c r="AL892" s="27"/>
      <c r="AM892" s="27"/>
      <c r="AN892" s="27"/>
      <c r="AO892" s="27"/>
      <c r="AP892" s="27"/>
      <c r="AQ892" s="27"/>
    </row>
    <row r="893" spans="1:43" ht="14.25" customHeight="1">
      <c r="A893" s="27"/>
      <c r="B893" s="27"/>
      <c r="C893" s="50"/>
      <c r="D893" s="27"/>
      <c r="E893" s="27"/>
      <c r="F893" s="51"/>
      <c r="G893" s="51"/>
      <c r="H893" s="51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48"/>
      <c r="AJ893" s="27"/>
      <c r="AK893" s="27"/>
      <c r="AL893" s="27"/>
      <c r="AM893" s="27"/>
      <c r="AN893" s="27"/>
      <c r="AO893" s="27"/>
      <c r="AP893" s="27"/>
      <c r="AQ893" s="27"/>
    </row>
    <row r="894" spans="1:43" ht="14.25" customHeight="1">
      <c r="A894" s="27"/>
      <c r="B894" s="27"/>
      <c r="C894" s="50"/>
      <c r="D894" s="27"/>
      <c r="E894" s="27"/>
      <c r="F894" s="51"/>
      <c r="G894" s="51"/>
      <c r="H894" s="51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48"/>
      <c r="AJ894" s="27"/>
      <c r="AK894" s="27"/>
      <c r="AL894" s="27"/>
      <c r="AM894" s="27"/>
      <c r="AN894" s="27"/>
      <c r="AO894" s="27"/>
      <c r="AP894" s="27"/>
      <c r="AQ894" s="27"/>
    </row>
    <row r="895" spans="1:43" ht="14.25" customHeight="1">
      <c r="A895" s="27"/>
      <c r="B895" s="27"/>
      <c r="C895" s="50"/>
      <c r="D895" s="27"/>
      <c r="E895" s="27"/>
      <c r="F895" s="51"/>
      <c r="G895" s="51"/>
      <c r="H895" s="51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48"/>
      <c r="AJ895" s="27"/>
      <c r="AK895" s="27"/>
      <c r="AL895" s="27"/>
      <c r="AM895" s="27"/>
      <c r="AN895" s="27"/>
      <c r="AO895" s="27"/>
      <c r="AP895" s="27"/>
      <c r="AQ895" s="27"/>
    </row>
    <row r="896" spans="1:43" ht="14.25" customHeight="1">
      <c r="A896" s="27"/>
      <c r="B896" s="27"/>
      <c r="C896" s="50"/>
      <c r="D896" s="27"/>
      <c r="E896" s="27"/>
      <c r="F896" s="51"/>
      <c r="G896" s="51"/>
      <c r="H896" s="51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48"/>
      <c r="AJ896" s="27"/>
      <c r="AK896" s="27"/>
      <c r="AL896" s="27"/>
      <c r="AM896" s="27"/>
      <c r="AN896" s="27"/>
      <c r="AO896" s="27"/>
      <c r="AP896" s="27"/>
      <c r="AQ896" s="27"/>
    </row>
    <row r="897" spans="1:43" ht="14.25" customHeight="1">
      <c r="A897" s="27"/>
      <c r="B897" s="27"/>
      <c r="C897" s="50"/>
      <c r="D897" s="27"/>
      <c r="E897" s="27"/>
      <c r="F897" s="51"/>
      <c r="G897" s="51"/>
      <c r="H897" s="51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48"/>
      <c r="AJ897" s="27"/>
      <c r="AK897" s="27"/>
      <c r="AL897" s="27"/>
      <c r="AM897" s="27"/>
      <c r="AN897" s="27"/>
      <c r="AO897" s="27"/>
      <c r="AP897" s="27"/>
      <c r="AQ897" s="27"/>
    </row>
    <row r="898" spans="1:43" ht="14.25" customHeight="1">
      <c r="A898" s="27"/>
      <c r="B898" s="27"/>
      <c r="C898" s="50"/>
      <c r="D898" s="27"/>
      <c r="E898" s="27"/>
      <c r="F898" s="51"/>
      <c r="G898" s="51"/>
      <c r="H898" s="51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48"/>
      <c r="AJ898" s="27"/>
      <c r="AK898" s="27"/>
      <c r="AL898" s="27"/>
      <c r="AM898" s="27"/>
      <c r="AN898" s="27"/>
      <c r="AO898" s="27"/>
      <c r="AP898" s="27"/>
      <c r="AQ898" s="27"/>
    </row>
    <row r="899" spans="1:43" ht="14.25" customHeight="1">
      <c r="A899" s="27"/>
      <c r="B899" s="27"/>
      <c r="C899" s="50"/>
      <c r="D899" s="27"/>
      <c r="E899" s="27"/>
      <c r="F899" s="51"/>
      <c r="G899" s="51"/>
      <c r="H899" s="51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48"/>
      <c r="AJ899" s="27"/>
      <c r="AK899" s="27"/>
      <c r="AL899" s="27"/>
      <c r="AM899" s="27"/>
      <c r="AN899" s="27"/>
      <c r="AO899" s="27"/>
      <c r="AP899" s="27"/>
      <c r="AQ899" s="27"/>
    </row>
    <row r="900" spans="1:43" ht="14.25" customHeight="1">
      <c r="A900" s="27"/>
      <c r="B900" s="27"/>
      <c r="C900" s="50"/>
      <c r="D900" s="27"/>
      <c r="E900" s="27"/>
      <c r="F900" s="51"/>
      <c r="G900" s="51"/>
      <c r="H900" s="51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48"/>
      <c r="AJ900" s="27"/>
      <c r="AK900" s="27"/>
      <c r="AL900" s="27"/>
      <c r="AM900" s="27"/>
      <c r="AN900" s="27"/>
      <c r="AO900" s="27"/>
      <c r="AP900" s="27"/>
      <c r="AQ900" s="27"/>
    </row>
    <row r="901" spans="1:43" ht="14.25" customHeight="1">
      <c r="A901" s="27"/>
      <c r="B901" s="27"/>
      <c r="C901" s="50"/>
      <c r="D901" s="27"/>
      <c r="E901" s="27"/>
      <c r="F901" s="51"/>
      <c r="G901" s="51"/>
      <c r="H901" s="51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48"/>
      <c r="AJ901" s="27"/>
      <c r="AK901" s="27"/>
      <c r="AL901" s="27"/>
      <c r="AM901" s="27"/>
      <c r="AN901" s="27"/>
      <c r="AO901" s="27"/>
      <c r="AP901" s="27"/>
      <c r="AQ901" s="27"/>
    </row>
    <row r="902" spans="1:43" ht="14.25" customHeight="1">
      <c r="A902" s="27"/>
      <c r="B902" s="27"/>
      <c r="C902" s="50"/>
      <c r="D902" s="27"/>
      <c r="E902" s="27"/>
      <c r="F902" s="51"/>
      <c r="G902" s="51"/>
      <c r="H902" s="51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48"/>
      <c r="AJ902" s="27"/>
      <c r="AK902" s="27"/>
      <c r="AL902" s="27"/>
      <c r="AM902" s="27"/>
      <c r="AN902" s="27"/>
      <c r="AO902" s="27"/>
      <c r="AP902" s="27"/>
      <c r="AQ902" s="27"/>
    </row>
    <row r="903" spans="1:43" ht="14.25" customHeight="1">
      <c r="A903" s="27"/>
      <c r="B903" s="27"/>
      <c r="C903" s="50"/>
      <c r="D903" s="27"/>
      <c r="E903" s="27"/>
      <c r="F903" s="51"/>
      <c r="G903" s="51"/>
      <c r="H903" s="51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48"/>
      <c r="AJ903" s="27"/>
      <c r="AK903" s="27"/>
      <c r="AL903" s="27"/>
      <c r="AM903" s="27"/>
      <c r="AN903" s="27"/>
      <c r="AO903" s="27"/>
      <c r="AP903" s="27"/>
      <c r="AQ903" s="27"/>
    </row>
    <row r="904" spans="1:43" ht="14.25" customHeight="1">
      <c r="A904" s="27"/>
      <c r="B904" s="27"/>
      <c r="C904" s="50"/>
      <c r="D904" s="27"/>
      <c r="E904" s="27"/>
      <c r="F904" s="51"/>
      <c r="G904" s="51"/>
      <c r="H904" s="51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48"/>
      <c r="AJ904" s="27"/>
      <c r="AK904" s="27"/>
      <c r="AL904" s="27"/>
      <c r="AM904" s="27"/>
      <c r="AN904" s="27"/>
      <c r="AO904" s="27"/>
      <c r="AP904" s="27"/>
      <c r="AQ904" s="27"/>
    </row>
    <row r="905" spans="1:43" ht="14.25" customHeight="1">
      <c r="A905" s="27"/>
      <c r="B905" s="27"/>
      <c r="C905" s="50"/>
      <c r="D905" s="27"/>
      <c r="E905" s="27"/>
      <c r="F905" s="51"/>
      <c r="G905" s="51"/>
      <c r="H905" s="51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48"/>
      <c r="AJ905" s="27"/>
      <c r="AK905" s="27"/>
      <c r="AL905" s="27"/>
      <c r="AM905" s="27"/>
      <c r="AN905" s="27"/>
      <c r="AO905" s="27"/>
      <c r="AP905" s="27"/>
      <c r="AQ905" s="27"/>
    </row>
    <row r="906" spans="1:43" ht="14.25" customHeight="1">
      <c r="A906" s="27"/>
      <c r="B906" s="27"/>
      <c r="C906" s="50"/>
      <c r="D906" s="27"/>
      <c r="E906" s="27"/>
      <c r="F906" s="51"/>
      <c r="G906" s="51"/>
      <c r="H906" s="51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48"/>
      <c r="AJ906" s="27"/>
      <c r="AK906" s="27"/>
      <c r="AL906" s="27"/>
      <c r="AM906" s="27"/>
      <c r="AN906" s="27"/>
      <c r="AO906" s="27"/>
      <c r="AP906" s="27"/>
      <c r="AQ906" s="27"/>
    </row>
    <row r="907" spans="1:43" ht="14.25" customHeight="1">
      <c r="A907" s="27"/>
      <c r="B907" s="27"/>
      <c r="C907" s="50"/>
      <c r="D907" s="27"/>
      <c r="E907" s="27"/>
      <c r="F907" s="51"/>
      <c r="G907" s="51"/>
      <c r="H907" s="51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48"/>
      <c r="AJ907" s="27"/>
      <c r="AK907" s="27"/>
      <c r="AL907" s="27"/>
      <c r="AM907" s="27"/>
      <c r="AN907" s="27"/>
      <c r="AO907" s="27"/>
      <c r="AP907" s="27"/>
      <c r="AQ907" s="27"/>
    </row>
    <row r="908" spans="1:43" ht="14.25" customHeight="1">
      <c r="A908" s="27"/>
      <c r="B908" s="27"/>
      <c r="C908" s="50"/>
      <c r="D908" s="27"/>
      <c r="E908" s="27"/>
      <c r="F908" s="51"/>
      <c r="G908" s="51"/>
      <c r="H908" s="51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48"/>
      <c r="AJ908" s="27"/>
      <c r="AK908" s="27"/>
      <c r="AL908" s="27"/>
      <c r="AM908" s="27"/>
      <c r="AN908" s="27"/>
      <c r="AO908" s="27"/>
      <c r="AP908" s="27"/>
      <c r="AQ908" s="27"/>
    </row>
    <row r="909" spans="1:43" ht="14.25" customHeight="1">
      <c r="A909" s="27"/>
      <c r="B909" s="27"/>
      <c r="C909" s="50"/>
      <c r="D909" s="27"/>
      <c r="E909" s="27"/>
      <c r="F909" s="51"/>
      <c r="G909" s="51"/>
      <c r="H909" s="51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48"/>
      <c r="AJ909" s="27"/>
      <c r="AK909" s="27"/>
      <c r="AL909" s="27"/>
      <c r="AM909" s="27"/>
      <c r="AN909" s="27"/>
      <c r="AO909" s="27"/>
      <c r="AP909" s="27"/>
      <c r="AQ909" s="27"/>
    </row>
    <row r="910" spans="1:43" ht="14.25" customHeight="1">
      <c r="A910" s="27"/>
      <c r="B910" s="27"/>
      <c r="C910" s="50"/>
      <c r="D910" s="27"/>
      <c r="E910" s="27"/>
      <c r="F910" s="51"/>
      <c r="G910" s="51"/>
      <c r="H910" s="51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48"/>
      <c r="AJ910" s="27"/>
      <c r="AK910" s="27"/>
      <c r="AL910" s="27"/>
      <c r="AM910" s="27"/>
      <c r="AN910" s="27"/>
      <c r="AO910" s="27"/>
      <c r="AP910" s="27"/>
      <c r="AQ910" s="27"/>
    </row>
    <row r="911" spans="1:43" ht="14.25" customHeight="1">
      <c r="A911" s="27"/>
      <c r="B911" s="27"/>
      <c r="C911" s="50"/>
      <c r="D911" s="27"/>
      <c r="E911" s="27"/>
      <c r="F911" s="51"/>
      <c r="G911" s="51"/>
      <c r="H911" s="51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48"/>
      <c r="AJ911" s="27"/>
      <c r="AK911" s="27"/>
      <c r="AL911" s="27"/>
      <c r="AM911" s="27"/>
      <c r="AN911" s="27"/>
      <c r="AO911" s="27"/>
      <c r="AP911" s="27"/>
      <c r="AQ911" s="27"/>
    </row>
    <row r="912" spans="1:43" ht="14.25" customHeight="1">
      <c r="A912" s="27"/>
      <c r="B912" s="27"/>
      <c r="C912" s="50"/>
      <c r="D912" s="27"/>
      <c r="E912" s="27"/>
      <c r="F912" s="51"/>
      <c r="G912" s="51"/>
      <c r="H912" s="51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48"/>
      <c r="AJ912" s="27"/>
      <c r="AK912" s="27"/>
      <c r="AL912" s="27"/>
      <c r="AM912" s="27"/>
      <c r="AN912" s="27"/>
      <c r="AO912" s="27"/>
      <c r="AP912" s="27"/>
      <c r="AQ912" s="27"/>
    </row>
    <row r="913" spans="1:43" ht="14.25" customHeight="1">
      <c r="A913" s="27"/>
      <c r="B913" s="27"/>
      <c r="C913" s="50"/>
      <c r="D913" s="27"/>
      <c r="E913" s="27"/>
      <c r="F913" s="51"/>
      <c r="G913" s="51"/>
      <c r="H913" s="51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48"/>
      <c r="AJ913" s="27"/>
      <c r="AK913" s="27"/>
      <c r="AL913" s="27"/>
      <c r="AM913" s="27"/>
      <c r="AN913" s="27"/>
      <c r="AO913" s="27"/>
      <c r="AP913" s="27"/>
      <c r="AQ913" s="27"/>
    </row>
    <row r="914" spans="1:43" ht="14.25" customHeight="1">
      <c r="A914" s="27"/>
      <c r="B914" s="27"/>
      <c r="C914" s="50"/>
      <c r="D914" s="27"/>
      <c r="E914" s="27"/>
      <c r="F914" s="51"/>
      <c r="G914" s="51"/>
      <c r="H914" s="51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48"/>
      <c r="AJ914" s="27"/>
      <c r="AK914" s="27"/>
      <c r="AL914" s="27"/>
      <c r="AM914" s="27"/>
      <c r="AN914" s="27"/>
      <c r="AO914" s="27"/>
      <c r="AP914" s="27"/>
      <c r="AQ914" s="27"/>
    </row>
    <row r="915" spans="1:43" ht="14.25" customHeight="1">
      <c r="A915" s="27"/>
      <c r="B915" s="27"/>
      <c r="C915" s="50"/>
      <c r="D915" s="27"/>
      <c r="E915" s="27"/>
      <c r="F915" s="51"/>
      <c r="G915" s="51"/>
      <c r="H915" s="51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48"/>
      <c r="AJ915" s="27"/>
      <c r="AK915" s="27"/>
      <c r="AL915" s="27"/>
      <c r="AM915" s="27"/>
      <c r="AN915" s="27"/>
      <c r="AO915" s="27"/>
      <c r="AP915" s="27"/>
      <c r="AQ915" s="27"/>
    </row>
    <row r="916" spans="1:43" ht="14.25" customHeight="1">
      <c r="A916" s="27"/>
      <c r="B916" s="27"/>
      <c r="C916" s="50"/>
      <c r="D916" s="27"/>
      <c r="E916" s="27"/>
      <c r="F916" s="51"/>
      <c r="G916" s="51"/>
      <c r="H916" s="51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48"/>
      <c r="AJ916" s="27"/>
      <c r="AK916" s="27"/>
      <c r="AL916" s="27"/>
      <c r="AM916" s="27"/>
      <c r="AN916" s="27"/>
      <c r="AO916" s="27"/>
      <c r="AP916" s="27"/>
      <c r="AQ916" s="27"/>
    </row>
    <row r="917" spans="1:43" ht="14.25" customHeight="1">
      <c r="A917" s="27"/>
      <c r="B917" s="27"/>
      <c r="C917" s="50"/>
      <c r="D917" s="27"/>
      <c r="E917" s="27"/>
      <c r="F917" s="51"/>
      <c r="G917" s="51"/>
      <c r="H917" s="51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48"/>
      <c r="AJ917" s="27"/>
      <c r="AK917" s="27"/>
      <c r="AL917" s="27"/>
      <c r="AM917" s="27"/>
      <c r="AN917" s="27"/>
      <c r="AO917" s="27"/>
      <c r="AP917" s="27"/>
      <c r="AQ917" s="27"/>
    </row>
    <row r="918" spans="1:43" ht="14.25" customHeight="1">
      <c r="A918" s="27"/>
      <c r="B918" s="27"/>
      <c r="C918" s="50"/>
      <c r="D918" s="27"/>
      <c r="E918" s="27"/>
      <c r="F918" s="51"/>
      <c r="G918" s="51"/>
      <c r="H918" s="51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48"/>
      <c r="AJ918" s="27"/>
      <c r="AK918" s="27"/>
      <c r="AL918" s="27"/>
      <c r="AM918" s="27"/>
      <c r="AN918" s="27"/>
      <c r="AO918" s="27"/>
      <c r="AP918" s="27"/>
      <c r="AQ918" s="27"/>
    </row>
    <row r="919" spans="1:43" ht="14.25" customHeight="1">
      <c r="A919" s="27"/>
      <c r="B919" s="27"/>
      <c r="C919" s="50"/>
      <c r="D919" s="27"/>
      <c r="E919" s="27"/>
      <c r="F919" s="51"/>
      <c r="G919" s="51"/>
      <c r="H919" s="51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48"/>
      <c r="AJ919" s="27"/>
      <c r="AK919" s="27"/>
      <c r="AL919" s="27"/>
      <c r="AM919" s="27"/>
      <c r="AN919" s="27"/>
      <c r="AO919" s="27"/>
      <c r="AP919" s="27"/>
      <c r="AQ919" s="27"/>
    </row>
    <row r="920" spans="1:43" ht="14.25" customHeight="1">
      <c r="A920" s="27"/>
      <c r="B920" s="27"/>
      <c r="C920" s="50"/>
      <c r="D920" s="27"/>
      <c r="E920" s="27"/>
      <c r="F920" s="51"/>
      <c r="G920" s="51"/>
      <c r="H920" s="51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48"/>
      <c r="AJ920" s="27"/>
      <c r="AK920" s="27"/>
      <c r="AL920" s="27"/>
      <c r="AM920" s="27"/>
      <c r="AN920" s="27"/>
      <c r="AO920" s="27"/>
      <c r="AP920" s="27"/>
      <c r="AQ920" s="27"/>
    </row>
    <row r="921" spans="1:43" ht="14.25" customHeight="1">
      <c r="A921" s="27"/>
      <c r="B921" s="27"/>
      <c r="C921" s="50"/>
      <c r="D921" s="27"/>
      <c r="E921" s="27"/>
      <c r="F921" s="51"/>
      <c r="G921" s="51"/>
      <c r="H921" s="51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48"/>
      <c r="AJ921" s="27"/>
      <c r="AK921" s="27"/>
      <c r="AL921" s="27"/>
      <c r="AM921" s="27"/>
      <c r="AN921" s="27"/>
      <c r="AO921" s="27"/>
      <c r="AP921" s="27"/>
      <c r="AQ921" s="27"/>
    </row>
    <row r="922" spans="1:43" ht="14.25" customHeight="1">
      <c r="A922" s="27"/>
      <c r="B922" s="27"/>
      <c r="C922" s="50"/>
      <c r="D922" s="27"/>
      <c r="E922" s="27"/>
      <c r="F922" s="51"/>
      <c r="G922" s="51"/>
      <c r="H922" s="51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48"/>
      <c r="AJ922" s="27"/>
      <c r="AK922" s="27"/>
      <c r="AL922" s="27"/>
      <c r="AM922" s="27"/>
      <c r="AN922" s="27"/>
      <c r="AO922" s="27"/>
      <c r="AP922" s="27"/>
      <c r="AQ922" s="27"/>
    </row>
    <row r="923" spans="1:43" ht="14.25" customHeight="1">
      <c r="A923" s="27"/>
      <c r="B923" s="27"/>
      <c r="C923" s="50"/>
      <c r="D923" s="27"/>
      <c r="E923" s="27"/>
      <c r="F923" s="51"/>
      <c r="G923" s="51"/>
      <c r="H923" s="51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48"/>
      <c r="AJ923" s="27"/>
      <c r="AK923" s="27"/>
      <c r="AL923" s="27"/>
      <c r="AM923" s="27"/>
      <c r="AN923" s="27"/>
      <c r="AO923" s="27"/>
      <c r="AP923" s="27"/>
      <c r="AQ923" s="27"/>
    </row>
    <row r="924" spans="1:43" ht="14.25" customHeight="1">
      <c r="A924" s="27"/>
      <c r="B924" s="27"/>
      <c r="C924" s="50"/>
      <c r="D924" s="27"/>
      <c r="E924" s="27"/>
      <c r="F924" s="51"/>
      <c r="G924" s="51"/>
      <c r="H924" s="51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48"/>
      <c r="AJ924" s="27"/>
      <c r="AK924" s="27"/>
      <c r="AL924" s="27"/>
      <c r="AM924" s="27"/>
      <c r="AN924" s="27"/>
      <c r="AO924" s="27"/>
      <c r="AP924" s="27"/>
      <c r="AQ924" s="27"/>
    </row>
    <row r="925" spans="1:43" ht="14.25" customHeight="1">
      <c r="A925" s="27"/>
      <c r="B925" s="27"/>
      <c r="C925" s="50"/>
      <c r="D925" s="27"/>
      <c r="E925" s="27"/>
      <c r="F925" s="51"/>
      <c r="G925" s="51"/>
      <c r="H925" s="51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48"/>
      <c r="AJ925" s="27"/>
      <c r="AK925" s="27"/>
      <c r="AL925" s="27"/>
      <c r="AM925" s="27"/>
      <c r="AN925" s="27"/>
      <c r="AO925" s="27"/>
      <c r="AP925" s="27"/>
      <c r="AQ925" s="27"/>
    </row>
    <row r="926" spans="1:43" ht="14.25" customHeight="1">
      <c r="A926" s="27"/>
      <c r="B926" s="27"/>
      <c r="C926" s="50"/>
      <c r="D926" s="27"/>
      <c r="E926" s="27"/>
      <c r="F926" s="51"/>
      <c r="G926" s="51"/>
      <c r="H926" s="51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48"/>
      <c r="AJ926" s="27"/>
      <c r="AK926" s="27"/>
      <c r="AL926" s="27"/>
      <c r="AM926" s="27"/>
      <c r="AN926" s="27"/>
      <c r="AO926" s="27"/>
      <c r="AP926" s="27"/>
      <c r="AQ926" s="27"/>
    </row>
    <row r="927" spans="1:43" ht="14.25" customHeight="1">
      <c r="A927" s="27"/>
      <c r="B927" s="27"/>
      <c r="C927" s="50"/>
      <c r="D927" s="27"/>
      <c r="E927" s="27"/>
      <c r="F927" s="51"/>
      <c r="G927" s="51"/>
      <c r="H927" s="51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48"/>
      <c r="AJ927" s="27"/>
      <c r="AK927" s="27"/>
      <c r="AL927" s="27"/>
      <c r="AM927" s="27"/>
      <c r="AN927" s="27"/>
      <c r="AO927" s="27"/>
      <c r="AP927" s="27"/>
      <c r="AQ927" s="27"/>
    </row>
    <row r="928" spans="1:43" ht="14.25" customHeight="1">
      <c r="A928" s="27"/>
      <c r="B928" s="27"/>
      <c r="C928" s="50"/>
      <c r="D928" s="27"/>
      <c r="E928" s="27"/>
      <c r="F928" s="51"/>
      <c r="G928" s="51"/>
      <c r="H928" s="51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48"/>
      <c r="AJ928" s="27"/>
      <c r="AK928" s="27"/>
      <c r="AL928" s="27"/>
      <c r="AM928" s="27"/>
      <c r="AN928" s="27"/>
      <c r="AO928" s="27"/>
      <c r="AP928" s="27"/>
      <c r="AQ928" s="27"/>
    </row>
    <row r="929" spans="1:43" ht="14.25" customHeight="1">
      <c r="A929" s="27"/>
      <c r="B929" s="27"/>
      <c r="C929" s="50"/>
      <c r="D929" s="27"/>
      <c r="E929" s="27"/>
      <c r="F929" s="51"/>
      <c r="G929" s="51"/>
      <c r="H929" s="51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48"/>
      <c r="AJ929" s="27"/>
      <c r="AK929" s="27"/>
      <c r="AL929" s="27"/>
      <c r="AM929" s="27"/>
      <c r="AN929" s="27"/>
      <c r="AO929" s="27"/>
      <c r="AP929" s="27"/>
      <c r="AQ929" s="27"/>
    </row>
    <row r="930" spans="1:43" ht="14.25" customHeight="1">
      <c r="A930" s="27"/>
      <c r="B930" s="27"/>
      <c r="C930" s="50"/>
      <c r="D930" s="27"/>
      <c r="E930" s="27"/>
      <c r="F930" s="51"/>
      <c r="G930" s="51"/>
      <c r="H930" s="51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48"/>
      <c r="AJ930" s="27"/>
      <c r="AK930" s="27"/>
      <c r="AL930" s="27"/>
      <c r="AM930" s="27"/>
      <c r="AN930" s="27"/>
      <c r="AO930" s="27"/>
      <c r="AP930" s="27"/>
      <c r="AQ930" s="27"/>
    </row>
    <row r="931" spans="1:43" ht="14.25" customHeight="1">
      <c r="A931" s="27"/>
      <c r="B931" s="27"/>
      <c r="C931" s="50"/>
      <c r="D931" s="27"/>
      <c r="E931" s="27"/>
      <c r="F931" s="51"/>
      <c r="G931" s="51"/>
      <c r="H931" s="51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48"/>
      <c r="AJ931" s="27"/>
      <c r="AK931" s="27"/>
      <c r="AL931" s="27"/>
      <c r="AM931" s="27"/>
      <c r="AN931" s="27"/>
      <c r="AO931" s="27"/>
      <c r="AP931" s="27"/>
      <c r="AQ931" s="27"/>
    </row>
    <row r="932" spans="1:43" ht="14.25" customHeight="1">
      <c r="A932" s="27"/>
      <c r="B932" s="27"/>
      <c r="C932" s="50"/>
      <c r="D932" s="27"/>
      <c r="E932" s="27"/>
      <c r="F932" s="51"/>
      <c r="G932" s="51"/>
      <c r="H932" s="51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48"/>
      <c r="AJ932" s="27"/>
      <c r="AK932" s="27"/>
      <c r="AL932" s="27"/>
      <c r="AM932" s="27"/>
      <c r="AN932" s="27"/>
      <c r="AO932" s="27"/>
      <c r="AP932" s="27"/>
      <c r="AQ932" s="27"/>
    </row>
    <row r="933" spans="1:43" ht="14.25" customHeight="1">
      <c r="A933" s="27"/>
      <c r="B933" s="27"/>
      <c r="C933" s="50"/>
      <c r="D933" s="27"/>
      <c r="E933" s="27"/>
      <c r="F933" s="51"/>
      <c r="G933" s="51"/>
      <c r="H933" s="51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48"/>
      <c r="AJ933" s="27"/>
      <c r="AK933" s="27"/>
      <c r="AL933" s="27"/>
      <c r="AM933" s="27"/>
      <c r="AN933" s="27"/>
      <c r="AO933" s="27"/>
      <c r="AP933" s="27"/>
      <c r="AQ933" s="27"/>
    </row>
    <row r="934" spans="1:43" ht="14.25" customHeight="1">
      <c r="A934" s="27"/>
      <c r="B934" s="27"/>
      <c r="C934" s="50"/>
      <c r="D934" s="27"/>
      <c r="E934" s="27"/>
      <c r="F934" s="51"/>
      <c r="G934" s="51"/>
      <c r="H934" s="51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48"/>
      <c r="AJ934" s="27"/>
      <c r="AK934" s="27"/>
      <c r="AL934" s="27"/>
      <c r="AM934" s="27"/>
      <c r="AN934" s="27"/>
      <c r="AO934" s="27"/>
      <c r="AP934" s="27"/>
      <c r="AQ934" s="27"/>
    </row>
    <row r="935" spans="1:43" ht="14.25" customHeight="1">
      <c r="A935" s="27"/>
      <c r="B935" s="27"/>
      <c r="C935" s="50"/>
      <c r="D935" s="27"/>
      <c r="E935" s="27"/>
      <c r="F935" s="51"/>
      <c r="G935" s="51"/>
      <c r="H935" s="51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48"/>
      <c r="AJ935" s="27"/>
      <c r="AK935" s="27"/>
      <c r="AL935" s="27"/>
      <c r="AM935" s="27"/>
      <c r="AN935" s="27"/>
      <c r="AO935" s="27"/>
      <c r="AP935" s="27"/>
      <c r="AQ935" s="27"/>
    </row>
    <row r="936" spans="1:43" ht="14.25" customHeight="1">
      <c r="A936" s="27"/>
      <c r="B936" s="27"/>
      <c r="C936" s="50"/>
      <c r="D936" s="27"/>
      <c r="E936" s="27"/>
      <c r="F936" s="51"/>
      <c r="G936" s="51"/>
      <c r="H936" s="51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48"/>
      <c r="AJ936" s="27"/>
      <c r="AK936" s="27"/>
      <c r="AL936" s="27"/>
      <c r="AM936" s="27"/>
      <c r="AN936" s="27"/>
      <c r="AO936" s="27"/>
      <c r="AP936" s="27"/>
      <c r="AQ936" s="27"/>
    </row>
    <row r="937" spans="1:43" ht="14.25" customHeight="1">
      <c r="A937" s="27"/>
      <c r="B937" s="27"/>
      <c r="C937" s="50"/>
      <c r="D937" s="27"/>
      <c r="E937" s="27"/>
      <c r="F937" s="51"/>
      <c r="G937" s="51"/>
      <c r="H937" s="51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48"/>
      <c r="AJ937" s="27"/>
      <c r="AK937" s="27"/>
      <c r="AL937" s="27"/>
      <c r="AM937" s="27"/>
      <c r="AN937" s="27"/>
      <c r="AO937" s="27"/>
      <c r="AP937" s="27"/>
      <c r="AQ937" s="27"/>
    </row>
    <row r="938" spans="1:43" ht="14.25" customHeight="1">
      <c r="A938" s="27"/>
      <c r="B938" s="27"/>
      <c r="C938" s="50"/>
      <c r="D938" s="27"/>
      <c r="E938" s="27"/>
      <c r="F938" s="51"/>
      <c r="G938" s="51"/>
      <c r="H938" s="51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48"/>
      <c r="AJ938" s="27"/>
      <c r="AK938" s="27"/>
      <c r="AL938" s="27"/>
      <c r="AM938" s="27"/>
      <c r="AN938" s="27"/>
      <c r="AO938" s="27"/>
      <c r="AP938" s="27"/>
      <c r="AQ938" s="27"/>
    </row>
    <row r="939" spans="1:43" ht="14.25" customHeight="1">
      <c r="A939" s="27"/>
      <c r="B939" s="27"/>
      <c r="C939" s="50"/>
      <c r="D939" s="27"/>
      <c r="E939" s="27"/>
      <c r="F939" s="51"/>
      <c r="G939" s="51"/>
      <c r="H939" s="51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48"/>
      <c r="AJ939" s="27"/>
      <c r="AK939" s="27"/>
      <c r="AL939" s="27"/>
      <c r="AM939" s="27"/>
      <c r="AN939" s="27"/>
      <c r="AO939" s="27"/>
      <c r="AP939" s="27"/>
      <c r="AQ939" s="27"/>
    </row>
    <row r="940" spans="1:43" ht="14.25" customHeight="1">
      <c r="A940" s="27"/>
      <c r="B940" s="27"/>
      <c r="C940" s="50"/>
      <c r="D940" s="27"/>
      <c r="E940" s="27"/>
      <c r="F940" s="51"/>
      <c r="G940" s="51"/>
      <c r="H940" s="51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48"/>
      <c r="AJ940" s="27"/>
      <c r="AK940" s="27"/>
      <c r="AL940" s="27"/>
      <c r="AM940" s="27"/>
      <c r="AN940" s="27"/>
      <c r="AO940" s="27"/>
      <c r="AP940" s="27"/>
      <c r="AQ940" s="27"/>
    </row>
    <row r="941" spans="1:43" ht="14.25" customHeight="1">
      <c r="A941" s="27"/>
      <c r="B941" s="27"/>
      <c r="C941" s="50"/>
      <c r="D941" s="27"/>
      <c r="E941" s="27"/>
      <c r="F941" s="51"/>
      <c r="G941" s="51"/>
      <c r="H941" s="51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48"/>
      <c r="AJ941" s="27"/>
      <c r="AK941" s="27"/>
      <c r="AL941" s="27"/>
      <c r="AM941" s="27"/>
      <c r="AN941" s="27"/>
      <c r="AO941" s="27"/>
      <c r="AP941" s="27"/>
      <c r="AQ941" s="27"/>
    </row>
    <row r="942" spans="1:43" ht="14.25" customHeight="1">
      <c r="A942" s="27"/>
      <c r="B942" s="27"/>
      <c r="C942" s="50"/>
      <c r="D942" s="27"/>
      <c r="E942" s="27"/>
      <c r="F942" s="51"/>
      <c r="G942" s="51"/>
      <c r="H942" s="51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48"/>
      <c r="AJ942" s="27"/>
      <c r="AK942" s="27"/>
      <c r="AL942" s="27"/>
      <c r="AM942" s="27"/>
      <c r="AN942" s="27"/>
      <c r="AO942" s="27"/>
      <c r="AP942" s="27"/>
      <c r="AQ942" s="27"/>
    </row>
    <row r="943" spans="1:43" ht="14.25" customHeight="1">
      <c r="A943" s="27"/>
      <c r="B943" s="27"/>
      <c r="C943" s="50"/>
      <c r="D943" s="27"/>
      <c r="E943" s="27"/>
      <c r="F943" s="51"/>
      <c r="G943" s="51"/>
      <c r="H943" s="51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48"/>
      <c r="AJ943" s="27"/>
      <c r="AK943" s="27"/>
      <c r="AL943" s="27"/>
      <c r="AM943" s="27"/>
      <c r="AN943" s="27"/>
      <c r="AO943" s="27"/>
      <c r="AP943" s="27"/>
      <c r="AQ943" s="27"/>
    </row>
    <row r="944" spans="1:43" ht="14.25" customHeight="1">
      <c r="A944" s="27"/>
      <c r="B944" s="27"/>
      <c r="C944" s="50"/>
      <c r="D944" s="27"/>
      <c r="E944" s="27"/>
      <c r="F944" s="51"/>
      <c r="G944" s="51"/>
      <c r="H944" s="51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48"/>
      <c r="AJ944" s="27"/>
      <c r="AK944" s="27"/>
      <c r="AL944" s="27"/>
      <c r="AM944" s="27"/>
      <c r="AN944" s="27"/>
      <c r="AO944" s="27"/>
      <c r="AP944" s="27"/>
      <c r="AQ944" s="27"/>
    </row>
    <row r="945" spans="1:43" ht="14.25" customHeight="1">
      <c r="A945" s="27"/>
      <c r="B945" s="27"/>
      <c r="C945" s="50"/>
      <c r="D945" s="27"/>
      <c r="E945" s="27"/>
      <c r="F945" s="51"/>
      <c r="G945" s="51"/>
      <c r="H945" s="51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48"/>
      <c r="AJ945" s="27"/>
      <c r="AK945" s="27"/>
      <c r="AL945" s="27"/>
      <c r="AM945" s="27"/>
      <c r="AN945" s="27"/>
      <c r="AO945" s="27"/>
      <c r="AP945" s="27"/>
      <c r="AQ945" s="27"/>
    </row>
    <row r="946" spans="1:43" ht="14.25" customHeight="1">
      <c r="A946" s="27"/>
      <c r="B946" s="27"/>
      <c r="C946" s="50"/>
      <c r="D946" s="27"/>
      <c r="E946" s="27"/>
      <c r="F946" s="51"/>
      <c r="G946" s="51"/>
      <c r="H946" s="51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48"/>
      <c r="AJ946" s="27"/>
      <c r="AK946" s="27"/>
      <c r="AL946" s="27"/>
      <c r="AM946" s="27"/>
      <c r="AN946" s="27"/>
      <c r="AO946" s="27"/>
      <c r="AP946" s="27"/>
      <c r="AQ946" s="27"/>
    </row>
    <row r="947" spans="1:43" ht="14.25" customHeight="1">
      <c r="A947" s="27"/>
      <c r="B947" s="27"/>
      <c r="C947" s="50"/>
      <c r="D947" s="27"/>
      <c r="E947" s="27"/>
      <c r="F947" s="51"/>
      <c r="G947" s="51"/>
      <c r="H947" s="51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48"/>
      <c r="AJ947" s="27"/>
      <c r="AK947" s="27"/>
      <c r="AL947" s="27"/>
      <c r="AM947" s="27"/>
      <c r="AN947" s="27"/>
      <c r="AO947" s="27"/>
      <c r="AP947" s="27"/>
      <c r="AQ947" s="27"/>
    </row>
    <row r="948" spans="1:43" ht="14.25" customHeight="1">
      <c r="A948" s="27"/>
      <c r="B948" s="27"/>
      <c r="C948" s="50"/>
      <c r="D948" s="27"/>
      <c r="E948" s="27"/>
      <c r="F948" s="51"/>
      <c r="G948" s="51"/>
      <c r="H948" s="51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48"/>
      <c r="AJ948" s="27"/>
      <c r="AK948" s="27"/>
      <c r="AL948" s="27"/>
      <c r="AM948" s="27"/>
      <c r="AN948" s="27"/>
      <c r="AO948" s="27"/>
      <c r="AP948" s="27"/>
      <c r="AQ948" s="27"/>
    </row>
    <row r="949" spans="1:43" ht="14.25" customHeight="1">
      <c r="A949" s="27"/>
      <c r="B949" s="27"/>
      <c r="C949" s="50"/>
      <c r="D949" s="27"/>
      <c r="E949" s="27"/>
      <c r="F949" s="51"/>
      <c r="G949" s="51"/>
      <c r="H949" s="51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48"/>
      <c r="AJ949" s="27"/>
      <c r="AK949" s="27"/>
      <c r="AL949" s="27"/>
      <c r="AM949" s="27"/>
      <c r="AN949" s="27"/>
      <c r="AO949" s="27"/>
      <c r="AP949" s="27"/>
      <c r="AQ949" s="27"/>
    </row>
    <row r="950" spans="1:43" ht="14.25" customHeight="1">
      <c r="A950" s="27"/>
      <c r="B950" s="27"/>
      <c r="C950" s="50"/>
      <c r="D950" s="27"/>
      <c r="E950" s="27"/>
      <c r="F950" s="51"/>
      <c r="G950" s="51"/>
      <c r="H950" s="51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48"/>
      <c r="AJ950" s="27"/>
      <c r="AK950" s="27"/>
      <c r="AL950" s="27"/>
      <c r="AM950" s="27"/>
      <c r="AN950" s="27"/>
      <c r="AO950" s="27"/>
      <c r="AP950" s="27"/>
      <c r="AQ950" s="27"/>
    </row>
    <row r="951" spans="1:43" ht="14.25" customHeight="1">
      <c r="A951" s="27"/>
      <c r="B951" s="27"/>
      <c r="C951" s="50"/>
      <c r="D951" s="27"/>
      <c r="E951" s="27"/>
      <c r="F951" s="51"/>
      <c r="G951" s="51"/>
      <c r="H951" s="51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48"/>
      <c r="AJ951" s="27"/>
      <c r="AK951" s="27"/>
      <c r="AL951" s="27"/>
      <c r="AM951" s="27"/>
      <c r="AN951" s="27"/>
      <c r="AO951" s="27"/>
      <c r="AP951" s="27"/>
      <c r="AQ951" s="27"/>
    </row>
    <row r="952" spans="1:43" ht="14.25" customHeight="1">
      <c r="A952" s="27"/>
      <c r="B952" s="27"/>
      <c r="C952" s="50"/>
      <c r="D952" s="27"/>
      <c r="E952" s="27"/>
      <c r="F952" s="51"/>
      <c r="G952" s="51"/>
      <c r="H952" s="51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48"/>
      <c r="AJ952" s="27"/>
      <c r="AK952" s="27"/>
      <c r="AL952" s="27"/>
      <c r="AM952" s="27"/>
      <c r="AN952" s="27"/>
      <c r="AO952" s="27"/>
      <c r="AP952" s="27"/>
      <c r="AQ952" s="27"/>
    </row>
    <row r="953" spans="1:43" ht="14.25" customHeight="1">
      <c r="A953" s="27"/>
      <c r="B953" s="27"/>
      <c r="C953" s="50"/>
      <c r="D953" s="27"/>
      <c r="E953" s="27"/>
      <c r="F953" s="51"/>
      <c r="G953" s="51"/>
      <c r="H953" s="51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48"/>
      <c r="AJ953" s="27"/>
      <c r="AK953" s="27"/>
      <c r="AL953" s="27"/>
      <c r="AM953" s="27"/>
      <c r="AN953" s="27"/>
      <c r="AO953" s="27"/>
      <c r="AP953" s="27"/>
      <c r="AQ953" s="27"/>
    </row>
    <row r="954" spans="1:43" ht="14.25" customHeight="1">
      <c r="A954" s="27"/>
      <c r="B954" s="27"/>
      <c r="C954" s="50"/>
      <c r="D954" s="27"/>
      <c r="E954" s="27"/>
      <c r="F954" s="51"/>
      <c r="G954" s="51"/>
      <c r="H954" s="51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48"/>
      <c r="AJ954" s="27"/>
      <c r="AK954" s="27"/>
      <c r="AL954" s="27"/>
      <c r="AM954" s="27"/>
      <c r="AN954" s="27"/>
      <c r="AO954" s="27"/>
      <c r="AP954" s="27"/>
      <c r="AQ954" s="27"/>
    </row>
    <row r="955" spans="1:43" ht="14.25" customHeight="1">
      <c r="A955" s="27"/>
      <c r="B955" s="27"/>
      <c r="C955" s="50"/>
      <c r="D955" s="27"/>
      <c r="E955" s="27"/>
      <c r="F955" s="51"/>
      <c r="G955" s="51"/>
      <c r="H955" s="51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48"/>
      <c r="AJ955" s="27"/>
      <c r="AK955" s="27"/>
      <c r="AL955" s="27"/>
      <c r="AM955" s="27"/>
      <c r="AN955" s="27"/>
      <c r="AO955" s="27"/>
      <c r="AP955" s="27"/>
      <c r="AQ955" s="27"/>
    </row>
    <row r="956" spans="1:43" ht="14.25" customHeight="1">
      <c r="A956" s="27"/>
      <c r="B956" s="27"/>
      <c r="C956" s="50"/>
      <c r="D956" s="27"/>
      <c r="E956" s="27"/>
      <c r="F956" s="51"/>
      <c r="G956" s="51"/>
      <c r="H956" s="51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48"/>
      <c r="AJ956" s="27"/>
      <c r="AK956" s="27"/>
      <c r="AL956" s="27"/>
      <c r="AM956" s="27"/>
      <c r="AN956" s="27"/>
      <c r="AO956" s="27"/>
      <c r="AP956" s="27"/>
      <c r="AQ956" s="27"/>
    </row>
    <row r="957" spans="1:43" ht="14.25" customHeight="1">
      <c r="A957" s="27"/>
      <c r="B957" s="27"/>
      <c r="C957" s="50"/>
      <c r="D957" s="27"/>
      <c r="E957" s="27"/>
      <c r="F957" s="51"/>
      <c r="G957" s="51"/>
      <c r="H957" s="51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48"/>
      <c r="AJ957" s="27"/>
      <c r="AK957" s="27"/>
      <c r="AL957" s="27"/>
      <c r="AM957" s="27"/>
      <c r="AN957" s="27"/>
      <c r="AO957" s="27"/>
      <c r="AP957" s="27"/>
      <c r="AQ957" s="27"/>
    </row>
    <row r="958" spans="1:43" ht="14.25" customHeight="1">
      <c r="A958" s="27"/>
      <c r="B958" s="27"/>
      <c r="C958" s="50"/>
      <c r="D958" s="27"/>
      <c r="E958" s="27"/>
      <c r="F958" s="51"/>
      <c r="G958" s="51"/>
      <c r="H958" s="51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48"/>
      <c r="AJ958" s="27"/>
      <c r="AK958" s="27"/>
      <c r="AL958" s="27"/>
      <c r="AM958" s="27"/>
      <c r="AN958" s="27"/>
      <c r="AO958" s="27"/>
      <c r="AP958" s="27"/>
      <c r="AQ958" s="27"/>
    </row>
    <row r="959" spans="1:43" ht="14.25" customHeight="1">
      <c r="A959" s="27"/>
      <c r="B959" s="27"/>
      <c r="C959" s="50"/>
      <c r="D959" s="27"/>
      <c r="E959" s="27"/>
      <c r="F959" s="51"/>
      <c r="G959" s="51"/>
      <c r="H959" s="51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48"/>
      <c r="AJ959" s="27"/>
      <c r="AK959" s="27"/>
      <c r="AL959" s="27"/>
      <c r="AM959" s="27"/>
      <c r="AN959" s="27"/>
      <c r="AO959" s="27"/>
      <c r="AP959" s="27"/>
      <c r="AQ959" s="27"/>
    </row>
    <row r="960" spans="1:43" ht="14.25" customHeight="1">
      <c r="A960" s="27"/>
      <c r="B960" s="27"/>
      <c r="C960" s="50"/>
      <c r="D960" s="27"/>
      <c r="E960" s="27"/>
      <c r="F960" s="51"/>
      <c r="G960" s="51"/>
      <c r="H960" s="51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48"/>
      <c r="AJ960" s="27"/>
      <c r="AK960" s="27"/>
      <c r="AL960" s="27"/>
      <c r="AM960" s="27"/>
      <c r="AN960" s="27"/>
      <c r="AO960" s="27"/>
      <c r="AP960" s="27"/>
      <c r="AQ960" s="27"/>
    </row>
    <row r="961" spans="1:43" ht="14.25" customHeight="1">
      <c r="A961" s="27"/>
      <c r="B961" s="27"/>
      <c r="C961" s="50"/>
      <c r="D961" s="27"/>
      <c r="E961" s="27"/>
      <c r="F961" s="51"/>
      <c r="G961" s="51"/>
      <c r="H961" s="51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48"/>
      <c r="AJ961" s="27"/>
      <c r="AK961" s="27"/>
      <c r="AL961" s="27"/>
      <c r="AM961" s="27"/>
      <c r="AN961" s="27"/>
      <c r="AO961" s="27"/>
      <c r="AP961" s="27"/>
      <c r="AQ961" s="27"/>
    </row>
    <row r="962" spans="1:43" ht="14.25" customHeight="1">
      <c r="A962" s="27"/>
      <c r="B962" s="27"/>
      <c r="C962" s="50"/>
      <c r="D962" s="27"/>
      <c r="E962" s="27"/>
      <c r="F962" s="51"/>
      <c r="G962" s="51"/>
      <c r="H962" s="51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48"/>
      <c r="AJ962" s="27"/>
      <c r="AK962" s="27"/>
      <c r="AL962" s="27"/>
      <c r="AM962" s="27"/>
      <c r="AN962" s="27"/>
      <c r="AO962" s="27"/>
      <c r="AP962" s="27"/>
      <c r="AQ962" s="27"/>
    </row>
    <row r="963" spans="1:43" ht="14.25" customHeight="1">
      <c r="A963" s="27"/>
      <c r="B963" s="27"/>
      <c r="C963" s="50"/>
      <c r="D963" s="27"/>
      <c r="E963" s="27"/>
      <c r="F963" s="51"/>
      <c r="G963" s="51"/>
      <c r="H963" s="51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48"/>
      <c r="AJ963" s="27"/>
      <c r="AK963" s="27"/>
      <c r="AL963" s="27"/>
      <c r="AM963" s="27"/>
      <c r="AN963" s="27"/>
      <c r="AO963" s="27"/>
      <c r="AP963" s="27"/>
      <c r="AQ963" s="27"/>
    </row>
    <row r="964" spans="1:43" ht="14.25" customHeight="1">
      <c r="A964" s="27"/>
      <c r="B964" s="27"/>
      <c r="C964" s="50"/>
      <c r="D964" s="27"/>
      <c r="E964" s="27"/>
      <c r="F964" s="51"/>
      <c r="G964" s="51"/>
      <c r="H964" s="51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48"/>
      <c r="AJ964" s="27"/>
      <c r="AK964" s="27"/>
      <c r="AL964" s="27"/>
      <c r="AM964" s="27"/>
      <c r="AN964" s="27"/>
      <c r="AO964" s="27"/>
      <c r="AP964" s="27"/>
      <c r="AQ964" s="27"/>
    </row>
    <row r="965" spans="1:43" ht="14.25" customHeight="1">
      <c r="A965" s="27"/>
      <c r="B965" s="27"/>
      <c r="C965" s="50"/>
      <c r="D965" s="27"/>
      <c r="E965" s="27"/>
      <c r="F965" s="51"/>
      <c r="G965" s="51"/>
      <c r="H965" s="51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48"/>
      <c r="AJ965" s="27"/>
      <c r="AK965" s="27"/>
      <c r="AL965" s="27"/>
      <c r="AM965" s="27"/>
      <c r="AN965" s="27"/>
      <c r="AO965" s="27"/>
      <c r="AP965" s="27"/>
      <c r="AQ965" s="27"/>
    </row>
    <row r="966" spans="1:43" ht="14.25" customHeight="1">
      <c r="A966" s="27"/>
      <c r="B966" s="27"/>
      <c r="C966" s="50"/>
      <c r="D966" s="27"/>
      <c r="E966" s="27"/>
      <c r="F966" s="51"/>
      <c r="G966" s="51"/>
      <c r="H966" s="51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48"/>
      <c r="AJ966" s="27"/>
      <c r="AK966" s="27"/>
      <c r="AL966" s="27"/>
      <c r="AM966" s="27"/>
      <c r="AN966" s="27"/>
      <c r="AO966" s="27"/>
      <c r="AP966" s="27"/>
      <c r="AQ966" s="27"/>
    </row>
    <row r="967" spans="1:43" ht="14.25" customHeight="1">
      <c r="A967" s="27"/>
      <c r="B967" s="27"/>
      <c r="C967" s="50"/>
      <c r="D967" s="27"/>
      <c r="E967" s="27"/>
      <c r="F967" s="51"/>
      <c r="G967" s="51"/>
      <c r="H967" s="51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48"/>
      <c r="AJ967" s="27"/>
      <c r="AK967" s="27"/>
      <c r="AL967" s="27"/>
      <c r="AM967" s="27"/>
      <c r="AN967" s="27"/>
      <c r="AO967" s="27"/>
      <c r="AP967" s="27"/>
      <c r="AQ967" s="27"/>
    </row>
    <row r="968" spans="1:43" ht="14.25" customHeight="1">
      <c r="A968" s="27"/>
      <c r="B968" s="27"/>
      <c r="C968" s="50"/>
      <c r="D968" s="27"/>
      <c r="E968" s="27"/>
      <c r="F968" s="51"/>
      <c r="G968" s="51"/>
      <c r="H968" s="51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48"/>
      <c r="AJ968" s="27"/>
      <c r="AK968" s="27"/>
      <c r="AL968" s="27"/>
      <c r="AM968" s="27"/>
      <c r="AN968" s="27"/>
      <c r="AO968" s="27"/>
      <c r="AP968" s="27"/>
      <c r="AQ968" s="27"/>
    </row>
    <row r="969" spans="1:43" ht="14.25" customHeight="1">
      <c r="A969" s="27"/>
      <c r="B969" s="27"/>
      <c r="C969" s="50"/>
      <c r="D969" s="27"/>
      <c r="E969" s="27"/>
      <c r="F969" s="51"/>
      <c r="G969" s="51"/>
      <c r="H969" s="51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48"/>
      <c r="AJ969" s="27"/>
      <c r="AK969" s="27"/>
      <c r="AL969" s="27"/>
      <c r="AM969" s="27"/>
      <c r="AN969" s="27"/>
      <c r="AO969" s="27"/>
      <c r="AP969" s="27"/>
      <c r="AQ969" s="27"/>
    </row>
    <row r="970" spans="1:43" ht="14.25" customHeight="1">
      <c r="A970" s="27"/>
      <c r="B970" s="27"/>
      <c r="C970" s="50"/>
      <c r="D970" s="27"/>
      <c r="E970" s="27"/>
      <c r="F970" s="51"/>
      <c r="G970" s="51"/>
      <c r="H970" s="51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48"/>
      <c r="AJ970" s="27"/>
      <c r="AK970" s="27"/>
      <c r="AL970" s="27"/>
      <c r="AM970" s="27"/>
      <c r="AN970" s="27"/>
      <c r="AO970" s="27"/>
      <c r="AP970" s="27"/>
      <c r="AQ970" s="27"/>
    </row>
    <row r="971" spans="1:43" ht="14.25" customHeight="1">
      <c r="A971" s="27"/>
      <c r="B971" s="27"/>
      <c r="C971" s="50"/>
      <c r="D971" s="27"/>
      <c r="E971" s="27"/>
      <c r="F971" s="51"/>
      <c r="G971" s="51"/>
      <c r="H971" s="51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48"/>
      <c r="AJ971" s="27"/>
      <c r="AK971" s="27"/>
      <c r="AL971" s="27"/>
      <c r="AM971" s="27"/>
      <c r="AN971" s="27"/>
      <c r="AO971" s="27"/>
      <c r="AP971" s="27"/>
      <c r="AQ971" s="27"/>
    </row>
    <row r="972" spans="1:43" ht="14.25" customHeight="1">
      <c r="A972" s="27"/>
      <c r="B972" s="27"/>
      <c r="C972" s="50"/>
      <c r="D972" s="27"/>
      <c r="E972" s="27"/>
      <c r="F972" s="51"/>
      <c r="G972" s="51"/>
      <c r="H972" s="51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48"/>
      <c r="AJ972" s="27"/>
      <c r="AK972" s="27"/>
      <c r="AL972" s="27"/>
      <c r="AM972" s="27"/>
      <c r="AN972" s="27"/>
      <c r="AO972" s="27"/>
      <c r="AP972" s="27"/>
      <c r="AQ972" s="27"/>
    </row>
    <row r="973" spans="1:43" ht="14.25" customHeight="1">
      <c r="A973" s="27"/>
      <c r="B973" s="27"/>
      <c r="C973" s="50"/>
      <c r="D973" s="27"/>
      <c r="E973" s="27"/>
      <c r="F973" s="51"/>
      <c r="G973" s="51"/>
      <c r="H973" s="51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48"/>
      <c r="AJ973" s="27"/>
      <c r="AK973" s="27"/>
      <c r="AL973" s="27"/>
      <c r="AM973" s="27"/>
      <c r="AN973" s="27"/>
      <c r="AO973" s="27"/>
      <c r="AP973" s="27"/>
      <c r="AQ973" s="27"/>
    </row>
    <row r="974" spans="1:43" ht="14.25" customHeight="1">
      <c r="A974" s="27"/>
      <c r="B974" s="27"/>
      <c r="C974" s="50"/>
      <c r="D974" s="27"/>
      <c r="E974" s="27"/>
      <c r="F974" s="51"/>
      <c r="G974" s="51"/>
      <c r="H974" s="51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48"/>
      <c r="AJ974" s="27"/>
      <c r="AK974" s="27"/>
      <c r="AL974" s="27"/>
      <c r="AM974" s="27"/>
      <c r="AN974" s="27"/>
      <c r="AO974" s="27"/>
      <c r="AP974" s="27"/>
      <c r="AQ974" s="27"/>
    </row>
    <row r="975" spans="1:43" ht="14.25" customHeight="1">
      <c r="A975" s="27"/>
      <c r="B975" s="27"/>
      <c r="C975" s="50"/>
      <c r="D975" s="27"/>
      <c r="E975" s="27"/>
      <c r="F975" s="51"/>
      <c r="G975" s="51"/>
      <c r="H975" s="51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48"/>
      <c r="AJ975" s="27"/>
      <c r="AK975" s="27"/>
      <c r="AL975" s="27"/>
      <c r="AM975" s="27"/>
      <c r="AN975" s="27"/>
      <c r="AO975" s="27"/>
      <c r="AP975" s="27"/>
      <c r="AQ975" s="27"/>
    </row>
    <row r="976" spans="1:43" ht="14.25" customHeight="1">
      <c r="A976" s="27"/>
      <c r="B976" s="27"/>
      <c r="C976" s="50"/>
      <c r="D976" s="27"/>
      <c r="E976" s="27"/>
      <c r="F976" s="51"/>
      <c r="G976" s="51"/>
      <c r="H976" s="51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48"/>
      <c r="AJ976" s="27"/>
      <c r="AK976" s="27"/>
      <c r="AL976" s="27"/>
      <c r="AM976" s="27"/>
      <c r="AN976" s="27"/>
      <c r="AO976" s="27"/>
      <c r="AP976" s="27"/>
      <c r="AQ976" s="27"/>
    </row>
    <row r="977" spans="1:43" ht="14.25" customHeight="1">
      <c r="A977" s="27"/>
      <c r="B977" s="27"/>
      <c r="C977" s="50"/>
      <c r="D977" s="27"/>
      <c r="E977" s="27"/>
      <c r="F977" s="51"/>
      <c r="G977" s="51"/>
      <c r="H977" s="51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48"/>
      <c r="AJ977" s="27"/>
      <c r="AK977" s="27"/>
      <c r="AL977" s="27"/>
      <c r="AM977" s="27"/>
      <c r="AN977" s="27"/>
      <c r="AO977" s="27"/>
      <c r="AP977" s="27"/>
      <c r="AQ977" s="27"/>
    </row>
    <row r="978" spans="1:43" ht="14.25" customHeight="1">
      <c r="A978" s="27"/>
      <c r="B978" s="27"/>
      <c r="C978" s="50"/>
      <c r="D978" s="27"/>
      <c r="E978" s="27"/>
      <c r="F978" s="51"/>
      <c r="G978" s="51"/>
      <c r="H978" s="51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48"/>
      <c r="AJ978" s="27"/>
      <c r="AK978" s="27"/>
      <c r="AL978" s="27"/>
      <c r="AM978" s="27"/>
      <c r="AN978" s="27"/>
      <c r="AO978" s="27"/>
      <c r="AP978" s="27"/>
      <c r="AQ978" s="27"/>
    </row>
    <row r="979" spans="1:43" ht="14.25" customHeight="1">
      <c r="A979" s="27"/>
      <c r="B979" s="27"/>
      <c r="C979" s="50"/>
      <c r="D979" s="27"/>
      <c r="E979" s="27"/>
      <c r="F979" s="51"/>
      <c r="G979" s="51"/>
      <c r="H979" s="51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48"/>
      <c r="AJ979" s="27"/>
      <c r="AK979" s="27"/>
      <c r="AL979" s="27"/>
      <c r="AM979" s="27"/>
      <c r="AN979" s="27"/>
      <c r="AO979" s="27"/>
      <c r="AP979" s="27"/>
      <c r="AQ979" s="27"/>
    </row>
    <row r="980" spans="1:43" ht="14.25" customHeight="1">
      <c r="A980" s="27"/>
      <c r="B980" s="27"/>
      <c r="C980" s="50"/>
      <c r="D980" s="27"/>
      <c r="E980" s="27"/>
      <c r="F980" s="51"/>
      <c r="G980" s="51"/>
      <c r="H980" s="51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48"/>
      <c r="AJ980" s="27"/>
      <c r="AK980" s="27"/>
      <c r="AL980" s="27"/>
      <c r="AM980" s="27"/>
      <c r="AN980" s="27"/>
      <c r="AO980" s="27"/>
      <c r="AP980" s="27"/>
      <c r="AQ980" s="27"/>
    </row>
    <row r="981" spans="1:43" ht="14.25" customHeight="1">
      <c r="A981" s="27"/>
      <c r="B981" s="27"/>
      <c r="C981" s="50"/>
      <c r="D981" s="27"/>
      <c r="E981" s="27"/>
      <c r="F981" s="51"/>
      <c r="G981" s="51"/>
      <c r="H981" s="51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48"/>
      <c r="AJ981" s="27"/>
      <c r="AK981" s="27"/>
      <c r="AL981" s="27"/>
      <c r="AM981" s="27"/>
      <c r="AN981" s="27"/>
      <c r="AO981" s="27"/>
      <c r="AP981" s="27"/>
      <c r="AQ981" s="27"/>
    </row>
    <row r="982" spans="1:43" ht="14.25" customHeight="1">
      <c r="A982" s="27"/>
      <c r="B982" s="27"/>
      <c r="C982" s="50"/>
      <c r="D982" s="27"/>
      <c r="E982" s="27"/>
      <c r="F982" s="51"/>
      <c r="G982" s="51"/>
      <c r="H982" s="51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48"/>
      <c r="AJ982" s="27"/>
      <c r="AK982" s="27"/>
      <c r="AL982" s="27"/>
      <c r="AM982" s="27"/>
      <c r="AN982" s="27"/>
      <c r="AO982" s="27"/>
      <c r="AP982" s="27"/>
      <c r="AQ982" s="27"/>
    </row>
    <row r="983" spans="1:43" ht="14.25" customHeight="1">
      <c r="A983" s="27"/>
      <c r="B983" s="27"/>
      <c r="C983" s="50"/>
      <c r="D983" s="27"/>
      <c r="E983" s="27"/>
      <c r="F983" s="51"/>
      <c r="G983" s="51"/>
      <c r="H983" s="51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48"/>
      <c r="AJ983" s="27"/>
      <c r="AK983" s="27"/>
      <c r="AL983" s="27"/>
      <c r="AM983" s="27"/>
      <c r="AN983" s="27"/>
      <c r="AO983" s="27"/>
      <c r="AP983" s="27"/>
      <c r="AQ983" s="27"/>
    </row>
    <row r="984" spans="1:43" ht="14.25" customHeight="1">
      <c r="A984" s="27"/>
      <c r="B984" s="27"/>
      <c r="C984" s="50"/>
      <c r="D984" s="27"/>
      <c r="E984" s="27"/>
      <c r="F984" s="51"/>
      <c r="G984" s="51"/>
      <c r="H984" s="51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48"/>
      <c r="AJ984" s="27"/>
      <c r="AK984" s="27"/>
      <c r="AL984" s="27"/>
      <c r="AM984" s="27"/>
      <c r="AN984" s="27"/>
      <c r="AO984" s="27"/>
      <c r="AP984" s="27"/>
      <c r="AQ984" s="27"/>
    </row>
    <row r="985" spans="1:43" ht="14.25" customHeight="1">
      <c r="A985" s="27"/>
      <c r="B985" s="27"/>
      <c r="C985" s="50"/>
      <c r="D985" s="27"/>
      <c r="E985" s="27"/>
      <c r="F985" s="51"/>
      <c r="G985" s="51"/>
      <c r="H985" s="51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48"/>
      <c r="AJ985" s="27"/>
      <c r="AK985" s="27"/>
      <c r="AL985" s="27"/>
      <c r="AM985" s="27"/>
      <c r="AN985" s="27"/>
      <c r="AO985" s="27"/>
      <c r="AP985" s="27"/>
      <c r="AQ985" s="27"/>
    </row>
    <row r="986" spans="1:43" ht="14.25" customHeight="1">
      <c r="A986" s="27"/>
      <c r="B986" s="27"/>
      <c r="C986" s="50"/>
      <c r="D986" s="27"/>
      <c r="E986" s="27"/>
      <c r="F986" s="51"/>
      <c r="G986" s="51"/>
      <c r="H986" s="51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48"/>
      <c r="AJ986" s="27"/>
      <c r="AK986" s="27"/>
      <c r="AL986" s="27"/>
      <c r="AM986" s="27"/>
      <c r="AN986" s="27"/>
      <c r="AO986" s="27"/>
      <c r="AP986" s="27"/>
      <c r="AQ986" s="27"/>
    </row>
    <row r="987" spans="1:43" ht="14.25" customHeight="1">
      <c r="A987" s="27"/>
      <c r="B987" s="27"/>
      <c r="C987" s="50"/>
      <c r="D987" s="27"/>
      <c r="E987" s="27"/>
      <c r="F987" s="51"/>
      <c r="G987" s="51"/>
      <c r="H987" s="51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48"/>
      <c r="AJ987" s="27"/>
      <c r="AK987" s="27"/>
      <c r="AL987" s="27"/>
      <c r="AM987" s="27"/>
      <c r="AN987" s="27"/>
      <c r="AO987" s="27"/>
      <c r="AP987" s="27"/>
      <c r="AQ987" s="27"/>
    </row>
    <row r="988" spans="1:43" ht="14.25" customHeight="1">
      <c r="A988" s="27"/>
      <c r="B988" s="27"/>
      <c r="C988" s="50"/>
      <c r="D988" s="27"/>
      <c r="E988" s="27"/>
      <c r="F988" s="51"/>
      <c r="G988" s="51"/>
      <c r="H988" s="51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48"/>
      <c r="AJ988" s="27"/>
      <c r="AK988" s="27"/>
      <c r="AL988" s="27"/>
      <c r="AM988" s="27"/>
      <c r="AN988" s="27"/>
      <c r="AO988" s="27"/>
      <c r="AP988" s="27"/>
      <c r="AQ988" s="27"/>
    </row>
    <row r="989" spans="1:43" ht="14.25" customHeight="1">
      <c r="A989" s="27"/>
      <c r="B989" s="27"/>
      <c r="C989" s="50"/>
      <c r="D989" s="27"/>
      <c r="E989" s="27"/>
      <c r="F989" s="51"/>
      <c r="G989" s="51"/>
      <c r="H989" s="51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48"/>
      <c r="AJ989" s="27"/>
      <c r="AK989" s="27"/>
      <c r="AL989" s="27"/>
      <c r="AM989" s="27"/>
      <c r="AN989" s="27"/>
      <c r="AO989" s="27"/>
      <c r="AP989" s="27"/>
      <c r="AQ989" s="27"/>
    </row>
    <row r="990" spans="1:43" ht="14.25" customHeight="1">
      <c r="A990" s="27"/>
      <c r="B990" s="27"/>
      <c r="C990" s="50"/>
      <c r="D990" s="27"/>
      <c r="E990" s="27"/>
      <c r="F990" s="51"/>
      <c r="G990" s="51"/>
      <c r="H990" s="51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48"/>
      <c r="AJ990" s="27"/>
      <c r="AK990" s="27"/>
      <c r="AL990" s="27"/>
      <c r="AM990" s="27"/>
      <c r="AN990" s="27"/>
      <c r="AO990" s="27"/>
      <c r="AP990" s="27"/>
      <c r="AQ990" s="27"/>
    </row>
    <row r="991" spans="1:43" ht="14.25" customHeight="1">
      <c r="A991" s="27"/>
      <c r="B991" s="27"/>
      <c r="C991" s="50"/>
      <c r="D991" s="27"/>
      <c r="E991" s="27"/>
      <c r="F991" s="51"/>
      <c r="G991" s="51"/>
      <c r="H991" s="51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48"/>
      <c r="AJ991" s="27"/>
      <c r="AK991" s="27"/>
      <c r="AL991" s="27"/>
      <c r="AM991" s="27"/>
      <c r="AN991" s="27"/>
      <c r="AO991" s="27"/>
      <c r="AP991" s="27"/>
      <c r="AQ991" s="27"/>
    </row>
    <row r="992" spans="1:43" ht="14.25" customHeight="1">
      <c r="A992" s="27"/>
      <c r="B992" s="27"/>
      <c r="C992" s="50"/>
      <c r="D992" s="27"/>
      <c r="E992" s="27"/>
      <c r="F992" s="51"/>
      <c r="G992" s="51"/>
      <c r="H992" s="51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48"/>
      <c r="AJ992" s="27"/>
      <c r="AK992" s="27"/>
      <c r="AL992" s="27"/>
      <c r="AM992" s="27"/>
      <c r="AN992" s="27"/>
      <c r="AO992" s="27"/>
      <c r="AP992" s="27"/>
      <c r="AQ992" s="27"/>
    </row>
    <row r="993" spans="1:43" ht="14.25" customHeight="1">
      <c r="A993" s="27"/>
      <c r="B993" s="27"/>
      <c r="C993" s="50"/>
      <c r="D993" s="27"/>
      <c r="E993" s="27"/>
      <c r="F993" s="51"/>
      <c r="G993" s="51"/>
      <c r="H993" s="51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48"/>
      <c r="AJ993" s="27"/>
      <c r="AK993" s="27"/>
      <c r="AL993" s="27"/>
      <c r="AM993" s="27"/>
      <c r="AN993" s="27"/>
      <c r="AO993" s="27"/>
      <c r="AP993" s="27"/>
      <c r="AQ993" s="27"/>
    </row>
    <row r="994" spans="1:43" ht="14.25" customHeight="1">
      <c r="A994" s="27"/>
      <c r="B994" s="27"/>
      <c r="C994" s="50"/>
      <c r="D994" s="27"/>
      <c r="E994" s="27"/>
      <c r="F994" s="51"/>
      <c r="G994" s="51"/>
      <c r="H994" s="51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48"/>
      <c r="AJ994" s="27"/>
      <c r="AK994" s="27"/>
      <c r="AL994" s="27"/>
      <c r="AM994" s="27"/>
      <c r="AN994" s="27"/>
      <c r="AO994" s="27"/>
      <c r="AP994" s="27"/>
      <c r="AQ994" s="27"/>
    </row>
    <row r="995" spans="1:43" ht="14.25" customHeight="1">
      <c r="A995" s="27"/>
      <c r="B995" s="27"/>
      <c r="C995" s="50"/>
      <c r="D995" s="27"/>
      <c r="E995" s="27"/>
      <c r="F995" s="51"/>
      <c r="G995" s="51"/>
      <c r="H995" s="51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48"/>
      <c r="AJ995" s="27"/>
      <c r="AK995" s="27"/>
      <c r="AL995" s="27"/>
      <c r="AM995" s="27"/>
      <c r="AN995" s="27"/>
      <c r="AO995" s="27"/>
      <c r="AP995" s="27"/>
      <c r="AQ995" s="27"/>
    </row>
    <row r="996" spans="1:43" ht="14.25" customHeight="1">
      <c r="A996" s="27"/>
      <c r="B996" s="27"/>
      <c r="C996" s="50"/>
      <c r="D996" s="27"/>
      <c r="E996" s="27"/>
      <c r="F996" s="51"/>
      <c r="G996" s="51"/>
      <c r="H996" s="51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48"/>
      <c r="AJ996" s="27"/>
      <c r="AK996" s="27"/>
      <c r="AL996" s="27"/>
      <c r="AM996" s="27"/>
      <c r="AN996" s="27"/>
      <c r="AO996" s="27"/>
      <c r="AP996" s="27"/>
      <c r="AQ996" s="27"/>
    </row>
    <row r="997" spans="1:43" ht="14.25" customHeight="1">
      <c r="A997" s="27"/>
      <c r="B997" s="27"/>
      <c r="C997" s="50"/>
      <c r="D997" s="27"/>
      <c r="E997" s="27"/>
      <c r="F997" s="51"/>
      <c r="G997" s="51"/>
      <c r="H997" s="51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48"/>
      <c r="AJ997" s="27"/>
      <c r="AK997" s="27"/>
      <c r="AL997" s="27"/>
      <c r="AM997" s="27"/>
      <c r="AN997" s="27"/>
      <c r="AO997" s="27"/>
      <c r="AP997" s="27"/>
      <c r="AQ997" s="27"/>
    </row>
    <row r="998" spans="1:43" ht="14.25" customHeight="1">
      <c r="A998" s="27"/>
      <c r="B998" s="27"/>
      <c r="C998" s="50"/>
      <c r="D998" s="27"/>
      <c r="E998" s="27"/>
      <c r="F998" s="51"/>
      <c r="G998" s="51"/>
      <c r="H998" s="51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48"/>
      <c r="AJ998" s="27"/>
      <c r="AK998" s="27"/>
      <c r="AL998" s="27"/>
      <c r="AM998" s="27"/>
      <c r="AN998" s="27"/>
      <c r="AO998" s="27"/>
      <c r="AP998" s="27"/>
      <c r="AQ998" s="27"/>
    </row>
    <row r="999" spans="1:43" ht="14.25" customHeight="1">
      <c r="A999" s="27"/>
      <c r="B999" s="27"/>
      <c r="C999" s="50"/>
      <c r="D999" s="27"/>
      <c r="E999" s="27"/>
      <c r="F999" s="51"/>
      <c r="G999" s="51"/>
      <c r="H999" s="51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48"/>
      <c r="AJ999" s="27"/>
      <c r="AK999" s="27"/>
      <c r="AL999" s="27"/>
      <c r="AM999" s="27"/>
      <c r="AN999" s="27"/>
      <c r="AO999" s="27"/>
      <c r="AP999" s="27"/>
      <c r="AQ999" s="27"/>
    </row>
    <row r="1000" spans="1:43" ht="14.25" customHeight="1">
      <c r="A1000" s="27"/>
      <c r="B1000" s="27"/>
      <c r="C1000" s="50"/>
      <c r="D1000" s="27"/>
      <c r="E1000" s="27"/>
      <c r="F1000" s="51"/>
      <c r="G1000" s="51"/>
      <c r="H1000" s="51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48"/>
      <c r="AJ1000" s="27"/>
      <c r="AK1000" s="27"/>
      <c r="AL1000" s="27"/>
      <c r="AM1000" s="27"/>
      <c r="AN1000" s="27"/>
      <c r="AO1000" s="27"/>
      <c r="AP1000" s="27"/>
      <c r="AQ1000" s="27"/>
    </row>
    <row r="1001" spans="1:43" ht="14.25" customHeight="1">
      <c r="A1001" s="27"/>
      <c r="B1001" s="27"/>
      <c r="C1001" s="50"/>
      <c r="D1001" s="27"/>
      <c r="E1001" s="27"/>
      <c r="F1001" s="51"/>
      <c r="G1001" s="51"/>
      <c r="H1001" s="51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48"/>
      <c r="AJ1001" s="27"/>
      <c r="AK1001" s="27"/>
      <c r="AL1001" s="27"/>
      <c r="AM1001" s="27"/>
      <c r="AN1001" s="27"/>
      <c r="AO1001" s="27"/>
      <c r="AP1001" s="27"/>
      <c r="AQ1001" s="27"/>
    </row>
  </sheetData>
  <autoFilter ref="F1:F1001" xr:uid="{00000000-0009-0000-0000-000000000000}"/>
  <hyperlinks>
    <hyperlink ref="AI2" r:id="rId1" xr:uid="{00000000-0004-0000-0000-000000000000}"/>
    <hyperlink ref="AI3" r:id="rId2" xr:uid="{00000000-0004-0000-0000-000001000000}"/>
    <hyperlink ref="AI4" r:id="rId3" xr:uid="{00000000-0004-0000-0000-000002000000}"/>
    <hyperlink ref="AI5" r:id="rId4" xr:uid="{00000000-0004-0000-0000-000003000000}"/>
    <hyperlink ref="AI6" r:id="rId5" xr:uid="{00000000-0004-0000-0000-000004000000}"/>
    <hyperlink ref="AI7" r:id="rId6" xr:uid="{00000000-0004-0000-0000-000005000000}"/>
    <hyperlink ref="AI8" r:id="rId7" xr:uid="{00000000-0004-0000-0000-000006000000}"/>
    <hyperlink ref="AI9" r:id="rId8" xr:uid="{00000000-0004-0000-0000-000007000000}"/>
    <hyperlink ref="AI10" r:id="rId9" xr:uid="{00000000-0004-0000-0000-000008000000}"/>
    <hyperlink ref="AI11" r:id="rId10" xr:uid="{00000000-0004-0000-0000-000009000000}"/>
    <hyperlink ref="AI12" r:id="rId11" xr:uid="{00000000-0004-0000-0000-00000A000000}"/>
    <hyperlink ref="AI13" r:id="rId12" xr:uid="{00000000-0004-0000-0000-00000B000000}"/>
    <hyperlink ref="AI14" r:id="rId13" xr:uid="{00000000-0004-0000-0000-00000C000000}"/>
    <hyperlink ref="AI15" r:id="rId14" xr:uid="{00000000-0004-0000-0000-00000D000000}"/>
    <hyperlink ref="AI16" r:id="rId15" xr:uid="{00000000-0004-0000-0000-00000E000000}"/>
    <hyperlink ref="AI17" r:id="rId16" xr:uid="{00000000-0004-0000-0000-00000F000000}"/>
    <hyperlink ref="AI18" r:id="rId17" xr:uid="{00000000-0004-0000-0000-000010000000}"/>
    <hyperlink ref="AI19" r:id="rId18" xr:uid="{00000000-0004-0000-0000-000011000000}"/>
    <hyperlink ref="AI20" r:id="rId19" xr:uid="{00000000-0004-0000-0000-000012000000}"/>
    <hyperlink ref="AI21" r:id="rId20" xr:uid="{00000000-0004-0000-0000-000013000000}"/>
    <hyperlink ref="AI22" r:id="rId21" xr:uid="{00000000-0004-0000-0000-000014000000}"/>
    <hyperlink ref="AI23" r:id="rId22" xr:uid="{00000000-0004-0000-0000-000015000000}"/>
    <hyperlink ref="AI24" r:id="rId23" xr:uid="{00000000-0004-0000-0000-000016000000}"/>
    <hyperlink ref="AI25" r:id="rId24" xr:uid="{00000000-0004-0000-0000-000017000000}"/>
    <hyperlink ref="AI26" r:id="rId25" xr:uid="{00000000-0004-0000-0000-00001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/>
  <cols>
    <col min="11" max="11" width="47.83203125" customWidth="1"/>
  </cols>
  <sheetData>
    <row r="1" spans="1:12">
      <c r="A1" s="52" t="s">
        <v>408</v>
      </c>
      <c r="B1" s="52" t="s">
        <v>409</v>
      </c>
      <c r="C1" s="52" t="s">
        <v>410</v>
      </c>
      <c r="D1" s="52" t="s">
        <v>411</v>
      </c>
      <c r="E1" s="52" t="s">
        <v>9</v>
      </c>
      <c r="F1" s="52" t="s">
        <v>412</v>
      </c>
      <c r="G1" s="52" t="s">
        <v>413</v>
      </c>
      <c r="H1" s="52" t="s">
        <v>414</v>
      </c>
      <c r="I1" s="52" t="s">
        <v>415</v>
      </c>
      <c r="J1" s="76" t="s">
        <v>416</v>
      </c>
      <c r="K1" s="77"/>
    </row>
    <row r="2" spans="1:12">
      <c r="A2" s="53">
        <v>1</v>
      </c>
      <c r="B2" s="54"/>
      <c r="C2" s="55" t="s">
        <v>417</v>
      </c>
      <c r="D2" s="52" t="s">
        <v>418</v>
      </c>
      <c r="E2" s="54">
        <v>1231</v>
      </c>
      <c r="F2" s="54">
        <v>374</v>
      </c>
      <c r="G2" s="54">
        <v>1605</v>
      </c>
      <c r="H2" s="54" t="s">
        <v>419</v>
      </c>
      <c r="I2" s="54" t="s">
        <v>420</v>
      </c>
      <c r="J2" s="56">
        <v>0.28999999999999998</v>
      </c>
      <c r="K2" s="57" t="e">
        <f t="shared" ref="K2:K256" ca="1" si="0">"https://www.google.com/search?q=" &amp; ENCODEURL(C2 &amp; " franchise times site:franchisetimes.com/top-400-2024")</f>
        <v>#NAME?</v>
      </c>
      <c r="L2" s="46" t="s">
        <v>43</v>
      </c>
    </row>
    <row r="3" spans="1:12">
      <c r="A3" s="53">
        <v>2</v>
      </c>
      <c r="B3" s="54"/>
      <c r="C3" s="55" t="s">
        <v>421</v>
      </c>
      <c r="D3" s="54">
        <v>4420</v>
      </c>
      <c r="E3" s="54">
        <v>2185</v>
      </c>
      <c r="F3" s="54">
        <v>0</v>
      </c>
      <c r="G3" s="54">
        <v>2185</v>
      </c>
      <c r="H3" s="54" t="s">
        <v>422</v>
      </c>
      <c r="I3" s="54" t="s">
        <v>423</v>
      </c>
      <c r="J3" s="56">
        <v>0.94</v>
      </c>
      <c r="K3" s="57" t="e">
        <f t="shared" ca="1" si="0"/>
        <v>#NAME?</v>
      </c>
      <c r="L3" s="46" t="s">
        <v>44</v>
      </c>
    </row>
    <row r="4" spans="1:12">
      <c r="A4" s="53">
        <v>3</v>
      </c>
      <c r="B4" s="54"/>
      <c r="C4" s="55" t="s">
        <v>424</v>
      </c>
      <c r="D4" s="54">
        <v>4101</v>
      </c>
      <c r="E4" s="54">
        <v>792</v>
      </c>
      <c r="F4" s="54">
        <v>73</v>
      </c>
      <c r="G4" s="54">
        <v>865</v>
      </c>
      <c r="H4" s="54" t="s">
        <v>425</v>
      </c>
      <c r="I4" s="54" t="s">
        <v>426</v>
      </c>
      <c r="J4" s="56">
        <v>1</v>
      </c>
      <c r="K4" s="57" t="e">
        <f t="shared" ca="1" si="0"/>
        <v>#NAME?</v>
      </c>
      <c r="L4" s="46" t="s">
        <v>45</v>
      </c>
    </row>
    <row r="5" spans="1:12">
      <c r="A5" s="54"/>
      <c r="B5" s="54"/>
      <c r="C5" s="55" t="s">
        <v>427</v>
      </c>
      <c r="D5" s="54">
        <v>4047</v>
      </c>
      <c r="E5" s="54">
        <v>1264</v>
      </c>
      <c r="F5" s="54">
        <v>65</v>
      </c>
      <c r="G5" s="54">
        <v>1329</v>
      </c>
      <c r="H5" s="54" t="s">
        <v>428</v>
      </c>
      <c r="I5" s="54" t="s">
        <v>429</v>
      </c>
      <c r="J5" s="56">
        <v>0.47</v>
      </c>
      <c r="K5" s="57" t="e">
        <f t="shared" ca="1" si="0"/>
        <v>#NAME?</v>
      </c>
      <c r="L5" s="46" t="s">
        <v>46</v>
      </c>
    </row>
    <row r="6" spans="1:12">
      <c r="A6" s="54"/>
      <c r="B6" s="54"/>
      <c r="C6" s="55" t="s">
        <v>430</v>
      </c>
      <c r="D6" s="52" t="s">
        <v>431</v>
      </c>
      <c r="E6" s="54">
        <v>5236</v>
      </c>
      <c r="F6" s="54">
        <v>382</v>
      </c>
      <c r="G6" s="54">
        <v>5618</v>
      </c>
      <c r="H6" s="54" t="s">
        <v>432</v>
      </c>
      <c r="I6" s="54" t="s">
        <v>433</v>
      </c>
      <c r="J6" s="56">
        <v>1</v>
      </c>
      <c r="K6" s="57" t="e">
        <f t="shared" ca="1" si="0"/>
        <v>#NAME?</v>
      </c>
      <c r="L6" s="46" t="s">
        <v>47</v>
      </c>
    </row>
    <row r="7" spans="1:12">
      <c r="A7" s="54"/>
      <c r="B7" s="54"/>
      <c r="C7" s="55" t="s">
        <v>434</v>
      </c>
      <c r="D7" s="54">
        <v>3769</v>
      </c>
      <c r="E7" s="54">
        <v>997</v>
      </c>
      <c r="F7" s="54">
        <v>0</v>
      </c>
      <c r="G7" s="54">
        <v>997</v>
      </c>
      <c r="H7" s="54" t="s">
        <v>435</v>
      </c>
      <c r="I7" s="54" t="s">
        <v>436</v>
      </c>
      <c r="J7" s="56">
        <v>0.17</v>
      </c>
      <c r="K7" s="57" t="e">
        <f t="shared" ca="1" si="0"/>
        <v>#NAME?</v>
      </c>
      <c r="L7" s="46" t="s">
        <v>48</v>
      </c>
    </row>
    <row r="8" spans="1:12">
      <c r="A8" s="54"/>
      <c r="B8" s="54"/>
      <c r="C8" s="55" t="s">
        <v>437</v>
      </c>
      <c r="D8" s="54">
        <v>3564</v>
      </c>
      <c r="E8" s="54">
        <v>1696</v>
      </c>
      <c r="F8" s="54">
        <v>118</v>
      </c>
      <c r="G8" s="54">
        <v>1814</v>
      </c>
      <c r="H8" s="54" t="s">
        <v>438</v>
      </c>
      <c r="I8" s="54" t="s">
        <v>439</v>
      </c>
      <c r="J8" s="56">
        <v>1</v>
      </c>
      <c r="K8" s="57" t="e">
        <f t="shared" ca="1" si="0"/>
        <v>#NAME?</v>
      </c>
      <c r="L8" s="46" t="s">
        <v>49</v>
      </c>
    </row>
    <row r="9" spans="1:12">
      <c r="A9" s="54"/>
      <c r="B9" s="54"/>
      <c r="C9" s="55" t="s">
        <v>440</v>
      </c>
      <c r="D9" s="54">
        <v>3482</v>
      </c>
      <c r="E9" s="54">
        <v>1926</v>
      </c>
      <c r="F9" s="54">
        <v>288</v>
      </c>
      <c r="G9" s="54">
        <v>2214</v>
      </c>
      <c r="H9" s="54" t="s">
        <v>441</v>
      </c>
      <c r="I9" s="54" t="s">
        <v>442</v>
      </c>
      <c r="J9" s="56">
        <v>0.98</v>
      </c>
      <c r="K9" s="57" t="e">
        <f t="shared" ca="1" si="0"/>
        <v>#NAME?</v>
      </c>
      <c r="L9" s="46" t="s">
        <v>50</v>
      </c>
    </row>
    <row r="10" spans="1:12">
      <c r="C10" s="55" t="s">
        <v>443</v>
      </c>
      <c r="D10" s="48">
        <v>3342</v>
      </c>
      <c r="E10" s="48">
        <v>2684</v>
      </c>
      <c r="F10" s="48">
        <v>2</v>
      </c>
      <c r="G10" s="48">
        <v>2686</v>
      </c>
      <c r="H10" s="48" t="s">
        <v>444</v>
      </c>
      <c r="I10" s="48" t="s">
        <v>445</v>
      </c>
      <c r="J10" s="58">
        <v>0.99</v>
      </c>
      <c r="K10" s="57" t="e">
        <f t="shared" ca="1" si="0"/>
        <v>#NAME?</v>
      </c>
    </row>
    <row r="11" spans="1:12">
      <c r="C11" s="55" t="s">
        <v>446</v>
      </c>
      <c r="D11" s="48">
        <v>3282</v>
      </c>
      <c r="E11" s="48">
        <v>945</v>
      </c>
      <c r="F11" s="48">
        <v>0</v>
      </c>
      <c r="G11" s="48">
        <v>945</v>
      </c>
      <c r="H11" s="48" t="s">
        <v>447</v>
      </c>
      <c r="I11" s="48" t="s">
        <v>448</v>
      </c>
      <c r="J11" s="58">
        <v>0.99</v>
      </c>
      <c r="K11" s="57" t="e">
        <f t="shared" ca="1" si="0"/>
        <v>#NAME?</v>
      </c>
    </row>
    <row r="12" spans="1:12">
      <c r="C12" s="55" t="s">
        <v>449</v>
      </c>
      <c r="D12" s="48">
        <v>3203</v>
      </c>
      <c r="E12" s="48">
        <v>1530</v>
      </c>
      <c r="F12" s="48">
        <v>52</v>
      </c>
      <c r="G12" s="48">
        <v>1582</v>
      </c>
      <c r="H12" s="48" t="s">
        <v>450</v>
      </c>
      <c r="I12" s="48" t="s">
        <v>451</v>
      </c>
      <c r="J12" s="58">
        <v>0.74</v>
      </c>
      <c r="K12" s="57" t="e">
        <f t="shared" ca="1" si="0"/>
        <v>#NAME?</v>
      </c>
    </row>
    <row r="13" spans="1:12">
      <c r="C13" s="55" t="s">
        <v>452</v>
      </c>
      <c r="D13" s="48" t="s">
        <v>453</v>
      </c>
      <c r="E13" s="48">
        <v>1453</v>
      </c>
      <c r="F13" s="48">
        <v>410</v>
      </c>
      <c r="G13" s="48">
        <v>1863</v>
      </c>
      <c r="H13" s="48" t="s">
        <v>454</v>
      </c>
      <c r="I13" s="48" t="s">
        <v>455</v>
      </c>
      <c r="J13" s="58">
        <v>0.67</v>
      </c>
      <c r="K13" s="57" t="e">
        <f t="shared" ca="1" si="0"/>
        <v>#NAME?</v>
      </c>
    </row>
    <row r="14" spans="1:12">
      <c r="C14" s="55" t="s">
        <v>456</v>
      </c>
      <c r="D14" s="48">
        <v>2984</v>
      </c>
      <c r="E14" s="48">
        <v>1407</v>
      </c>
      <c r="F14" s="48">
        <v>166</v>
      </c>
      <c r="G14" s="48">
        <v>1573</v>
      </c>
      <c r="H14" s="48" t="s">
        <v>457</v>
      </c>
      <c r="I14" s="48" t="s">
        <v>458</v>
      </c>
      <c r="J14" s="58">
        <v>0.96</v>
      </c>
      <c r="K14" s="57" t="e">
        <f t="shared" ca="1" si="0"/>
        <v>#NAME?</v>
      </c>
    </row>
    <row r="15" spans="1:12">
      <c r="C15" s="55" t="s">
        <v>459</v>
      </c>
      <c r="D15" s="48">
        <v>2900</v>
      </c>
      <c r="E15" s="48">
        <v>155</v>
      </c>
      <c r="F15" s="48">
        <v>3841</v>
      </c>
      <c r="G15" s="48">
        <v>3996</v>
      </c>
      <c r="H15" s="48" t="s">
        <v>460</v>
      </c>
      <c r="I15" s="48" t="s">
        <v>461</v>
      </c>
      <c r="J15" s="58">
        <v>0.97</v>
      </c>
      <c r="K15" s="57" t="e">
        <f t="shared" ca="1" si="0"/>
        <v>#NAME?</v>
      </c>
    </row>
    <row r="16" spans="1:12">
      <c r="C16" s="55" t="s">
        <v>462</v>
      </c>
      <c r="D16" s="48">
        <v>2800</v>
      </c>
      <c r="E16" s="48">
        <v>1799</v>
      </c>
      <c r="F16" s="48">
        <v>0</v>
      </c>
      <c r="G16" s="48">
        <v>1799</v>
      </c>
      <c r="H16" s="48" t="s">
        <v>463</v>
      </c>
      <c r="I16" s="48" t="s">
        <v>464</v>
      </c>
      <c r="J16" s="58">
        <v>0.51</v>
      </c>
      <c r="K16" s="57" t="e">
        <f t="shared" ca="1" si="0"/>
        <v>#NAME?</v>
      </c>
    </row>
    <row r="17" spans="3:11">
      <c r="C17" s="55" t="s">
        <v>465</v>
      </c>
      <c r="D17" s="48">
        <v>2636</v>
      </c>
      <c r="E17" s="48">
        <v>614</v>
      </c>
      <c r="F17" s="48">
        <v>599</v>
      </c>
      <c r="G17" s="48">
        <v>1213</v>
      </c>
      <c r="H17" s="48" t="s">
        <v>466</v>
      </c>
      <c r="I17" s="48" t="s">
        <v>467</v>
      </c>
      <c r="J17" s="58">
        <v>1</v>
      </c>
      <c r="K17" s="57" t="e">
        <f t="shared" ca="1" si="0"/>
        <v>#NAME?</v>
      </c>
    </row>
    <row r="18" spans="3:11">
      <c r="C18" s="55" t="s">
        <v>468</v>
      </c>
      <c r="D18" s="48">
        <v>2591</v>
      </c>
      <c r="E18" s="48">
        <v>1047</v>
      </c>
      <c r="F18" s="48">
        <v>681</v>
      </c>
      <c r="G18" s="48">
        <v>1728</v>
      </c>
      <c r="H18" s="48" t="s">
        <v>469</v>
      </c>
      <c r="I18" s="48" t="s">
        <v>470</v>
      </c>
      <c r="J18" s="58">
        <v>0.97</v>
      </c>
      <c r="K18" s="57" t="e">
        <f t="shared" ca="1" si="0"/>
        <v>#NAME?</v>
      </c>
    </row>
    <row r="19" spans="3:11">
      <c r="C19" s="55" t="s">
        <v>471</v>
      </c>
      <c r="D19" s="48">
        <v>2551</v>
      </c>
      <c r="E19" s="48">
        <v>2644</v>
      </c>
      <c r="F19" s="48">
        <v>0</v>
      </c>
      <c r="G19" s="48">
        <v>2644</v>
      </c>
      <c r="H19" s="48" t="s">
        <v>472</v>
      </c>
      <c r="I19" s="48" t="s">
        <v>473</v>
      </c>
      <c r="J19" s="58">
        <v>0.98</v>
      </c>
      <c r="K19" s="57" t="e">
        <f t="shared" ca="1" si="0"/>
        <v>#NAME?</v>
      </c>
    </row>
    <row r="20" spans="3:11">
      <c r="C20" s="55" t="s">
        <v>474</v>
      </c>
      <c r="D20" s="48">
        <v>2520</v>
      </c>
      <c r="E20" s="48">
        <v>941</v>
      </c>
      <c r="F20" s="48">
        <v>0</v>
      </c>
      <c r="G20" s="48">
        <v>941</v>
      </c>
      <c r="H20" s="48" t="s">
        <v>475</v>
      </c>
      <c r="I20" s="48" t="s">
        <v>476</v>
      </c>
      <c r="J20" s="58">
        <v>0.85</v>
      </c>
      <c r="K20" s="57" t="e">
        <f t="shared" ca="1" si="0"/>
        <v>#NAME?</v>
      </c>
    </row>
    <row r="21" spans="3:11">
      <c r="C21" s="55" t="s">
        <v>477</v>
      </c>
      <c r="D21" s="48">
        <v>2384</v>
      </c>
      <c r="E21" s="48">
        <v>1588</v>
      </c>
      <c r="F21" s="48">
        <v>456</v>
      </c>
      <c r="G21" s="48">
        <v>2044</v>
      </c>
      <c r="H21" s="48" t="s">
        <v>478</v>
      </c>
      <c r="I21" s="48" t="s">
        <v>479</v>
      </c>
      <c r="J21" s="58">
        <v>0.9</v>
      </c>
      <c r="K21" s="57" t="e">
        <f t="shared" ca="1" si="0"/>
        <v>#NAME?</v>
      </c>
    </row>
    <row r="22" spans="3:11">
      <c r="C22" s="55" t="s">
        <v>480</v>
      </c>
      <c r="D22" s="48">
        <v>2300</v>
      </c>
      <c r="E22" s="48">
        <v>2069</v>
      </c>
      <c r="F22" s="48">
        <v>161</v>
      </c>
      <c r="G22" s="48">
        <v>2230</v>
      </c>
      <c r="H22" s="48" t="s">
        <v>481</v>
      </c>
      <c r="I22" s="48" t="s">
        <v>482</v>
      </c>
      <c r="J22" s="58">
        <v>0.84</v>
      </c>
      <c r="K22" s="57" t="e">
        <f t="shared" ca="1" si="0"/>
        <v>#NAME?</v>
      </c>
    </row>
    <row r="23" spans="3:11">
      <c r="C23" s="55" t="s">
        <v>483</v>
      </c>
      <c r="D23" s="48">
        <v>2263</v>
      </c>
      <c r="E23" s="48">
        <v>2167</v>
      </c>
      <c r="F23" s="48">
        <v>131</v>
      </c>
      <c r="G23" s="48">
        <v>2298</v>
      </c>
      <c r="H23" s="48" t="s">
        <v>484</v>
      </c>
      <c r="I23" s="48" t="s">
        <v>485</v>
      </c>
      <c r="J23" s="58">
        <v>0.17</v>
      </c>
      <c r="K23" s="57" t="e">
        <f t="shared" ca="1" si="0"/>
        <v>#NAME?</v>
      </c>
    </row>
    <row r="24" spans="3:11">
      <c r="C24" s="55" t="s">
        <v>486</v>
      </c>
      <c r="D24" s="48">
        <v>2259</v>
      </c>
      <c r="E24" s="48">
        <v>2261</v>
      </c>
      <c r="F24" s="48">
        <v>5494</v>
      </c>
      <c r="G24" s="48">
        <v>7755</v>
      </c>
      <c r="H24" s="48" t="s">
        <v>458</v>
      </c>
      <c r="I24" s="48" t="s">
        <v>487</v>
      </c>
      <c r="J24" s="58">
        <v>1</v>
      </c>
      <c r="K24" s="57" t="e">
        <f t="shared" ca="1" si="0"/>
        <v>#NAME?</v>
      </c>
    </row>
    <row r="25" spans="3:11">
      <c r="C25" s="55" t="s">
        <v>488</v>
      </c>
      <c r="D25" s="48">
        <v>2241</v>
      </c>
      <c r="E25" s="48">
        <v>3404</v>
      </c>
      <c r="F25" s="48">
        <v>1307</v>
      </c>
      <c r="G25" s="48">
        <v>4711</v>
      </c>
      <c r="H25" s="48" t="s">
        <v>489</v>
      </c>
      <c r="I25" s="48" t="s">
        <v>490</v>
      </c>
      <c r="J25" s="58">
        <v>0.95</v>
      </c>
      <c r="K25" s="57" t="e">
        <f t="shared" ca="1" si="0"/>
        <v>#NAME?</v>
      </c>
    </row>
    <row r="26" spans="3:11">
      <c r="C26" s="55" t="s">
        <v>491</v>
      </c>
      <c r="D26" s="48">
        <v>2200</v>
      </c>
      <c r="E26" s="48">
        <v>2310</v>
      </c>
      <c r="F26" s="48">
        <v>2813</v>
      </c>
      <c r="G26" s="48">
        <v>5123</v>
      </c>
      <c r="H26" s="48" t="s">
        <v>492</v>
      </c>
      <c r="I26" s="48" t="s">
        <v>493</v>
      </c>
      <c r="J26" s="58">
        <v>1</v>
      </c>
      <c r="K26" s="57" t="e">
        <f t="shared" ca="1" si="0"/>
        <v>#NAME?</v>
      </c>
    </row>
    <row r="27" spans="3:11">
      <c r="C27" s="55" t="s">
        <v>494</v>
      </c>
      <c r="D27" s="48">
        <v>1934</v>
      </c>
      <c r="E27" s="48">
        <v>1158</v>
      </c>
      <c r="F27" s="48">
        <v>863</v>
      </c>
      <c r="G27" s="48">
        <v>2021</v>
      </c>
      <c r="H27" s="48" t="s">
        <v>495</v>
      </c>
      <c r="I27" s="48" t="s">
        <v>496</v>
      </c>
      <c r="J27" s="58">
        <v>1</v>
      </c>
      <c r="K27" s="57" t="e">
        <f t="shared" ca="1" si="0"/>
        <v>#NAME?</v>
      </c>
    </row>
    <row r="28" spans="3:11">
      <c r="C28" s="55" t="s">
        <v>497</v>
      </c>
      <c r="D28" s="48">
        <v>1820</v>
      </c>
      <c r="E28" s="48">
        <v>725</v>
      </c>
      <c r="F28" s="48">
        <v>0</v>
      </c>
      <c r="G28" s="48">
        <v>725</v>
      </c>
      <c r="H28" s="48" t="s">
        <v>481</v>
      </c>
      <c r="I28" s="48" t="s">
        <v>498</v>
      </c>
      <c r="J28" s="58">
        <v>0.68</v>
      </c>
      <c r="K28" s="57" t="e">
        <f t="shared" ca="1" si="0"/>
        <v>#NAME?</v>
      </c>
    </row>
    <row r="29" spans="3:11">
      <c r="C29" s="55" t="s">
        <v>499</v>
      </c>
      <c r="D29" s="48">
        <v>1781</v>
      </c>
      <c r="E29" s="48">
        <v>813</v>
      </c>
      <c r="F29" s="48">
        <v>0</v>
      </c>
      <c r="G29" s="48">
        <v>813</v>
      </c>
      <c r="H29" s="48" t="s">
        <v>500</v>
      </c>
      <c r="I29" s="48" t="s">
        <v>501</v>
      </c>
      <c r="J29" s="58">
        <v>0.65</v>
      </c>
      <c r="K29" s="57" t="e">
        <f t="shared" ca="1" si="0"/>
        <v>#NAME?</v>
      </c>
    </row>
    <row r="30" spans="3:11">
      <c r="C30" s="55" t="s">
        <v>502</v>
      </c>
      <c r="D30" s="48">
        <v>1682</v>
      </c>
      <c r="E30" s="48">
        <v>4266</v>
      </c>
      <c r="F30" s="48">
        <v>161</v>
      </c>
      <c r="G30" s="48">
        <v>4427</v>
      </c>
      <c r="H30" s="48" t="s">
        <v>503</v>
      </c>
      <c r="I30" s="48" t="s">
        <v>504</v>
      </c>
      <c r="J30" s="58">
        <v>1</v>
      </c>
      <c r="K30" s="57" t="e">
        <f t="shared" ca="1" si="0"/>
        <v>#NAME?</v>
      </c>
    </row>
    <row r="31" spans="3:11">
      <c r="C31" s="55" t="s">
        <v>505</v>
      </c>
      <c r="D31" s="48">
        <v>1675</v>
      </c>
      <c r="E31" s="48">
        <v>466</v>
      </c>
      <c r="F31" s="48">
        <v>18</v>
      </c>
      <c r="G31" s="48">
        <v>484</v>
      </c>
      <c r="H31" s="48" t="s">
        <v>495</v>
      </c>
      <c r="I31" s="48" t="s">
        <v>473</v>
      </c>
      <c r="J31" s="58">
        <v>0.74</v>
      </c>
      <c r="K31" s="57" t="e">
        <f t="shared" ca="1" si="0"/>
        <v>#NAME?</v>
      </c>
    </row>
    <row r="32" spans="3:11">
      <c r="C32" s="55" t="s">
        <v>506</v>
      </c>
      <c r="D32" s="48">
        <v>1672</v>
      </c>
      <c r="E32" s="48">
        <v>1020</v>
      </c>
      <c r="F32" s="48">
        <v>0</v>
      </c>
      <c r="G32" s="48">
        <v>1020</v>
      </c>
      <c r="H32" s="48" t="s">
        <v>496</v>
      </c>
      <c r="I32" s="48" t="s">
        <v>507</v>
      </c>
      <c r="J32" s="58">
        <v>0.91</v>
      </c>
      <c r="K32" s="57" t="e">
        <f t="shared" ca="1" si="0"/>
        <v>#NAME?</v>
      </c>
    </row>
    <row r="33" spans="3:15">
      <c r="C33" s="55" t="s">
        <v>508</v>
      </c>
      <c r="D33" s="48">
        <v>1663</v>
      </c>
      <c r="E33" s="48">
        <v>1092</v>
      </c>
      <c r="F33" s="48">
        <v>0</v>
      </c>
      <c r="G33" s="48">
        <v>1092</v>
      </c>
      <c r="H33" s="48" t="s">
        <v>509</v>
      </c>
      <c r="I33" s="48" t="s">
        <v>510</v>
      </c>
      <c r="J33" s="58">
        <v>0.99</v>
      </c>
      <c r="K33" s="57" t="e">
        <f t="shared" ca="1" si="0"/>
        <v>#NAME?</v>
      </c>
      <c r="O33" s="59" t="s">
        <v>511</v>
      </c>
    </row>
    <row r="34" spans="3:15">
      <c r="C34" s="55" t="s">
        <v>512</v>
      </c>
      <c r="D34" s="48">
        <v>1640</v>
      </c>
      <c r="E34" s="48">
        <v>355</v>
      </c>
      <c r="F34" s="48">
        <v>0</v>
      </c>
      <c r="G34" s="48">
        <v>355</v>
      </c>
      <c r="H34" s="48" t="s">
        <v>513</v>
      </c>
      <c r="I34" s="48" t="s">
        <v>478</v>
      </c>
      <c r="J34" s="58">
        <v>1</v>
      </c>
      <c r="K34" s="57" t="e">
        <f t="shared" ca="1" si="0"/>
        <v>#NAME?</v>
      </c>
    </row>
    <row r="35" spans="3:15">
      <c r="C35" s="55" t="s">
        <v>514</v>
      </c>
      <c r="D35" s="48" t="s">
        <v>515</v>
      </c>
      <c r="E35" s="48">
        <v>455</v>
      </c>
      <c r="F35" s="48">
        <v>319</v>
      </c>
      <c r="G35" s="48">
        <v>774</v>
      </c>
      <c r="H35" s="48" t="s">
        <v>516</v>
      </c>
      <c r="I35" s="48" t="s">
        <v>517</v>
      </c>
      <c r="J35" s="58">
        <v>1</v>
      </c>
      <c r="K35" s="57" t="e">
        <f t="shared" ca="1" si="0"/>
        <v>#NAME?</v>
      </c>
    </row>
    <row r="36" spans="3:15">
      <c r="C36" s="55" t="s">
        <v>518</v>
      </c>
      <c r="D36" s="48" t="s">
        <v>519</v>
      </c>
      <c r="E36" s="48">
        <v>495</v>
      </c>
      <c r="F36" s="48">
        <v>11</v>
      </c>
      <c r="G36" s="48">
        <v>506</v>
      </c>
      <c r="H36" s="48" t="s">
        <v>520</v>
      </c>
      <c r="I36" s="48" t="s">
        <v>521</v>
      </c>
      <c r="J36" s="58">
        <v>0.18</v>
      </c>
      <c r="K36" s="57" t="e">
        <f t="shared" ca="1" si="0"/>
        <v>#NAME?</v>
      </c>
    </row>
    <row r="37" spans="3:15">
      <c r="C37" s="55" t="s">
        <v>522</v>
      </c>
      <c r="D37" s="48">
        <v>1500</v>
      </c>
      <c r="E37" s="48">
        <v>788</v>
      </c>
      <c r="F37" s="48">
        <v>742</v>
      </c>
      <c r="G37" s="48">
        <v>1530</v>
      </c>
      <c r="H37" s="48" t="s">
        <v>523</v>
      </c>
      <c r="I37" s="48" t="s">
        <v>524</v>
      </c>
      <c r="J37" s="58">
        <v>0.9</v>
      </c>
      <c r="K37" s="57" t="e">
        <f t="shared" ca="1" si="0"/>
        <v>#NAME?</v>
      </c>
    </row>
    <row r="38" spans="3:15">
      <c r="C38" s="55" t="s">
        <v>525</v>
      </c>
      <c r="D38" s="48">
        <v>1413</v>
      </c>
      <c r="E38" s="48">
        <v>291</v>
      </c>
      <c r="F38" s="48">
        <v>61</v>
      </c>
      <c r="G38" s="48">
        <v>352</v>
      </c>
      <c r="H38" s="48" t="s">
        <v>526</v>
      </c>
      <c r="I38" s="48" t="s">
        <v>527</v>
      </c>
      <c r="J38" s="58">
        <v>0.86</v>
      </c>
      <c r="K38" s="57" t="e">
        <f t="shared" ca="1" si="0"/>
        <v>#NAME?</v>
      </c>
    </row>
    <row r="39" spans="3:15">
      <c r="C39" s="55" t="s">
        <v>528</v>
      </c>
      <c r="D39" s="48">
        <v>1400</v>
      </c>
      <c r="E39" s="48">
        <v>627</v>
      </c>
      <c r="F39" s="48">
        <v>0</v>
      </c>
      <c r="G39" s="48">
        <v>627</v>
      </c>
      <c r="H39" s="48" t="s">
        <v>463</v>
      </c>
      <c r="I39" s="48" t="s">
        <v>492</v>
      </c>
      <c r="J39" s="58">
        <v>1</v>
      </c>
      <c r="K39" s="57" t="e">
        <f t="shared" ca="1" si="0"/>
        <v>#NAME?</v>
      </c>
    </row>
    <row r="40" spans="3:15">
      <c r="C40" s="55" t="s">
        <v>529</v>
      </c>
      <c r="D40" s="48">
        <v>1298</v>
      </c>
      <c r="E40" s="48">
        <v>505</v>
      </c>
      <c r="F40" s="48">
        <v>0</v>
      </c>
      <c r="G40" s="48">
        <v>505</v>
      </c>
      <c r="H40" s="48" t="s">
        <v>530</v>
      </c>
      <c r="I40" s="48" t="s">
        <v>531</v>
      </c>
      <c r="J40" s="58">
        <v>1</v>
      </c>
      <c r="K40" s="57" t="e">
        <f t="shared" ca="1" si="0"/>
        <v>#NAME?</v>
      </c>
    </row>
    <row r="41" spans="3:15">
      <c r="C41" s="55" t="s">
        <v>532</v>
      </c>
      <c r="D41" s="48">
        <v>1286</v>
      </c>
      <c r="E41" s="48">
        <v>462</v>
      </c>
      <c r="F41" s="48">
        <v>0</v>
      </c>
      <c r="G41" s="48">
        <v>462</v>
      </c>
      <c r="H41" s="48" t="s">
        <v>533</v>
      </c>
      <c r="I41" s="48" t="s">
        <v>534</v>
      </c>
      <c r="J41" s="58">
        <v>1</v>
      </c>
      <c r="K41" s="57" t="e">
        <f t="shared" ca="1" si="0"/>
        <v>#NAME?</v>
      </c>
    </row>
    <row r="42" spans="3:15">
      <c r="C42" s="55" t="s">
        <v>535</v>
      </c>
      <c r="D42" s="48">
        <v>1253</v>
      </c>
      <c r="E42" s="48">
        <v>1373</v>
      </c>
      <c r="F42" s="48">
        <v>0</v>
      </c>
      <c r="G42" s="48">
        <v>1373</v>
      </c>
      <c r="H42" s="48" t="s">
        <v>536</v>
      </c>
      <c r="I42" s="48" t="s">
        <v>537</v>
      </c>
      <c r="J42" s="58">
        <v>1</v>
      </c>
      <c r="K42" s="57" t="e">
        <f t="shared" ca="1" si="0"/>
        <v>#NAME?</v>
      </c>
    </row>
    <row r="43" spans="3:15">
      <c r="C43" s="55" t="s">
        <v>538</v>
      </c>
      <c r="D43" s="48">
        <v>1209</v>
      </c>
      <c r="E43" s="48">
        <v>1209</v>
      </c>
      <c r="F43" s="48">
        <v>73</v>
      </c>
      <c r="G43" s="48">
        <v>1282</v>
      </c>
      <c r="H43" s="48" t="s">
        <v>492</v>
      </c>
      <c r="I43" s="48" t="s">
        <v>539</v>
      </c>
      <c r="J43" s="58">
        <v>0.97</v>
      </c>
      <c r="K43" s="57" t="e">
        <f t="shared" ca="1" si="0"/>
        <v>#NAME?</v>
      </c>
    </row>
    <row r="44" spans="3:15">
      <c r="C44" s="55" t="s">
        <v>540</v>
      </c>
      <c r="D44" s="48">
        <v>1190</v>
      </c>
      <c r="E44" s="48">
        <v>211</v>
      </c>
      <c r="F44" s="48">
        <v>0</v>
      </c>
      <c r="G44" s="48">
        <v>211</v>
      </c>
      <c r="H44" s="48" t="s">
        <v>541</v>
      </c>
      <c r="I44" s="48" t="s">
        <v>504</v>
      </c>
      <c r="J44" s="58">
        <v>1</v>
      </c>
      <c r="K44" s="57" t="e">
        <f t="shared" ca="1" si="0"/>
        <v>#NAME?</v>
      </c>
    </row>
    <row r="45" spans="3:15">
      <c r="C45" s="55" t="s">
        <v>542</v>
      </c>
      <c r="D45" s="48" t="s">
        <v>543</v>
      </c>
      <c r="E45" s="48">
        <v>969</v>
      </c>
      <c r="F45" s="48">
        <v>37</v>
      </c>
      <c r="G45" s="48">
        <v>1006</v>
      </c>
      <c r="H45" s="48" t="s">
        <v>544</v>
      </c>
      <c r="I45" s="48" t="s">
        <v>545</v>
      </c>
      <c r="J45" s="58">
        <v>0.35</v>
      </c>
      <c r="K45" s="57" t="e">
        <f t="shared" ca="1" si="0"/>
        <v>#NAME?</v>
      </c>
    </row>
    <row r="46" spans="3:15">
      <c r="C46" s="55" t="s">
        <v>546</v>
      </c>
      <c r="D46" s="48">
        <v>1113</v>
      </c>
      <c r="E46" s="48">
        <v>1144</v>
      </c>
      <c r="F46" s="48">
        <v>62</v>
      </c>
      <c r="G46" s="48">
        <v>1206</v>
      </c>
      <c r="H46" s="48" t="s">
        <v>547</v>
      </c>
      <c r="I46" s="48" t="s">
        <v>548</v>
      </c>
      <c r="J46" s="58">
        <v>0.96</v>
      </c>
      <c r="K46" s="57" t="e">
        <f t="shared" ca="1" si="0"/>
        <v>#NAME?</v>
      </c>
    </row>
    <row r="47" spans="3:15">
      <c r="C47" s="55" t="s">
        <v>549</v>
      </c>
      <c r="D47" s="48">
        <v>1100</v>
      </c>
      <c r="E47" s="48">
        <v>734</v>
      </c>
      <c r="F47" s="48">
        <v>13</v>
      </c>
      <c r="G47" s="48">
        <v>747</v>
      </c>
      <c r="H47" s="48" t="s">
        <v>466</v>
      </c>
      <c r="I47" s="48" t="s">
        <v>550</v>
      </c>
      <c r="J47" s="58">
        <v>0.76</v>
      </c>
      <c r="K47" s="57" t="e">
        <f t="shared" ca="1" si="0"/>
        <v>#NAME?</v>
      </c>
    </row>
    <row r="48" spans="3:15">
      <c r="C48" s="55" t="s">
        <v>551</v>
      </c>
      <c r="D48" s="48">
        <v>1099</v>
      </c>
      <c r="E48" s="48">
        <v>365</v>
      </c>
      <c r="F48" s="48">
        <v>0</v>
      </c>
      <c r="G48" s="48">
        <v>365</v>
      </c>
      <c r="H48" s="48" t="s">
        <v>552</v>
      </c>
      <c r="I48" s="48" t="s">
        <v>553</v>
      </c>
      <c r="J48" s="58">
        <v>0.78</v>
      </c>
      <c r="K48" s="57" t="e">
        <f t="shared" ca="1" si="0"/>
        <v>#NAME?</v>
      </c>
    </row>
    <row r="49" spans="3:11">
      <c r="C49" s="55" t="s">
        <v>554</v>
      </c>
      <c r="D49" s="48">
        <v>1050</v>
      </c>
      <c r="E49" s="48">
        <v>495</v>
      </c>
      <c r="F49" s="48">
        <v>10</v>
      </c>
      <c r="G49" s="48">
        <v>505</v>
      </c>
      <c r="H49" s="48" t="s">
        <v>555</v>
      </c>
      <c r="I49" s="48" t="s">
        <v>556</v>
      </c>
      <c r="J49" s="58">
        <v>0.66</v>
      </c>
      <c r="K49" s="57" t="e">
        <f t="shared" ca="1" si="0"/>
        <v>#NAME?</v>
      </c>
    </row>
    <row r="50" spans="3:11">
      <c r="C50" s="55" t="s">
        <v>557</v>
      </c>
      <c r="D50" s="48">
        <v>1022</v>
      </c>
      <c r="E50" s="48">
        <v>539</v>
      </c>
      <c r="F50" s="48">
        <v>0</v>
      </c>
      <c r="G50" s="48">
        <v>539</v>
      </c>
      <c r="H50" s="48" t="s">
        <v>558</v>
      </c>
      <c r="I50" s="48" t="s">
        <v>559</v>
      </c>
      <c r="J50" s="58">
        <v>0.94</v>
      </c>
      <c r="K50" s="57" t="e">
        <f t="shared" ca="1" si="0"/>
        <v>#NAME?</v>
      </c>
    </row>
    <row r="51" spans="3:11">
      <c r="C51" s="55" t="s">
        <v>560</v>
      </c>
      <c r="D51" s="48">
        <v>1008</v>
      </c>
      <c r="E51" s="48">
        <v>108</v>
      </c>
      <c r="F51" s="48">
        <v>1656</v>
      </c>
      <c r="G51" s="48">
        <v>1764</v>
      </c>
      <c r="H51" s="48" t="s">
        <v>561</v>
      </c>
      <c r="I51" s="48" t="s">
        <v>531</v>
      </c>
      <c r="J51" s="58">
        <v>0.91</v>
      </c>
      <c r="K51" s="57" t="e">
        <f t="shared" ca="1" si="0"/>
        <v>#NAME?</v>
      </c>
    </row>
    <row r="52" spans="3:11">
      <c r="C52" s="55" t="s">
        <v>562</v>
      </c>
      <c r="D52" s="48">
        <v>1008</v>
      </c>
      <c r="E52" s="48">
        <v>22</v>
      </c>
      <c r="F52" s="48">
        <v>396</v>
      </c>
      <c r="G52" s="48">
        <v>418</v>
      </c>
      <c r="H52" s="48" t="s">
        <v>563</v>
      </c>
      <c r="I52" s="48" t="s">
        <v>479</v>
      </c>
      <c r="J52" s="58">
        <v>1</v>
      </c>
      <c r="K52" s="57" t="e">
        <f t="shared" ca="1" si="0"/>
        <v>#NAME?</v>
      </c>
    </row>
    <row r="53" spans="3:11">
      <c r="C53" s="55" t="s">
        <v>564</v>
      </c>
      <c r="D53" s="48">
        <v>1000</v>
      </c>
      <c r="E53" s="48">
        <v>547</v>
      </c>
      <c r="F53" s="48">
        <v>168</v>
      </c>
      <c r="G53" s="48">
        <v>715</v>
      </c>
      <c r="H53" s="48" t="s">
        <v>565</v>
      </c>
      <c r="I53" s="48" t="s">
        <v>489</v>
      </c>
      <c r="J53" s="58">
        <v>1</v>
      </c>
      <c r="K53" s="57" t="e">
        <f t="shared" ca="1" si="0"/>
        <v>#NAME?</v>
      </c>
    </row>
    <row r="54" spans="3:11">
      <c r="C54" s="55" t="s">
        <v>566</v>
      </c>
      <c r="D54" s="48">
        <v>974</v>
      </c>
      <c r="E54" s="48">
        <v>592</v>
      </c>
      <c r="F54" s="48">
        <v>0</v>
      </c>
      <c r="G54" s="48">
        <v>592</v>
      </c>
      <c r="H54" s="48" t="s">
        <v>567</v>
      </c>
      <c r="I54" s="48" t="s">
        <v>473</v>
      </c>
      <c r="J54" s="58">
        <v>0.71</v>
      </c>
      <c r="K54" s="57" t="e">
        <f t="shared" ca="1" si="0"/>
        <v>#NAME?</v>
      </c>
    </row>
    <row r="55" spans="3:11">
      <c r="C55" s="55" t="s">
        <v>568</v>
      </c>
      <c r="D55" s="48">
        <v>957</v>
      </c>
      <c r="E55" s="48">
        <v>432</v>
      </c>
      <c r="F55" s="48">
        <v>62</v>
      </c>
      <c r="G55" s="48">
        <v>494</v>
      </c>
      <c r="H55" s="48" t="s">
        <v>569</v>
      </c>
      <c r="I55" s="48" t="s">
        <v>570</v>
      </c>
      <c r="J55" s="58">
        <v>0.94</v>
      </c>
      <c r="K55" s="57" t="e">
        <f t="shared" ca="1" si="0"/>
        <v>#NAME?</v>
      </c>
    </row>
    <row r="56" spans="3:11">
      <c r="C56" s="55" t="s">
        <v>571</v>
      </c>
      <c r="D56" s="48">
        <v>955</v>
      </c>
      <c r="E56" s="48">
        <v>1051</v>
      </c>
      <c r="F56" s="48">
        <v>0</v>
      </c>
      <c r="G56" s="48">
        <v>1051</v>
      </c>
      <c r="H56" s="48" t="s">
        <v>472</v>
      </c>
      <c r="I56" s="48" t="s">
        <v>572</v>
      </c>
      <c r="J56" s="58">
        <v>1</v>
      </c>
      <c r="K56" s="57" t="e">
        <f t="shared" ca="1" si="0"/>
        <v>#NAME?</v>
      </c>
    </row>
    <row r="57" spans="3:11">
      <c r="C57" s="55" t="s">
        <v>573</v>
      </c>
      <c r="D57" s="48">
        <v>953</v>
      </c>
      <c r="E57" s="48">
        <v>4928</v>
      </c>
      <c r="F57" s="48">
        <v>2020</v>
      </c>
      <c r="G57" s="48">
        <v>6948</v>
      </c>
      <c r="H57" s="48" t="s">
        <v>476</v>
      </c>
      <c r="I57" s="48" t="s">
        <v>555</v>
      </c>
      <c r="J57" s="58">
        <v>1</v>
      </c>
      <c r="K57" s="57" t="e">
        <f t="shared" ca="1" si="0"/>
        <v>#NAME?</v>
      </c>
    </row>
    <row r="58" spans="3:11">
      <c r="C58" s="55" t="s">
        <v>574</v>
      </c>
      <c r="D58" s="48">
        <v>925</v>
      </c>
      <c r="E58" s="48">
        <v>515</v>
      </c>
      <c r="F58" s="48">
        <v>0</v>
      </c>
      <c r="G58" s="48">
        <v>515</v>
      </c>
      <c r="H58" s="48" t="s">
        <v>575</v>
      </c>
      <c r="I58" s="48" t="s">
        <v>576</v>
      </c>
      <c r="J58" s="58">
        <v>0.94</v>
      </c>
      <c r="K58" s="57" t="e">
        <f t="shared" ca="1" si="0"/>
        <v>#NAME?</v>
      </c>
    </row>
    <row r="59" spans="3:11">
      <c r="C59" s="55" t="s">
        <v>577</v>
      </c>
      <c r="D59" s="48">
        <v>918</v>
      </c>
      <c r="E59" s="48">
        <v>307</v>
      </c>
      <c r="F59" s="48">
        <v>0</v>
      </c>
      <c r="G59" s="48">
        <v>307</v>
      </c>
      <c r="H59" s="48" t="s">
        <v>578</v>
      </c>
      <c r="I59" s="48" t="s">
        <v>579</v>
      </c>
      <c r="J59" s="58">
        <v>1</v>
      </c>
      <c r="K59" s="57" t="e">
        <f t="shared" ca="1" si="0"/>
        <v>#NAME?</v>
      </c>
    </row>
    <row r="60" spans="3:11">
      <c r="C60" s="55" t="s">
        <v>580</v>
      </c>
      <c r="D60" s="48">
        <v>910</v>
      </c>
      <c r="E60" s="48">
        <v>148</v>
      </c>
      <c r="F60" s="48">
        <v>1</v>
      </c>
      <c r="G60" s="48">
        <v>149</v>
      </c>
      <c r="H60" s="48" t="s">
        <v>581</v>
      </c>
      <c r="I60" s="48" t="s">
        <v>541</v>
      </c>
      <c r="J60" s="58">
        <v>0.98</v>
      </c>
      <c r="K60" s="57" t="e">
        <f t="shared" ca="1" si="0"/>
        <v>#NAME?</v>
      </c>
    </row>
    <row r="61" spans="3:11">
      <c r="C61" s="55" t="s">
        <v>582</v>
      </c>
      <c r="D61" s="48">
        <v>909</v>
      </c>
      <c r="E61" s="48">
        <v>1198</v>
      </c>
      <c r="F61" s="48">
        <v>817</v>
      </c>
      <c r="G61" s="48">
        <v>2015</v>
      </c>
      <c r="H61" s="48" t="s">
        <v>575</v>
      </c>
      <c r="I61" s="48" t="s">
        <v>556</v>
      </c>
      <c r="J61" s="58">
        <v>0.99</v>
      </c>
      <c r="K61" s="57" t="e">
        <f t="shared" ca="1" si="0"/>
        <v>#NAME?</v>
      </c>
    </row>
    <row r="62" spans="3:11">
      <c r="C62" s="55" t="s">
        <v>583</v>
      </c>
      <c r="D62" s="48">
        <v>889</v>
      </c>
      <c r="E62" s="48">
        <v>1362</v>
      </c>
      <c r="F62" s="48">
        <v>122</v>
      </c>
      <c r="G62" s="48">
        <v>1484</v>
      </c>
      <c r="H62" s="48" t="s">
        <v>584</v>
      </c>
      <c r="I62" s="48" t="s">
        <v>585</v>
      </c>
      <c r="J62" s="58">
        <v>1</v>
      </c>
      <c r="K62" s="57" t="e">
        <f t="shared" ca="1" si="0"/>
        <v>#NAME?</v>
      </c>
    </row>
    <row r="63" spans="3:11">
      <c r="C63" s="55" t="s">
        <v>586</v>
      </c>
      <c r="D63" s="48">
        <v>886</v>
      </c>
      <c r="E63" s="48">
        <v>121</v>
      </c>
      <c r="F63" s="48">
        <v>12</v>
      </c>
      <c r="G63" s="48">
        <v>133</v>
      </c>
      <c r="H63" s="48" t="s">
        <v>550</v>
      </c>
      <c r="I63" s="48" t="s">
        <v>587</v>
      </c>
      <c r="J63" s="58">
        <v>0.76</v>
      </c>
      <c r="K63" s="57" t="e">
        <f t="shared" ca="1" si="0"/>
        <v>#NAME?</v>
      </c>
    </row>
    <row r="64" spans="3:11">
      <c r="C64" s="55" t="s">
        <v>588</v>
      </c>
      <c r="D64" s="48">
        <v>878</v>
      </c>
      <c r="E64" s="48">
        <v>720</v>
      </c>
      <c r="F64" s="48">
        <v>0</v>
      </c>
      <c r="G64" s="48">
        <v>720</v>
      </c>
      <c r="H64" s="48" t="s">
        <v>520</v>
      </c>
      <c r="I64" s="48" t="s">
        <v>589</v>
      </c>
      <c r="J64" s="58">
        <v>1</v>
      </c>
      <c r="K64" s="57" t="e">
        <f t="shared" ca="1" si="0"/>
        <v>#NAME?</v>
      </c>
    </row>
    <row r="65" spans="3:11">
      <c r="C65" s="55" t="s">
        <v>590</v>
      </c>
      <c r="D65" s="48">
        <v>877</v>
      </c>
      <c r="E65" s="48">
        <v>531</v>
      </c>
      <c r="F65" s="48">
        <v>198</v>
      </c>
      <c r="G65" s="48">
        <v>729</v>
      </c>
      <c r="H65" s="48" t="s">
        <v>591</v>
      </c>
      <c r="I65" s="48" t="s">
        <v>592</v>
      </c>
      <c r="J65" s="58">
        <v>0.97</v>
      </c>
      <c r="K65" s="57" t="e">
        <f t="shared" ca="1" si="0"/>
        <v>#NAME?</v>
      </c>
    </row>
    <row r="66" spans="3:11">
      <c r="C66" s="55" t="s">
        <v>593</v>
      </c>
      <c r="D66" s="48">
        <v>868</v>
      </c>
      <c r="E66" s="48">
        <v>76</v>
      </c>
      <c r="F66" s="48">
        <v>0</v>
      </c>
      <c r="G66" s="48">
        <v>76</v>
      </c>
      <c r="H66" s="48" t="s">
        <v>594</v>
      </c>
      <c r="I66" s="48" t="s">
        <v>595</v>
      </c>
      <c r="J66" s="58">
        <v>0.97</v>
      </c>
      <c r="K66" s="57" t="e">
        <f t="shared" ca="1" si="0"/>
        <v>#NAME?</v>
      </c>
    </row>
    <row r="67" spans="3:11">
      <c r="C67" s="55" t="s">
        <v>596</v>
      </c>
      <c r="D67" s="48">
        <v>862</v>
      </c>
      <c r="E67" s="48">
        <v>138</v>
      </c>
      <c r="F67" s="48">
        <v>674</v>
      </c>
      <c r="G67" s="48">
        <v>812</v>
      </c>
      <c r="H67" s="48" t="s">
        <v>458</v>
      </c>
      <c r="I67" s="48" t="s">
        <v>597</v>
      </c>
      <c r="J67" s="58">
        <v>1</v>
      </c>
      <c r="K67" s="57" t="e">
        <f t="shared" ca="1" si="0"/>
        <v>#NAME?</v>
      </c>
    </row>
    <row r="68" spans="3:11">
      <c r="C68" s="55" t="s">
        <v>598</v>
      </c>
      <c r="D68" s="48">
        <v>843</v>
      </c>
      <c r="E68" s="48">
        <v>392</v>
      </c>
      <c r="F68" s="48">
        <v>31</v>
      </c>
      <c r="G68" s="48">
        <v>423</v>
      </c>
      <c r="H68" s="48" t="s">
        <v>599</v>
      </c>
      <c r="I68" s="48" t="s">
        <v>527</v>
      </c>
      <c r="J68" s="58">
        <v>0.97</v>
      </c>
      <c r="K68" s="57" t="e">
        <f t="shared" ca="1" si="0"/>
        <v>#NAME?</v>
      </c>
    </row>
    <row r="69" spans="3:11">
      <c r="C69" s="55" t="s">
        <v>600</v>
      </c>
      <c r="D69" s="48">
        <v>811</v>
      </c>
      <c r="E69" s="48">
        <v>92</v>
      </c>
      <c r="F69" s="48">
        <v>283</v>
      </c>
      <c r="G69" s="48">
        <v>375</v>
      </c>
      <c r="H69" s="48" t="s">
        <v>601</v>
      </c>
      <c r="I69" s="48" t="s">
        <v>602</v>
      </c>
      <c r="J69" s="58">
        <v>0.19</v>
      </c>
      <c r="K69" s="57" t="e">
        <f t="shared" ca="1" si="0"/>
        <v>#NAME?</v>
      </c>
    </row>
    <row r="70" spans="3:11">
      <c r="C70" s="55" t="s">
        <v>603</v>
      </c>
      <c r="D70" s="48">
        <v>785</v>
      </c>
      <c r="E70" s="48">
        <v>689</v>
      </c>
      <c r="F70" s="48">
        <v>86</v>
      </c>
      <c r="G70" s="48">
        <v>775</v>
      </c>
      <c r="H70" s="48" t="s">
        <v>527</v>
      </c>
      <c r="I70" s="48" t="s">
        <v>493</v>
      </c>
      <c r="J70" s="58">
        <v>1</v>
      </c>
      <c r="K70" s="57" t="e">
        <f t="shared" ca="1" si="0"/>
        <v>#NAME?</v>
      </c>
    </row>
    <row r="71" spans="3:11">
      <c r="C71" s="55" t="s">
        <v>604</v>
      </c>
      <c r="D71" s="48">
        <v>783</v>
      </c>
      <c r="E71" s="48">
        <v>1862</v>
      </c>
      <c r="F71" s="48">
        <v>40</v>
      </c>
      <c r="G71" s="48">
        <v>1902</v>
      </c>
      <c r="H71" s="48" t="s">
        <v>558</v>
      </c>
      <c r="I71" s="48" t="s">
        <v>605</v>
      </c>
      <c r="J71" s="58">
        <v>0.96</v>
      </c>
      <c r="K71" s="57" t="e">
        <f t="shared" ca="1" si="0"/>
        <v>#NAME?</v>
      </c>
    </row>
    <row r="72" spans="3:11">
      <c r="C72" s="55" t="s">
        <v>606</v>
      </c>
      <c r="D72" s="48">
        <v>770</v>
      </c>
      <c r="E72" s="48">
        <v>460</v>
      </c>
      <c r="F72" s="48">
        <v>28</v>
      </c>
      <c r="G72" s="48">
        <v>488</v>
      </c>
      <c r="H72" s="48" t="s">
        <v>607</v>
      </c>
      <c r="I72" s="48" t="s">
        <v>605</v>
      </c>
      <c r="J72" s="58">
        <v>1</v>
      </c>
      <c r="K72" s="57" t="e">
        <f t="shared" ca="1" si="0"/>
        <v>#NAME?</v>
      </c>
    </row>
    <row r="73" spans="3:11">
      <c r="C73" s="55" t="s">
        <v>608</v>
      </c>
      <c r="D73" s="48">
        <v>767</v>
      </c>
      <c r="E73" s="48">
        <v>1127</v>
      </c>
      <c r="F73" s="48">
        <v>35</v>
      </c>
      <c r="G73" s="48">
        <v>1162</v>
      </c>
      <c r="H73" s="48" t="s">
        <v>605</v>
      </c>
      <c r="I73" s="48" t="s">
        <v>584</v>
      </c>
      <c r="J73" s="58">
        <v>0.99</v>
      </c>
      <c r="K73" s="57" t="e">
        <f t="shared" ca="1" si="0"/>
        <v>#NAME?</v>
      </c>
    </row>
    <row r="74" spans="3:11">
      <c r="C74" s="55" t="s">
        <v>609</v>
      </c>
      <c r="D74" s="48">
        <v>761</v>
      </c>
      <c r="E74" s="48">
        <v>280</v>
      </c>
      <c r="F74" s="48">
        <v>0</v>
      </c>
      <c r="G74" s="48">
        <v>280</v>
      </c>
      <c r="H74" s="48" t="s">
        <v>610</v>
      </c>
      <c r="I74" s="48" t="s">
        <v>611</v>
      </c>
      <c r="J74" s="58">
        <v>1</v>
      </c>
      <c r="K74" s="57" t="e">
        <f t="shared" ca="1" si="0"/>
        <v>#NAME?</v>
      </c>
    </row>
    <row r="75" spans="3:11">
      <c r="C75" s="55" t="s">
        <v>612</v>
      </c>
      <c r="D75" s="48" t="s">
        <v>613</v>
      </c>
      <c r="E75" s="48">
        <v>970</v>
      </c>
      <c r="F75" s="48">
        <v>8</v>
      </c>
      <c r="G75" s="48">
        <v>978</v>
      </c>
      <c r="H75" s="48" t="s">
        <v>464</v>
      </c>
      <c r="I75" s="48" t="s">
        <v>614</v>
      </c>
      <c r="J75" s="58">
        <v>1</v>
      </c>
      <c r="K75" s="57" t="e">
        <f t="shared" ca="1" si="0"/>
        <v>#NAME?</v>
      </c>
    </row>
    <row r="76" spans="3:11">
      <c r="C76" s="55" t="s">
        <v>615</v>
      </c>
      <c r="D76" s="48">
        <v>755</v>
      </c>
      <c r="E76" s="48">
        <v>1264</v>
      </c>
      <c r="F76" s="48">
        <v>0</v>
      </c>
      <c r="G76" s="48">
        <v>1264</v>
      </c>
      <c r="H76" s="48" t="s">
        <v>616</v>
      </c>
      <c r="I76" s="48" t="s">
        <v>617</v>
      </c>
      <c r="J76" s="58">
        <v>0.56000000000000005</v>
      </c>
      <c r="K76" s="57" t="e">
        <f t="shared" ca="1" si="0"/>
        <v>#NAME?</v>
      </c>
    </row>
    <row r="77" spans="3:11">
      <c r="C77" s="55" t="s">
        <v>618</v>
      </c>
      <c r="D77" s="48">
        <v>741</v>
      </c>
      <c r="E77" s="48">
        <v>554</v>
      </c>
      <c r="F77" s="48">
        <v>5</v>
      </c>
      <c r="G77" s="48">
        <v>559</v>
      </c>
      <c r="H77" s="48" t="s">
        <v>619</v>
      </c>
      <c r="I77" s="48" t="s">
        <v>620</v>
      </c>
      <c r="J77" s="58">
        <v>0.97</v>
      </c>
      <c r="K77" s="57" t="e">
        <f t="shared" ca="1" si="0"/>
        <v>#NAME?</v>
      </c>
    </row>
    <row r="78" spans="3:11">
      <c r="C78" s="55" t="s">
        <v>621</v>
      </c>
      <c r="D78" s="48">
        <v>612</v>
      </c>
      <c r="E78" s="48">
        <v>722</v>
      </c>
      <c r="F78" s="48">
        <v>0</v>
      </c>
      <c r="G78" s="48">
        <v>722</v>
      </c>
      <c r="H78" s="48" t="s">
        <v>504</v>
      </c>
      <c r="I78" s="48" t="s">
        <v>524</v>
      </c>
      <c r="J78" s="58">
        <v>0.84</v>
      </c>
      <c r="K78" s="57" t="e">
        <f t="shared" ca="1" si="0"/>
        <v>#NAME?</v>
      </c>
    </row>
    <row r="79" spans="3:11">
      <c r="C79" s="55" t="s">
        <v>622</v>
      </c>
      <c r="D79" s="48">
        <v>608</v>
      </c>
      <c r="E79" s="48">
        <v>470</v>
      </c>
      <c r="F79" s="48">
        <v>0</v>
      </c>
      <c r="G79" s="48">
        <v>470</v>
      </c>
      <c r="H79" s="48" t="s">
        <v>623</v>
      </c>
      <c r="I79" s="48" t="s">
        <v>476</v>
      </c>
      <c r="J79" s="58">
        <v>0.19</v>
      </c>
      <c r="K79" s="57" t="e">
        <f t="shared" ca="1" si="0"/>
        <v>#NAME?</v>
      </c>
    </row>
    <row r="80" spans="3:11">
      <c r="C80" s="55" t="s">
        <v>624</v>
      </c>
      <c r="D80" s="48">
        <v>605</v>
      </c>
      <c r="E80" s="48">
        <v>200</v>
      </c>
      <c r="F80" s="48">
        <v>964</v>
      </c>
      <c r="G80" s="48">
        <v>1164</v>
      </c>
      <c r="J80" s="58">
        <v>0.68</v>
      </c>
      <c r="K80" s="57" t="e">
        <f t="shared" ca="1" si="0"/>
        <v>#NAME?</v>
      </c>
    </row>
    <row r="81" spans="3:11">
      <c r="C81" s="55" t="s">
        <v>625</v>
      </c>
      <c r="D81" s="48">
        <v>600</v>
      </c>
      <c r="E81" s="48">
        <v>210</v>
      </c>
      <c r="F81" s="48">
        <v>362</v>
      </c>
      <c r="G81" s="48">
        <v>572</v>
      </c>
      <c r="J81" s="58">
        <v>0.9</v>
      </c>
      <c r="K81" s="57" t="e">
        <f t="shared" ca="1" si="0"/>
        <v>#NAME?</v>
      </c>
    </row>
    <row r="82" spans="3:11">
      <c r="C82" s="55" t="s">
        <v>626</v>
      </c>
      <c r="D82" s="48">
        <v>592</v>
      </c>
      <c r="E82" s="48">
        <v>118</v>
      </c>
      <c r="F82" s="48">
        <v>0</v>
      </c>
      <c r="G82" s="48">
        <v>118</v>
      </c>
      <c r="H82" s="48" t="s">
        <v>627</v>
      </c>
      <c r="I82" s="48" t="s">
        <v>455</v>
      </c>
      <c r="J82" s="58">
        <v>1</v>
      </c>
      <c r="K82" s="57" t="e">
        <f t="shared" ca="1" si="0"/>
        <v>#NAME?</v>
      </c>
    </row>
    <row r="83" spans="3:11">
      <c r="C83" s="55" t="s">
        <v>628</v>
      </c>
      <c r="D83" s="48">
        <v>588</v>
      </c>
      <c r="E83" s="48">
        <v>674</v>
      </c>
      <c r="F83" s="48">
        <v>5</v>
      </c>
      <c r="G83" s="48">
        <v>679</v>
      </c>
      <c r="H83" s="48" t="s">
        <v>629</v>
      </c>
      <c r="I83" s="48" t="s">
        <v>630</v>
      </c>
      <c r="J83" s="58">
        <v>0.52</v>
      </c>
      <c r="K83" s="57" t="e">
        <f t="shared" ca="1" si="0"/>
        <v>#NAME?</v>
      </c>
    </row>
    <row r="84" spans="3:11">
      <c r="C84" s="55" t="s">
        <v>631</v>
      </c>
      <c r="D84" s="48">
        <v>583</v>
      </c>
      <c r="E84" s="48">
        <v>743</v>
      </c>
      <c r="F84" s="48">
        <v>253</v>
      </c>
      <c r="G84" s="48">
        <v>996</v>
      </c>
      <c r="H84" s="48" t="s">
        <v>632</v>
      </c>
      <c r="I84" s="48" t="s">
        <v>461</v>
      </c>
      <c r="J84" s="58">
        <v>1</v>
      </c>
      <c r="K84" s="57" t="e">
        <f t="shared" ca="1" si="0"/>
        <v>#NAME?</v>
      </c>
    </row>
    <row r="85" spans="3:11">
      <c r="C85" s="55" t="s">
        <v>633</v>
      </c>
      <c r="D85" s="48">
        <v>582</v>
      </c>
      <c r="E85" s="48">
        <v>183</v>
      </c>
      <c r="F85" s="48">
        <v>1</v>
      </c>
      <c r="G85" s="48">
        <v>184</v>
      </c>
      <c r="J85" s="58">
        <v>0.98</v>
      </c>
      <c r="K85" s="57" t="e">
        <f t="shared" ca="1" si="0"/>
        <v>#NAME?</v>
      </c>
    </row>
    <row r="86" spans="3:11">
      <c r="C86" s="55" t="s">
        <v>634</v>
      </c>
      <c r="D86" s="48" t="s">
        <v>635</v>
      </c>
      <c r="E86" s="48">
        <v>377</v>
      </c>
      <c r="F86" s="48">
        <v>18</v>
      </c>
      <c r="G86" s="48">
        <v>395</v>
      </c>
      <c r="H86" s="48" t="s">
        <v>636</v>
      </c>
      <c r="I86" s="48" t="s">
        <v>637</v>
      </c>
      <c r="J86" s="58">
        <v>1</v>
      </c>
      <c r="K86" s="57" t="e">
        <f t="shared" ca="1" si="0"/>
        <v>#NAME?</v>
      </c>
    </row>
    <row r="87" spans="3:11">
      <c r="C87" s="55" t="s">
        <v>638</v>
      </c>
      <c r="D87" s="48">
        <v>568</v>
      </c>
      <c r="E87" s="48">
        <v>526</v>
      </c>
      <c r="F87" s="48">
        <v>0</v>
      </c>
      <c r="G87" s="48">
        <v>526</v>
      </c>
      <c r="H87" s="48" t="s">
        <v>639</v>
      </c>
      <c r="I87" s="48" t="s">
        <v>605</v>
      </c>
      <c r="J87" s="58">
        <v>0.42</v>
      </c>
      <c r="K87" s="57" t="e">
        <f t="shared" ca="1" si="0"/>
        <v>#NAME?</v>
      </c>
    </row>
    <row r="88" spans="3:11">
      <c r="C88" s="55" t="s">
        <v>640</v>
      </c>
      <c r="D88" s="48">
        <v>564</v>
      </c>
      <c r="E88" s="48">
        <v>750</v>
      </c>
      <c r="F88" s="48">
        <v>0</v>
      </c>
      <c r="G88" s="48">
        <v>750</v>
      </c>
      <c r="H88" s="48" t="s">
        <v>641</v>
      </c>
      <c r="I88" s="48" t="s">
        <v>642</v>
      </c>
      <c r="J88" s="58">
        <v>0.97</v>
      </c>
      <c r="K88" s="57" t="e">
        <f t="shared" ca="1" si="0"/>
        <v>#NAME?</v>
      </c>
    </row>
    <row r="89" spans="3:11">
      <c r="C89" s="55" t="s">
        <v>643</v>
      </c>
      <c r="D89" s="48">
        <v>560</v>
      </c>
      <c r="E89" s="48">
        <v>225</v>
      </c>
      <c r="F89" s="48">
        <v>0</v>
      </c>
      <c r="G89" s="48">
        <v>225</v>
      </c>
      <c r="H89" s="48" t="s">
        <v>644</v>
      </c>
      <c r="I89" s="48" t="s">
        <v>479</v>
      </c>
      <c r="J89" s="58">
        <v>1</v>
      </c>
      <c r="K89" s="57" t="e">
        <f t="shared" ca="1" si="0"/>
        <v>#NAME?</v>
      </c>
    </row>
    <row r="90" spans="3:11">
      <c r="C90" s="55" t="s">
        <v>645</v>
      </c>
      <c r="D90" s="48">
        <v>551</v>
      </c>
      <c r="E90" s="48">
        <v>225</v>
      </c>
      <c r="F90" s="48">
        <v>2.0649999999999999</v>
      </c>
      <c r="G90" s="48">
        <v>2.29</v>
      </c>
      <c r="H90" s="48" t="s">
        <v>531</v>
      </c>
      <c r="I90" s="48" t="s">
        <v>646</v>
      </c>
      <c r="J90" s="58">
        <v>0.94</v>
      </c>
      <c r="K90" s="57" t="e">
        <f t="shared" ca="1" si="0"/>
        <v>#NAME?</v>
      </c>
    </row>
    <row r="91" spans="3:11">
      <c r="C91" s="55" t="s">
        <v>647</v>
      </c>
      <c r="D91" s="48">
        <v>550</v>
      </c>
      <c r="E91" s="48">
        <v>284</v>
      </c>
      <c r="F91" s="48">
        <v>0</v>
      </c>
      <c r="G91" s="48">
        <v>284</v>
      </c>
      <c r="H91" s="48" t="s">
        <v>555</v>
      </c>
      <c r="I91" s="48" t="s">
        <v>454</v>
      </c>
      <c r="J91" s="58">
        <v>0.99</v>
      </c>
      <c r="K91" s="57" t="e">
        <f t="shared" ca="1" si="0"/>
        <v>#NAME?</v>
      </c>
    </row>
    <row r="92" spans="3:11">
      <c r="C92" s="55" t="s">
        <v>648</v>
      </c>
      <c r="D92" s="48">
        <v>548</v>
      </c>
      <c r="E92" s="48">
        <v>103</v>
      </c>
      <c r="F92" s="48">
        <v>6</v>
      </c>
      <c r="G92" s="48">
        <v>109</v>
      </c>
      <c r="H92" s="48" t="s">
        <v>649</v>
      </c>
      <c r="I92" s="48" t="s">
        <v>591</v>
      </c>
      <c r="J92" s="58">
        <v>0.71</v>
      </c>
      <c r="K92" s="57" t="e">
        <f t="shared" ca="1" si="0"/>
        <v>#NAME?</v>
      </c>
    </row>
    <row r="93" spans="3:11">
      <c r="C93" s="55" t="s">
        <v>650</v>
      </c>
      <c r="D93" s="48">
        <v>540</v>
      </c>
      <c r="E93" s="48">
        <v>545</v>
      </c>
      <c r="F93" s="48">
        <v>6</v>
      </c>
      <c r="G93" s="48">
        <v>551</v>
      </c>
      <c r="H93" s="48" t="s">
        <v>484</v>
      </c>
      <c r="I93" s="48" t="s">
        <v>484</v>
      </c>
      <c r="J93" s="58">
        <v>0.98</v>
      </c>
      <c r="K93" s="57" t="e">
        <f t="shared" ca="1" si="0"/>
        <v>#NAME?</v>
      </c>
    </row>
    <row r="94" spans="3:11">
      <c r="C94" s="55" t="s">
        <v>651</v>
      </c>
      <c r="D94" s="48">
        <v>539</v>
      </c>
      <c r="E94" s="48">
        <v>263</v>
      </c>
      <c r="F94" s="48">
        <v>3</v>
      </c>
      <c r="G94" s="48">
        <v>266</v>
      </c>
      <c r="H94" s="48" t="s">
        <v>524</v>
      </c>
      <c r="I94" s="48" t="s">
        <v>652</v>
      </c>
      <c r="J94" s="58">
        <v>0.69</v>
      </c>
      <c r="K94" s="57" t="e">
        <f t="shared" ca="1" si="0"/>
        <v>#NAME?</v>
      </c>
    </row>
    <row r="95" spans="3:11">
      <c r="C95" s="55" t="s">
        <v>653</v>
      </c>
      <c r="D95" s="48">
        <v>531</v>
      </c>
      <c r="E95" s="48">
        <v>734</v>
      </c>
      <c r="F95" s="48">
        <v>57</v>
      </c>
      <c r="G95" s="48">
        <v>791</v>
      </c>
      <c r="H95" s="48" t="s">
        <v>654</v>
      </c>
      <c r="I95" s="48" t="s">
        <v>504</v>
      </c>
      <c r="J95" s="58">
        <v>1</v>
      </c>
      <c r="K95" s="57" t="e">
        <f t="shared" ca="1" si="0"/>
        <v>#NAME?</v>
      </c>
    </row>
    <row r="96" spans="3:11">
      <c r="C96" s="55" t="s">
        <v>655</v>
      </c>
      <c r="D96" s="48">
        <v>525</v>
      </c>
      <c r="E96" s="48">
        <v>149</v>
      </c>
      <c r="F96" s="48">
        <v>28</v>
      </c>
      <c r="G96" s="48">
        <v>177</v>
      </c>
      <c r="H96" s="48" t="s">
        <v>490</v>
      </c>
      <c r="I96" s="48" t="s">
        <v>656</v>
      </c>
      <c r="J96" s="58">
        <v>0.9</v>
      </c>
      <c r="K96" s="57" t="e">
        <f t="shared" ca="1" si="0"/>
        <v>#NAME?</v>
      </c>
    </row>
    <row r="97" spans="3:11">
      <c r="C97" s="55" t="s">
        <v>657</v>
      </c>
      <c r="D97" s="48">
        <v>505</v>
      </c>
      <c r="E97" s="48">
        <v>359</v>
      </c>
      <c r="F97" s="48">
        <v>57</v>
      </c>
      <c r="G97" s="48">
        <v>416</v>
      </c>
      <c r="H97" s="48" t="s">
        <v>658</v>
      </c>
      <c r="I97" s="48" t="s">
        <v>461</v>
      </c>
      <c r="J97" s="58">
        <v>1</v>
      </c>
      <c r="K97" s="57" t="e">
        <f t="shared" ca="1" si="0"/>
        <v>#NAME?</v>
      </c>
    </row>
    <row r="98" spans="3:11">
      <c r="C98" s="55" t="s">
        <v>659</v>
      </c>
      <c r="D98" s="48">
        <v>504</v>
      </c>
      <c r="E98" s="48">
        <v>197</v>
      </c>
      <c r="F98" s="48">
        <v>13</v>
      </c>
      <c r="G98" s="48">
        <v>210</v>
      </c>
      <c r="H98" s="48" t="s">
        <v>545</v>
      </c>
      <c r="I98" s="48" t="s">
        <v>570</v>
      </c>
      <c r="J98" s="58">
        <v>0.64</v>
      </c>
      <c r="K98" s="57" t="e">
        <f t="shared" ca="1" si="0"/>
        <v>#NAME?</v>
      </c>
    </row>
    <row r="99" spans="3:11">
      <c r="C99" s="55" t="s">
        <v>660</v>
      </c>
      <c r="D99" s="48">
        <v>497</v>
      </c>
      <c r="E99" s="48">
        <v>981</v>
      </c>
      <c r="F99" s="48">
        <v>952</v>
      </c>
      <c r="G99" s="48">
        <v>1.9330000000000001</v>
      </c>
      <c r="H99" s="48" t="s">
        <v>472</v>
      </c>
      <c r="I99" s="48" t="s">
        <v>661</v>
      </c>
      <c r="J99" s="58">
        <v>0.99</v>
      </c>
      <c r="K99" s="57" t="e">
        <f t="shared" ca="1" si="0"/>
        <v>#NAME?</v>
      </c>
    </row>
    <row r="100" spans="3:11">
      <c r="C100" s="55" t="s">
        <v>662</v>
      </c>
      <c r="D100" s="48">
        <v>488</v>
      </c>
      <c r="E100" s="48">
        <v>935</v>
      </c>
      <c r="F100" s="48">
        <v>0</v>
      </c>
      <c r="G100" s="48">
        <v>935</v>
      </c>
      <c r="H100" s="48" t="s">
        <v>663</v>
      </c>
      <c r="I100" s="48" t="s">
        <v>530</v>
      </c>
      <c r="J100" s="58">
        <v>0.86</v>
      </c>
      <c r="K100" s="57" t="e">
        <f t="shared" ca="1" si="0"/>
        <v>#NAME?</v>
      </c>
    </row>
    <row r="101" spans="3:11">
      <c r="C101" s="55" t="s">
        <v>664</v>
      </c>
      <c r="D101" s="48">
        <v>480</v>
      </c>
      <c r="E101" s="48">
        <v>136</v>
      </c>
      <c r="F101" s="48">
        <v>0</v>
      </c>
      <c r="G101" s="48">
        <v>136</v>
      </c>
      <c r="H101" s="48" t="s">
        <v>547</v>
      </c>
      <c r="I101" s="48" t="s">
        <v>524</v>
      </c>
      <c r="J101" s="58">
        <v>1</v>
      </c>
      <c r="K101" s="57" t="e">
        <f t="shared" ca="1" si="0"/>
        <v>#NAME?</v>
      </c>
    </row>
    <row r="102" spans="3:11">
      <c r="C102" s="55" t="s">
        <v>665</v>
      </c>
      <c r="D102" s="48">
        <v>468</v>
      </c>
      <c r="E102" s="48">
        <v>524</v>
      </c>
      <c r="F102" s="48">
        <v>0</v>
      </c>
      <c r="G102" s="48">
        <v>524</v>
      </c>
      <c r="H102" s="48" t="s">
        <v>666</v>
      </c>
      <c r="I102" s="48" t="s">
        <v>667</v>
      </c>
      <c r="J102" s="58">
        <v>0.94</v>
      </c>
      <c r="K102" s="57" t="e">
        <f t="shared" ca="1" si="0"/>
        <v>#NAME?</v>
      </c>
    </row>
    <row r="103" spans="3:11">
      <c r="C103" s="55" t="s">
        <v>668</v>
      </c>
      <c r="D103" s="48">
        <v>460</v>
      </c>
      <c r="E103" s="48">
        <v>367</v>
      </c>
      <c r="F103" s="48">
        <v>25</v>
      </c>
      <c r="G103" s="48">
        <v>392</v>
      </c>
      <c r="H103" s="48" t="s">
        <v>669</v>
      </c>
      <c r="I103" s="48" t="s">
        <v>670</v>
      </c>
      <c r="J103" s="58">
        <v>0.99</v>
      </c>
      <c r="K103" s="57" t="e">
        <f t="shared" ca="1" si="0"/>
        <v>#NAME?</v>
      </c>
    </row>
    <row r="104" spans="3:11">
      <c r="C104" s="55" t="s">
        <v>671</v>
      </c>
      <c r="D104" s="48">
        <v>454</v>
      </c>
      <c r="E104" s="48">
        <v>467</v>
      </c>
      <c r="F104" s="48">
        <v>45</v>
      </c>
      <c r="G104" s="48">
        <v>512</v>
      </c>
      <c r="H104" s="48" t="s">
        <v>672</v>
      </c>
      <c r="I104" s="48" t="s">
        <v>620</v>
      </c>
      <c r="J104" s="58">
        <v>1</v>
      </c>
      <c r="K104" s="57" t="e">
        <f t="shared" ca="1" si="0"/>
        <v>#NAME?</v>
      </c>
    </row>
    <row r="105" spans="3:11">
      <c r="C105" s="55" t="s">
        <v>673</v>
      </c>
      <c r="D105" s="48">
        <v>446</v>
      </c>
      <c r="E105" s="48">
        <v>218</v>
      </c>
      <c r="F105" s="48">
        <v>24</v>
      </c>
      <c r="G105" s="48">
        <v>242</v>
      </c>
      <c r="H105" s="48" t="s">
        <v>451</v>
      </c>
      <c r="I105" s="48" t="s">
        <v>550</v>
      </c>
      <c r="J105" s="58">
        <v>0.99</v>
      </c>
      <c r="K105" s="57" t="e">
        <f t="shared" ca="1" si="0"/>
        <v>#NAME?</v>
      </c>
    </row>
    <row r="106" spans="3:11">
      <c r="C106" s="55" t="s">
        <v>674</v>
      </c>
      <c r="D106" s="48">
        <v>442</v>
      </c>
      <c r="E106" s="48">
        <v>134</v>
      </c>
      <c r="F106" s="48">
        <v>7</v>
      </c>
      <c r="G106" s="48">
        <v>141</v>
      </c>
      <c r="H106" s="48" t="s">
        <v>482</v>
      </c>
      <c r="I106" s="48" t="s">
        <v>675</v>
      </c>
      <c r="J106" s="58">
        <v>0.99</v>
      </c>
      <c r="K106" s="57" t="e">
        <f t="shared" ca="1" si="0"/>
        <v>#NAME?</v>
      </c>
    </row>
    <row r="107" spans="3:11">
      <c r="C107" s="55" t="s">
        <v>676</v>
      </c>
      <c r="D107" s="48">
        <v>438</v>
      </c>
      <c r="E107" s="48">
        <v>156</v>
      </c>
      <c r="F107" s="48">
        <v>0</v>
      </c>
      <c r="G107" s="48">
        <v>156</v>
      </c>
      <c r="H107" s="48" t="s">
        <v>677</v>
      </c>
      <c r="I107" s="48" t="s">
        <v>476</v>
      </c>
      <c r="J107" s="58">
        <v>0.57999999999999996</v>
      </c>
      <c r="K107" s="57" t="e">
        <f t="shared" ca="1" si="0"/>
        <v>#NAME?</v>
      </c>
    </row>
    <row r="108" spans="3:11">
      <c r="C108" s="55" t="s">
        <v>678</v>
      </c>
      <c r="D108" s="48">
        <v>429</v>
      </c>
      <c r="E108" s="48">
        <v>364</v>
      </c>
      <c r="F108" s="48">
        <v>0</v>
      </c>
      <c r="G108" s="48">
        <v>364</v>
      </c>
      <c r="H108" s="48" t="s">
        <v>644</v>
      </c>
      <c r="I108" s="48" t="s">
        <v>616</v>
      </c>
      <c r="J108" s="58">
        <v>0.98</v>
      </c>
      <c r="K108" s="57" t="e">
        <f t="shared" ca="1" si="0"/>
        <v>#NAME?</v>
      </c>
    </row>
    <row r="109" spans="3:11">
      <c r="C109" s="55" t="s">
        <v>679</v>
      </c>
      <c r="D109" s="48">
        <v>426</v>
      </c>
      <c r="E109" s="48">
        <v>211</v>
      </c>
      <c r="F109" s="48">
        <v>0</v>
      </c>
      <c r="G109" s="48">
        <v>211</v>
      </c>
      <c r="H109" s="48" t="s">
        <v>680</v>
      </c>
      <c r="I109" s="48" t="s">
        <v>478</v>
      </c>
      <c r="J109" s="58">
        <v>0.99</v>
      </c>
      <c r="K109" s="57" t="e">
        <f t="shared" ca="1" si="0"/>
        <v>#NAME?</v>
      </c>
    </row>
    <row r="110" spans="3:11">
      <c r="C110" s="55" t="s">
        <v>681</v>
      </c>
      <c r="D110" s="48">
        <v>418</v>
      </c>
      <c r="E110" s="48">
        <v>390</v>
      </c>
      <c r="F110" s="48">
        <v>283</v>
      </c>
      <c r="G110" s="48">
        <v>673</v>
      </c>
      <c r="H110" s="48" t="s">
        <v>682</v>
      </c>
      <c r="I110" s="48" t="s">
        <v>683</v>
      </c>
      <c r="J110" s="58">
        <v>1</v>
      </c>
      <c r="K110" s="57" t="e">
        <f t="shared" ca="1" si="0"/>
        <v>#NAME?</v>
      </c>
    </row>
    <row r="111" spans="3:11">
      <c r="C111" s="55" t="s">
        <v>684</v>
      </c>
      <c r="D111" s="48" t="s">
        <v>685</v>
      </c>
      <c r="E111" s="48">
        <v>413</v>
      </c>
      <c r="F111" s="48">
        <v>0</v>
      </c>
      <c r="G111" s="48">
        <v>413</v>
      </c>
      <c r="H111" s="48" t="s">
        <v>686</v>
      </c>
      <c r="I111" s="48" t="s">
        <v>527</v>
      </c>
      <c r="J111" s="58">
        <v>0.93</v>
      </c>
      <c r="K111" s="57" t="e">
        <f t="shared" ca="1" si="0"/>
        <v>#NAME?</v>
      </c>
    </row>
    <row r="112" spans="3:11">
      <c r="C112" s="55" t="s">
        <v>687</v>
      </c>
      <c r="D112" s="48" t="s">
        <v>685</v>
      </c>
      <c r="E112" s="48">
        <v>195</v>
      </c>
      <c r="F112" s="48">
        <v>9</v>
      </c>
      <c r="G112" s="48">
        <v>204</v>
      </c>
      <c r="H112" s="48" t="s">
        <v>688</v>
      </c>
      <c r="I112" s="48" t="s">
        <v>478</v>
      </c>
      <c r="J112" s="58">
        <v>1</v>
      </c>
      <c r="K112" s="57" t="e">
        <f t="shared" ca="1" si="0"/>
        <v>#NAME?</v>
      </c>
    </row>
    <row r="113" spans="3:11">
      <c r="C113" s="55" t="s">
        <v>689</v>
      </c>
      <c r="D113" s="48">
        <v>409</v>
      </c>
      <c r="E113" s="48">
        <v>402</v>
      </c>
      <c r="F113" s="48">
        <v>0</v>
      </c>
      <c r="G113" s="48">
        <v>402</v>
      </c>
      <c r="H113" s="48" t="s">
        <v>690</v>
      </c>
      <c r="I113" s="48" t="s">
        <v>691</v>
      </c>
      <c r="J113" s="58">
        <v>1</v>
      </c>
      <c r="K113" s="57" t="e">
        <f t="shared" ca="1" si="0"/>
        <v>#NAME?</v>
      </c>
    </row>
    <row r="114" spans="3:11">
      <c r="C114" s="55" t="s">
        <v>692</v>
      </c>
      <c r="D114" s="48">
        <v>408</v>
      </c>
      <c r="E114" s="48">
        <v>1.002</v>
      </c>
      <c r="F114" s="48">
        <v>68</v>
      </c>
      <c r="G114" s="48">
        <v>1.07</v>
      </c>
      <c r="H114" s="48" t="s">
        <v>693</v>
      </c>
      <c r="I114" s="48" t="s">
        <v>694</v>
      </c>
      <c r="J114" s="58">
        <v>1</v>
      </c>
      <c r="K114" s="57" t="e">
        <f t="shared" ca="1" si="0"/>
        <v>#NAME?</v>
      </c>
    </row>
    <row r="115" spans="3:11">
      <c r="C115" s="55" t="s">
        <v>695</v>
      </c>
      <c r="D115" s="48">
        <v>406</v>
      </c>
      <c r="E115" s="48">
        <v>169</v>
      </c>
      <c r="F115" s="48">
        <v>11</v>
      </c>
      <c r="G115" s="48">
        <v>180</v>
      </c>
      <c r="H115" s="48" t="s">
        <v>696</v>
      </c>
      <c r="I115" s="48" t="s">
        <v>697</v>
      </c>
      <c r="J115" s="58">
        <v>0.97</v>
      </c>
      <c r="K115" s="57" t="e">
        <f t="shared" ca="1" si="0"/>
        <v>#NAME?</v>
      </c>
    </row>
    <row r="116" spans="3:11">
      <c r="C116" s="55" t="s">
        <v>698</v>
      </c>
      <c r="D116" s="48">
        <v>404</v>
      </c>
      <c r="E116" s="48">
        <v>51</v>
      </c>
      <c r="F116" s="48">
        <v>21</v>
      </c>
      <c r="G116" s="48">
        <v>72</v>
      </c>
      <c r="H116" s="48" t="s">
        <v>699</v>
      </c>
      <c r="I116" s="48" t="s">
        <v>700</v>
      </c>
      <c r="J116" s="58">
        <v>1</v>
      </c>
      <c r="K116" s="57" t="e">
        <f t="shared" ca="1" si="0"/>
        <v>#NAME?</v>
      </c>
    </row>
    <row r="117" spans="3:11">
      <c r="C117" s="55" t="s">
        <v>701</v>
      </c>
      <c r="D117" s="48">
        <v>395</v>
      </c>
      <c r="E117" s="48">
        <v>130</v>
      </c>
      <c r="F117" s="48">
        <v>0</v>
      </c>
      <c r="G117" s="48">
        <v>130</v>
      </c>
      <c r="J117" s="58">
        <v>0.17</v>
      </c>
      <c r="K117" s="57" t="e">
        <f t="shared" ca="1" si="0"/>
        <v>#NAME?</v>
      </c>
    </row>
    <row r="118" spans="3:11">
      <c r="C118" s="55" t="s">
        <v>702</v>
      </c>
      <c r="D118" s="48">
        <v>388</v>
      </c>
      <c r="E118" s="48">
        <v>183</v>
      </c>
      <c r="F118" s="48">
        <v>50</v>
      </c>
      <c r="G118" s="48">
        <v>233</v>
      </c>
      <c r="H118" s="48" t="s">
        <v>703</v>
      </c>
      <c r="I118" s="48" t="s">
        <v>704</v>
      </c>
      <c r="J118" s="58">
        <v>0.96</v>
      </c>
      <c r="K118" s="57" t="e">
        <f t="shared" ca="1" si="0"/>
        <v>#NAME?</v>
      </c>
    </row>
    <row r="119" spans="3:11">
      <c r="C119" s="55" t="s">
        <v>705</v>
      </c>
      <c r="D119" s="48">
        <v>382</v>
      </c>
      <c r="E119" s="48">
        <v>122</v>
      </c>
      <c r="F119" s="48">
        <v>0</v>
      </c>
      <c r="G119" s="48">
        <v>122</v>
      </c>
      <c r="H119" s="48" t="s">
        <v>706</v>
      </c>
      <c r="I119" s="48" t="s">
        <v>484</v>
      </c>
      <c r="J119" s="58">
        <v>0.56999999999999995</v>
      </c>
      <c r="K119" s="57" t="e">
        <f t="shared" ca="1" si="0"/>
        <v>#NAME?</v>
      </c>
    </row>
    <row r="120" spans="3:11">
      <c r="C120" s="55" t="s">
        <v>707</v>
      </c>
      <c r="D120" s="48">
        <v>374</v>
      </c>
      <c r="E120" s="48">
        <v>331</v>
      </c>
      <c r="F120" s="48">
        <v>2</v>
      </c>
      <c r="G120" s="48">
        <v>333</v>
      </c>
      <c r="H120" s="48" t="s">
        <v>708</v>
      </c>
      <c r="I120" s="48" t="s">
        <v>709</v>
      </c>
      <c r="J120" s="58">
        <v>1</v>
      </c>
      <c r="K120" s="57" t="e">
        <f t="shared" ca="1" si="0"/>
        <v>#NAME?</v>
      </c>
    </row>
    <row r="121" spans="3:11">
      <c r="C121" s="55" t="s">
        <v>710</v>
      </c>
      <c r="D121" s="48">
        <v>368</v>
      </c>
      <c r="E121" s="48">
        <v>289</v>
      </c>
      <c r="F121" s="48">
        <v>18</v>
      </c>
      <c r="G121" s="48">
        <v>307</v>
      </c>
      <c r="H121" s="48" t="s">
        <v>711</v>
      </c>
      <c r="I121" s="48" t="s">
        <v>712</v>
      </c>
      <c r="J121" s="58">
        <v>0.96</v>
      </c>
      <c r="K121" s="57" t="e">
        <f t="shared" ca="1" si="0"/>
        <v>#NAME?</v>
      </c>
    </row>
    <row r="122" spans="3:11">
      <c r="C122" s="55" t="s">
        <v>713</v>
      </c>
      <c r="D122" s="48">
        <v>363</v>
      </c>
      <c r="E122" s="48">
        <v>2214</v>
      </c>
      <c r="F122" s="48">
        <v>230</v>
      </c>
      <c r="G122" s="48">
        <v>2444</v>
      </c>
      <c r="H122" s="48" t="s">
        <v>501</v>
      </c>
      <c r="I122" s="48" t="s">
        <v>637</v>
      </c>
      <c r="J122" s="58">
        <v>1</v>
      </c>
      <c r="K122" s="57" t="e">
        <f t="shared" ca="1" si="0"/>
        <v>#NAME?</v>
      </c>
    </row>
    <row r="123" spans="3:11">
      <c r="C123" s="55" t="s">
        <v>714</v>
      </c>
      <c r="D123" s="48">
        <v>361</v>
      </c>
      <c r="E123" s="48">
        <v>520</v>
      </c>
      <c r="F123" s="48">
        <v>495</v>
      </c>
      <c r="G123" s="48">
        <v>1015</v>
      </c>
      <c r="H123" s="48" t="s">
        <v>715</v>
      </c>
      <c r="I123" s="48" t="s">
        <v>716</v>
      </c>
      <c r="J123" s="58">
        <v>0.98</v>
      </c>
      <c r="K123" s="57" t="e">
        <f t="shared" ca="1" si="0"/>
        <v>#NAME?</v>
      </c>
    </row>
    <row r="124" spans="3:11">
      <c r="C124" s="55" t="s">
        <v>717</v>
      </c>
      <c r="D124" s="48">
        <v>361</v>
      </c>
      <c r="E124" s="48">
        <v>317</v>
      </c>
      <c r="F124" s="48">
        <v>0</v>
      </c>
      <c r="G124" s="48">
        <v>317</v>
      </c>
      <c r="H124" s="48" t="s">
        <v>718</v>
      </c>
      <c r="I124" s="48" t="s">
        <v>719</v>
      </c>
      <c r="J124" s="58">
        <v>0.93</v>
      </c>
      <c r="K124" s="57" t="e">
        <f t="shared" ca="1" si="0"/>
        <v>#NAME?</v>
      </c>
    </row>
    <row r="125" spans="3:11">
      <c r="C125" s="55" t="s">
        <v>720</v>
      </c>
      <c r="D125" s="48">
        <v>355</v>
      </c>
      <c r="E125" s="48">
        <v>275</v>
      </c>
      <c r="F125" s="48">
        <v>0</v>
      </c>
      <c r="G125" s="48">
        <v>275</v>
      </c>
      <c r="H125" s="48" t="s">
        <v>531</v>
      </c>
      <c r="I125" s="48" t="s">
        <v>721</v>
      </c>
      <c r="J125" s="58">
        <v>0.93</v>
      </c>
      <c r="K125" s="57" t="e">
        <f t="shared" ca="1" si="0"/>
        <v>#NAME?</v>
      </c>
    </row>
    <row r="126" spans="3:11">
      <c r="C126" s="55" t="s">
        <v>722</v>
      </c>
      <c r="D126" s="48">
        <v>354</v>
      </c>
      <c r="E126" s="48">
        <v>218</v>
      </c>
      <c r="F126" s="48">
        <v>0</v>
      </c>
      <c r="G126" s="48">
        <v>218</v>
      </c>
      <c r="H126" s="48" t="s">
        <v>682</v>
      </c>
      <c r="I126" s="48" t="s">
        <v>585</v>
      </c>
      <c r="J126" s="58">
        <v>0.97</v>
      </c>
      <c r="K126" s="57" t="e">
        <f t="shared" ca="1" si="0"/>
        <v>#NAME?</v>
      </c>
    </row>
    <row r="127" spans="3:11">
      <c r="C127" s="55" t="s">
        <v>723</v>
      </c>
      <c r="D127" s="48">
        <v>352</v>
      </c>
      <c r="E127" s="48">
        <v>255</v>
      </c>
      <c r="F127" s="48">
        <v>0</v>
      </c>
      <c r="G127" s="48">
        <v>255</v>
      </c>
      <c r="H127" s="48" t="s">
        <v>724</v>
      </c>
      <c r="I127" s="48" t="s">
        <v>725</v>
      </c>
      <c r="J127" s="58">
        <v>0.71</v>
      </c>
      <c r="K127" s="57" t="e">
        <f t="shared" ca="1" si="0"/>
        <v>#NAME?</v>
      </c>
    </row>
    <row r="128" spans="3:11">
      <c r="C128" s="55" t="s">
        <v>726</v>
      </c>
      <c r="D128" s="48">
        <v>352</v>
      </c>
      <c r="E128" s="48">
        <v>136</v>
      </c>
      <c r="F128" s="48">
        <v>68</v>
      </c>
      <c r="G128" s="48">
        <v>204</v>
      </c>
      <c r="H128" s="48" t="s">
        <v>727</v>
      </c>
      <c r="I128" s="48" t="s">
        <v>728</v>
      </c>
      <c r="J128" s="58">
        <v>1</v>
      </c>
      <c r="K128" s="57" t="e">
        <f t="shared" ca="1" si="0"/>
        <v>#NAME?</v>
      </c>
    </row>
    <row r="129" spans="3:11">
      <c r="C129" s="55" t="s">
        <v>729</v>
      </c>
      <c r="D129" s="48">
        <v>350</v>
      </c>
      <c r="E129" s="48">
        <v>974</v>
      </c>
      <c r="F129" s="48">
        <v>179</v>
      </c>
      <c r="G129" s="48">
        <v>1153</v>
      </c>
      <c r="H129" s="48" t="s">
        <v>632</v>
      </c>
      <c r="I129" s="48" t="s">
        <v>730</v>
      </c>
      <c r="J129" s="58">
        <v>1</v>
      </c>
      <c r="K129" s="57" t="e">
        <f t="shared" ca="1" si="0"/>
        <v>#NAME?</v>
      </c>
    </row>
    <row r="130" spans="3:11">
      <c r="C130" s="55" t="s">
        <v>731</v>
      </c>
      <c r="D130" s="48">
        <v>350</v>
      </c>
      <c r="E130" s="48">
        <v>88</v>
      </c>
      <c r="F130" s="48">
        <v>0</v>
      </c>
      <c r="G130" s="48">
        <v>88</v>
      </c>
      <c r="H130" s="48" t="s">
        <v>637</v>
      </c>
      <c r="I130" s="48" t="s">
        <v>455</v>
      </c>
      <c r="J130" s="58">
        <v>0.93</v>
      </c>
      <c r="K130" s="57" t="e">
        <f t="shared" ca="1" si="0"/>
        <v>#NAME?</v>
      </c>
    </row>
    <row r="131" spans="3:11">
      <c r="C131" s="55" t="s">
        <v>732</v>
      </c>
      <c r="D131" s="48">
        <v>346</v>
      </c>
      <c r="E131" s="48">
        <v>130</v>
      </c>
      <c r="F131" s="48">
        <v>304</v>
      </c>
      <c r="G131" s="48">
        <v>434</v>
      </c>
      <c r="H131" s="48" t="s">
        <v>454</v>
      </c>
      <c r="I131" s="48" t="s">
        <v>733</v>
      </c>
      <c r="J131" s="58">
        <v>0.99</v>
      </c>
      <c r="K131" s="57" t="e">
        <f t="shared" ca="1" si="0"/>
        <v>#NAME?</v>
      </c>
    </row>
    <row r="132" spans="3:11">
      <c r="C132" s="55" t="s">
        <v>734</v>
      </c>
      <c r="D132" s="48">
        <v>344</v>
      </c>
      <c r="E132" s="48">
        <v>279</v>
      </c>
      <c r="F132" s="48">
        <v>0</v>
      </c>
      <c r="G132" s="48">
        <v>279</v>
      </c>
      <c r="H132" s="48" t="s">
        <v>735</v>
      </c>
      <c r="I132" s="48" t="s">
        <v>736</v>
      </c>
      <c r="J132" s="58">
        <v>1</v>
      </c>
      <c r="K132" s="57" t="e">
        <f t="shared" ca="1" si="0"/>
        <v>#NAME?</v>
      </c>
    </row>
    <row r="133" spans="3:11">
      <c r="C133" s="55" t="s">
        <v>737</v>
      </c>
      <c r="D133" s="48">
        <v>341</v>
      </c>
      <c r="E133" s="48">
        <v>231</v>
      </c>
      <c r="F133" s="48">
        <v>25</v>
      </c>
      <c r="G133" s="48">
        <v>256</v>
      </c>
      <c r="H133" s="48" t="s">
        <v>738</v>
      </c>
      <c r="I133" s="48" t="s">
        <v>711</v>
      </c>
      <c r="J133" s="58">
        <v>1</v>
      </c>
      <c r="K133" s="57" t="e">
        <f t="shared" ca="1" si="0"/>
        <v>#NAME?</v>
      </c>
    </row>
    <row r="134" spans="3:11">
      <c r="C134" s="55" t="s">
        <v>739</v>
      </c>
      <c r="D134" s="48">
        <v>339</v>
      </c>
      <c r="E134" s="48">
        <v>313</v>
      </c>
      <c r="F134" s="48">
        <v>18</v>
      </c>
      <c r="G134" s="48">
        <v>331</v>
      </c>
      <c r="H134" s="48" t="s">
        <v>740</v>
      </c>
      <c r="I134" s="48" t="s">
        <v>711</v>
      </c>
      <c r="J134" s="58">
        <v>1</v>
      </c>
      <c r="K134" s="57" t="e">
        <f t="shared" ca="1" si="0"/>
        <v>#NAME?</v>
      </c>
    </row>
    <row r="135" spans="3:11">
      <c r="C135" s="55" t="s">
        <v>741</v>
      </c>
      <c r="D135" s="48">
        <v>335</v>
      </c>
      <c r="E135" s="48">
        <v>80</v>
      </c>
      <c r="F135" s="48">
        <v>0</v>
      </c>
      <c r="G135" s="48">
        <v>80</v>
      </c>
      <c r="H135" s="48" t="s">
        <v>663</v>
      </c>
      <c r="I135" s="48" t="s">
        <v>591</v>
      </c>
      <c r="J135" s="58">
        <v>0.93</v>
      </c>
      <c r="K135" s="57" t="e">
        <f t="shared" ca="1" si="0"/>
        <v>#NAME?</v>
      </c>
    </row>
    <row r="136" spans="3:11">
      <c r="C136" s="55" t="s">
        <v>742</v>
      </c>
      <c r="D136" s="48">
        <v>332</v>
      </c>
      <c r="E136" s="48">
        <v>193</v>
      </c>
      <c r="F136" s="48">
        <v>0</v>
      </c>
      <c r="G136" s="48">
        <v>193</v>
      </c>
      <c r="H136" s="48" t="s">
        <v>623</v>
      </c>
      <c r="I136" s="48" t="s">
        <v>469</v>
      </c>
      <c r="J136" s="58">
        <v>0.88</v>
      </c>
      <c r="K136" s="57" t="e">
        <f t="shared" ca="1" si="0"/>
        <v>#NAME?</v>
      </c>
    </row>
    <row r="137" spans="3:11">
      <c r="C137" s="55" t="s">
        <v>743</v>
      </c>
      <c r="D137" s="48">
        <v>328</v>
      </c>
      <c r="E137" s="48">
        <v>258</v>
      </c>
      <c r="F137" s="48">
        <v>36</v>
      </c>
      <c r="G137" s="48">
        <v>294</v>
      </c>
      <c r="H137" s="48" t="s">
        <v>493</v>
      </c>
      <c r="I137" s="48" t="s">
        <v>531</v>
      </c>
      <c r="J137" s="58">
        <v>1</v>
      </c>
      <c r="K137" s="57" t="e">
        <f t="shared" ca="1" si="0"/>
        <v>#NAME?</v>
      </c>
    </row>
    <row r="138" spans="3:11">
      <c r="C138" s="55" t="s">
        <v>744</v>
      </c>
      <c r="D138" s="48">
        <v>326</v>
      </c>
      <c r="E138" s="48">
        <v>446</v>
      </c>
      <c r="F138" s="48">
        <v>62</v>
      </c>
      <c r="G138" s="48">
        <v>508</v>
      </c>
      <c r="H138" s="48" t="s">
        <v>745</v>
      </c>
      <c r="I138" s="48" t="s">
        <v>602</v>
      </c>
      <c r="J138" s="58">
        <v>0.52</v>
      </c>
      <c r="K138" s="57" t="e">
        <f t="shared" ca="1" si="0"/>
        <v>#NAME?</v>
      </c>
    </row>
    <row r="139" spans="3:11">
      <c r="C139" s="55" t="s">
        <v>746</v>
      </c>
      <c r="D139" s="48">
        <v>317</v>
      </c>
      <c r="E139" s="48">
        <v>159</v>
      </c>
      <c r="F139" s="48">
        <v>2</v>
      </c>
      <c r="G139" s="48">
        <v>161</v>
      </c>
      <c r="H139" s="48" t="s">
        <v>747</v>
      </c>
      <c r="I139" s="48" t="s">
        <v>463</v>
      </c>
      <c r="J139" s="58">
        <v>0.98</v>
      </c>
      <c r="K139" s="57" t="e">
        <f t="shared" ca="1" si="0"/>
        <v>#NAME?</v>
      </c>
    </row>
    <row r="140" spans="3:11">
      <c r="C140" s="55" t="s">
        <v>748</v>
      </c>
      <c r="D140" s="48">
        <v>316</v>
      </c>
      <c r="E140" s="48">
        <v>129</v>
      </c>
      <c r="F140" s="48">
        <v>19</v>
      </c>
      <c r="G140" s="48">
        <v>148</v>
      </c>
      <c r="H140" s="48" t="s">
        <v>749</v>
      </c>
      <c r="I140" s="48" t="s">
        <v>482</v>
      </c>
      <c r="J140" s="58">
        <v>0.99</v>
      </c>
      <c r="K140" s="57" t="e">
        <f t="shared" ca="1" si="0"/>
        <v>#NAME?</v>
      </c>
    </row>
    <row r="141" spans="3:11">
      <c r="C141" s="55" t="s">
        <v>750</v>
      </c>
      <c r="D141" s="48">
        <v>313</v>
      </c>
      <c r="E141" s="48">
        <v>75</v>
      </c>
      <c r="F141" s="48">
        <v>351</v>
      </c>
      <c r="G141" s="48">
        <v>426</v>
      </c>
      <c r="H141" s="48" t="s">
        <v>751</v>
      </c>
      <c r="I141" s="48" t="s">
        <v>752</v>
      </c>
      <c r="J141" s="58">
        <v>1</v>
      </c>
      <c r="K141" s="57" t="e">
        <f t="shared" ca="1" si="0"/>
        <v>#NAME?</v>
      </c>
    </row>
    <row r="142" spans="3:11">
      <c r="C142" s="55" t="s">
        <v>753</v>
      </c>
      <c r="D142" s="48">
        <v>308</v>
      </c>
      <c r="E142" s="48">
        <v>232</v>
      </c>
      <c r="F142" s="48">
        <v>0</v>
      </c>
      <c r="G142" s="48">
        <v>232</v>
      </c>
      <c r="H142" s="48" t="s">
        <v>708</v>
      </c>
      <c r="I142" s="48" t="s">
        <v>567</v>
      </c>
      <c r="J142" s="58">
        <v>0.99</v>
      </c>
      <c r="K142" s="57" t="e">
        <f t="shared" ca="1" si="0"/>
        <v>#NAME?</v>
      </c>
    </row>
    <row r="143" spans="3:11">
      <c r="C143" s="55" t="s">
        <v>754</v>
      </c>
      <c r="D143" s="48">
        <v>300</v>
      </c>
      <c r="E143" s="48">
        <v>349</v>
      </c>
      <c r="F143" s="48">
        <v>0</v>
      </c>
      <c r="G143" s="48">
        <v>349</v>
      </c>
      <c r="H143" s="48" t="s">
        <v>755</v>
      </c>
      <c r="I143" s="48" t="s">
        <v>639</v>
      </c>
      <c r="J143" s="58">
        <v>0.97</v>
      </c>
      <c r="K143" s="57" t="e">
        <f t="shared" ca="1" si="0"/>
        <v>#NAME?</v>
      </c>
    </row>
    <row r="144" spans="3:11">
      <c r="C144" s="55" t="s">
        <v>756</v>
      </c>
      <c r="D144" s="48">
        <v>299</v>
      </c>
      <c r="E144" s="48">
        <v>280</v>
      </c>
      <c r="F144" s="48">
        <v>0</v>
      </c>
      <c r="G144" s="48">
        <v>280</v>
      </c>
      <c r="H144" s="48" t="s">
        <v>757</v>
      </c>
      <c r="I144" s="48" t="s">
        <v>458</v>
      </c>
      <c r="J144" s="58">
        <v>0.51</v>
      </c>
      <c r="K144" s="57" t="e">
        <f t="shared" ca="1" si="0"/>
        <v>#NAME?</v>
      </c>
    </row>
    <row r="145" spans="3:11">
      <c r="C145" s="55" t="s">
        <v>758</v>
      </c>
      <c r="D145" s="48">
        <v>296</v>
      </c>
      <c r="E145" s="48">
        <v>464</v>
      </c>
      <c r="F145" s="48">
        <v>0</v>
      </c>
      <c r="G145" s="48">
        <v>464</v>
      </c>
      <c r="H145" s="48" t="s">
        <v>527</v>
      </c>
      <c r="I145" s="48" t="s">
        <v>759</v>
      </c>
      <c r="J145" s="58">
        <v>1</v>
      </c>
      <c r="K145" s="57" t="e">
        <f t="shared" ca="1" si="0"/>
        <v>#NAME?</v>
      </c>
    </row>
    <row r="146" spans="3:11">
      <c r="C146" s="55" t="s">
        <v>760</v>
      </c>
      <c r="D146" s="48">
        <v>294</v>
      </c>
      <c r="E146" s="48">
        <v>717</v>
      </c>
      <c r="F146" s="48">
        <v>5</v>
      </c>
      <c r="G146" s="48">
        <v>722</v>
      </c>
      <c r="H146" s="48" t="s">
        <v>761</v>
      </c>
      <c r="I146" s="48" t="s">
        <v>464</v>
      </c>
      <c r="J146" s="58">
        <v>0.91</v>
      </c>
      <c r="K146" s="57" t="e">
        <f t="shared" ca="1" si="0"/>
        <v>#NAME?</v>
      </c>
    </row>
    <row r="147" spans="3:11">
      <c r="C147" s="55" t="s">
        <v>762</v>
      </c>
      <c r="D147" s="48">
        <v>294</v>
      </c>
      <c r="E147" s="48">
        <v>226</v>
      </c>
      <c r="F147" s="48">
        <v>0</v>
      </c>
      <c r="G147" s="48">
        <v>226</v>
      </c>
      <c r="H147" s="48" t="s">
        <v>763</v>
      </c>
      <c r="I147" s="48" t="s">
        <v>632</v>
      </c>
      <c r="J147" s="58">
        <v>0.94</v>
      </c>
      <c r="K147" s="57" t="e">
        <f t="shared" ca="1" si="0"/>
        <v>#NAME?</v>
      </c>
    </row>
    <row r="148" spans="3:11">
      <c r="C148" s="55" t="s">
        <v>764</v>
      </c>
      <c r="D148" s="48">
        <v>288</v>
      </c>
      <c r="E148" s="48">
        <v>102</v>
      </c>
      <c r="F148" s="48">
        <v>147</v>
      </c>
      <c r="G148" s="48">
        <v>249</v>
      </c>
      <c r="H148" s="48" t="s">
        <v>765</v>
      </c>
      <c r="I148" s="48" t="s">
        <v>766</v>
      </c>
      <c r="J148" s="58">
        <v>0.97</v>
      </c>
      <c r="K148" s="57" t="e">
        <f t="shared" ca="1" si="0"/>
        <v>#NAME?</v>
      </c>
    </row>
    <row r="149" spans="3:11">
      <c r="C149" s="55" t="s">
        <v>767</v>
      </c>
      <c r="D149" s="48">
        <v>288</v>
      </c>
      <c r="E149" s="48">
        <v>208</v>
      </c>
      <c r="F149" s="48">
        <v>0</v>
      </c>
      <c r="G149" s="48">
        <v>208</v>
      </c>
      <c r="H149" s="48" t="s">
        <v>616</v>
      </c>
      <c r="I149" s="48" t="s">
        <v>721</v>
      </c>
      <c r="J149" s="58">
        <v>0.73</v>
      </c>
      <c r="K149" s="57" t="e">
        <f t="shared" ca="1" si="0"/>
        <v>#NAME?</v>
      </c>
    </row>
    <row r="150" spans="3:11">
      <c r="C150" s="55" t="s">
        <v>768</v>
      </c>
      <c r="D150" s="48">
        <v>287</v>
      </c>
      <c r="E150" s="48">
        <v>383</v>
      </c>
      <c r="F150" s="48">
        <v>0</v>
      </c>
      <c r="G150" s="48">
        <v>383</v>
      </c>
      <c r="H150" s="48" t="s">
        <v>769</v>
      </c>
      <c r="I150" s="48" t="s">
        <v>537</v>
      </c>
      <c r="J150" s="58">
        <v>1</v>
      </c>
      <c r="K150" s="57" t="e">
        <f t="shared" ca="1" si="0"/>
        <v>#NAME?</v>
      </c>
    </row>
    <row r="151" spans="3:11">
      <c r="C151" s="55" t="s">
        <v>770</v>
      </c>
      <c r="D151" s="48">
        <v>285</v>
      </c>
      <c r="E151" s="48">
        <v>340</v>
      </c>
      <c r="F151" s="48">
        <v>21</v>
      </c>
      <c r="G151" s="48">
        <v>361</v>
      </c>
      <c r="H151" s="48" t="s">
        <v>478</v>
      </c>
      <c r="I151" s="48" t="s">
        <v>476</v>
      </c>
      <c r="J151" s="58">
        <v>1</v>
      </c>
      <c r="K151" s="57" t="e">
        <f t="shared" ca="1" si="0"/>
        <v>#NAME?</v>
      </c>
    </row>
    <row r="152" spans="3:11">
      <c r="C152" s="55" t="s">
        <v>771</v>
      </c>
      <c r="D152" s="48">
        <v>274</v>
      </c>
      <c r="E152" s="48">
        <v>453</v>
      </c>
      <c r="F152" s="48">
        <v>0</v>
      </c>
      <c r="G152" s="48">
        <v>453</v>
      </c>
      <c r="H152" s="48" t="s">
        <v>597</v>
      </c>
      <c r="I152" s="48" t="s">
        <v>761</v>
      </c>
      <c r="J152" s="58">
        <v>0.89</v>
      </c>
      <c r="K152" s="57" t="e">
        <f t="shared" ca="1" si="0"/>
        <v>#NAME?</v>
      </c>
    </row>
    <row r="153" spans="3:11">
      <c r="C153" s="55" t="s">
        <v>772</v>
      </c>
      <c r="D153" s="48">
        <v>274</v>
      </c>
      <c r="E153" s="48">
        <v>215</v>
      </c>
      <c r="F153" s="48">
        <v>13</v>
      </c>
      <c r="G153" s="48">
        <v>228</v>
      </c>
      <c r="H153" s="48" t="s">
        <v>457</v>
      </c>
      <c r="I153" s="48" t="s">
        <v>567</v>
      </c>
      <c r="J153" s="58">
        <v>1</v>
      </c>
      <c r="K153" s="57" t="e">
        <f t="shared" ca="1" si="0"/>
        <v>#NAME?</v>
      </c>
    </row>
    <row r="154" spans="3:11">
      <c r="C154" s="55" t="s">
        <v>773</v>
      </c>
      <c r="D154" s="48">
        <v>274</v>
      </c>
      <c r="E154" s="48">
        <v>79</v>
      </c>
      <c r="F154" s="48">
        <v>0</v>
      </c>
      <c r="G154" s="48">
        <v>79</v>
      </c>
      <c r="H154" s="48" t="s">
        <v>774</v>
      </c>
      <c r="I154" s="48" t="s">
        <v>775</v>
      </c>
      <c r="J154" s="58">
        <v>0.95</v>
      </c>
      <c r="K154" s="57" t="e">
        <f t="shared" ca="1" si="0"/>
        <v>#NAME?</v>
      </c>
    </row>
    <row r="155" spans="3:11">
      <c r="C155" s="55" t="s">
        <v>776</v>
      </c>
      <c r="D155" s="48">
        <v>273</v>
      </c>
      <c r="E155" s="48">
        <v>89</v>
      </c>
      <c r="F155" s="48">
        <v>33</v>
      </c>
      <c r="G155" s="48">
        <v>122</v>
      </c>
      <c r="H155" s="48" t="s">
        <v>495</v>
      </c>
      <c r="I155" s="48" t="s">
        <v>461</v>
      </c>
      <c r="J155" s="58">
        <v>0.93</v>
      </c>
      <c r="K155" s="57" t="e">
        <f t="shared" ca="1" si="0"/>
        <v>#NAME?</v>
      </c>
    </row>
    <row r="156" spans="3:11">
      <c r="C156" s="55" t="s">
        <v>777</v>
      </c>
      <c r="D156" s="48">
        <v>272</v>
      </c>
      <c r="E156" s="48">
        <v>6</v>
      </c>
      <c r="F156" s="48">
        <v>510</v>
      </c>
      <c r="G156" s="48">
        <v>516</v>
      </c>
      <c r="H156" s="48" t="s">
        <v>489</v>
      </c>
      <c r="I156" s="48" t="s">
        <v>683</v>
      </c>
      <c r="J156" s="58">
        <v>0.76</v>
      </c>
      <c r="K156" s="57" t="e">
        <f t="shared" ca="1" si="0"/>
        <v>#NAME?</v>
      </c>
    </row>
    <row r="157" spans="3:11">
      <c r="C157" s="55" t="s">
        <v>778</v>
      </c>
      <c r="D157" s="48">
        <v>271</v>
      </c>
      <c r="E157" s="48">
        <v>180</v>
      </c>
      <c r="F157" s="48">
        <v>9</v>
      </c>
      <c r="G157" s="48">
        <v>189</v>
      </c>
      <c r="H157" s="48" t="s">
        <v>779</v>
      </c>
      <c r="I157" s="48" t="s">
        <v>484</v>
      </c>
      <c r="J157" s="58">
        <v>1</v>
      </c>
      <c r="K157" s="57" t="e">
        <f t="shared" ca="1" si="0"/>
        <v>#NAME?</v>
      </c>
    </row>
    <row r="158" spans="3:11">
      <c r="C158" s="55" t="s">
        <v>780</v>
      </c>
      <c r="D158" s="48">
        <v>267</v>
      </c>
      <c r="E158" s="48">
        <v>323</v>
      </c>
      <c r="F158" s="48">
        <v>0</v>
      </c>
      <c r="G158" s="48">
        <v>323</v>
      </c>
      <c r="H158" s="48" t="s">
        <v>507</v>
      </c>
      <c r="I158" s="48" t="s">
        <v>493</v>
      </c>
      <c r="J158" s="58">
        <v>1</v>
      </c>
      <c r="K158" s="57" t="e">
        <f t="shared" ca="1" si="0"/>
        <v>#NAME?</v>
      </c>
    </row>
    <row r="159" spans="3:11">
      <c r="C159" s="55" t="s">
        <v>781</v>
      </c>
      <c r="D159" s="48">
        <v>266</v>
      </c>
      <c r="E159" s="48">
        <v>386</v>
      </c>
      <c r="F159" s="48">
        <v>10</v>
      </c>
      <c r="G159" s="48">
        <v>396</v>
      </c>
      <c r="H159" s="48" t="s">
        <v>595</v>
      </c>
      <c r="I159" s="48" t="s">
        <v>728</v>
      </c>
      <c r="J159" s="58">
        <v>0.9</v>
      </c>
      <c r="K159" s="57" t="e">
        <f t="shared" ca="1" si="0"/>
        <v>#NAME?</v>
      </c>
    </row>
    <row r="160" spans="3:11">
      <c r="C160" s="55" t="s">
        <v>782</v>
      </c>
      <c r="D160" s="48">
        <v>266</v>
      </c>
      <c r="E160" s="48">
        <v>214</v>
      </c>
      <c r="F160" s="48">
        <v>1</v>
      </c>
      <c r="G160" s="48">
        <v>215</v>
      </c>
      <c r="H160" s="48" t="s">
        <v>592</v>
      </c>
      <c r="I160" s="48" t="s">
        <v>504</v>
      </c>
      <c r="J160" s="58">
        <v>0.98</v>
      </c>
      <c r="K160" s="57" t="e">
        <f t="shared" ca="1" si="0"/>
        <v>#NAME?</v>
      </c>
    </row>
    <row r="161" spans="3:11">
      <c r="C161" s="55" t="s">
        <v>783</v>
      </c>
      <c r="D161" s="48">
        <v>265</v>
      </c>
      <c r="E161" s="48">
        <v>1670</v>
      </c>
      <c r="F161" s="48">
        <v>13</v>
      </c>
      <c r="G161" s="48">
        <v>1683</v>
      </c>
      <c r="H161" s="48" t="s">
        <v>784</v>
      </c>
      <c r="I161" s="48" t="s">
        <v>785</v>
      </c>
      <c r="J161" s="58">
        <v>1</v>
      </c>
      <c r="K161" s="57" t="e">
        <f t="shared" ca="1" si="0"/>
        <v>#NAME?</v>
      </c>
    </row>
    <row r="162" spans="3:11">
      <c r="C162" s="55" t="s">
        <v>786</v>
      </c>
      <c r="D162" s="48">
        <v>264</v>
      </c>
      <c r="E162" s="48">
        <v>337</v>
      </c>
      <c r="F162" s="48">
        <v>0</v>
      </c>
      <c r="G162" s="48">
        <v>337</v>
      </c>
      <c r="H162" s="48" t="s">
        <v>584</v>
      </c>
      <c r="I162" s="48" t="s">
        <v>467</v>
      </c>
      <c r="J162" s="58">
        <v>0.9</v>
      </c>
      <c r="K162" s="57" t="e">
        <f t="shared" ca="1" si="0"/>
        <v>#NAME?</v>
      </c>
    </row>
    <row r="163" spans="3:11">
      <c r="C163" s="55" t="s">
        <v>787</v>
      </c>
      <c r="D163" s="48">
        <v>259</v>
      </c>
      <c r="E163" s="48">
        <v>175</v>
      </c>
      <c r="F163" s="48">
        <v>0</v>
      </c>
      <c r="G163" s="48">
        <v>175</v>
      </c>
      <c r="H163" s="48" t="s">
        <v>788</v>
      </c>
      <c r="I163" s="48" t="s">
        <v>789</v>
      </c>
      <c r="J163" s="58">
        <v>0.95</v>
      </c>
      <c r="K163" s="57" t="e">
        <f t="shared" ca="1" si="0"/>
        <v>#NAME?</v>
      </c>
    </row>
    <row r="164" spans="3:11">
      <c r="C164" s="55" t="s">
        <v>790</v>
      </c>
      <c r="D164" s="48">
        <v>257</v>
      </c>
      <c r="E164" s="48">
        <v>229</v>
      </c>
      <c r="F164" s="48">
        <v>19</v>
      </c>
      <c r="G164" s="48">
        <v>248</v>
      </c>
      <c r="H164" s="48" t="s">
        <v>791</v>
      </c>
      <c r="I164" s="48" t="s">
        <v>658</v>
      </c>
      <c r="J164" s="58">
        <v>1</v>
      </c>
      <c r="K164" s="57" t="e">
        <f t="shared" ca="1" si="0"/>
        <v>#NAME?</v>
      </c>
    </row>
    <row r="165" spans="3:11">
      <c r="C165" s="55" t="s">
        <v>792</v>
      </c>
      <c r="D165" s="48">
        <v>256</v>
      </c>
      <c r="E165" s="48">
        <v>101</v>
      </c>
      <c r="F165" s="48">
        <v>0</v>
      </c>
      <c r="G165" s="48">
        <v>101</v>
      </c>
      <c r="H165" s="48" t="s">
        <v>503</v>
      </c>
      <c r="I165" s="48" t="s">
        <v>504</v>
      </c>
      <c r="J165" s="58">
        <v>0.67</v>
      </c>
      <c r="K165" s="57" t="e">
        <f t="shared" ca="1" si="0"/>
        <v>#NAME?</v>
      </c>
    </row>
    <row r="166" spans="3:11">
      <c r="C166" s="55" t="s">
        <v>793</v>
      </c>
      <c r="D166" s="48">
        <v>256</v>
      </c>
      <c r="E166" s="48">
        <v>318</v>
      </c>
      <c r="F166" s="48">
        <v>1</v>
      </c>
      <c r="G166" s="48">
        <v>319</v>
      </c>
      <c r="H166" s="48" t="s">
        <v>500</v>
      </c>
      <c r="I166" s="48" t="s">
        <v>794</v>
      </c>
      <c r="J166" s="58">
        <v>1</v>
      </c>
      <c r="K166" s="57" t="e">
        <f t="shared" ca="1" si="0"/>
        <v>#NAME?</v>
      </c>
    </row>
    <row r="167" spans="3:11">
      <c r="C167" s="55" t="s">
        <v>795</v>
      </c>
      <c r="D167" s="48">
        <v>252</v>
      </c>
      <c r="E167" s="48">
        <v>423</v>
      </c>
      <c r="F167" s="48">
        <v>0</v>
      </c>
      <c r="G167" s="48">
        <v>423</v>
      </c>
      <c r="H167" s="48" t="s">
        <v>796</v>
      </c>
      <c r="I167" s="48" t="s">
        <v>473</v>
      </c>
      <c r="J167" s="58">
        <v>1</v>
      </c>
      <c r="K167" s="57" t="e">
        <f t="shared" ca="1" si="0"/>
        <v>#NAME?</v>
      </c>
    </row>
    <row r="168" spans="3:11">
      <c r="C168" s="55" t="s">
        <v>797</v>
      </c>
      <c r="D168" s="48" t="s">
        <v>798</v>
      </c>
      <c r="E168" s="48">
        <v>334</v>
      </c>
      <c r="F168" s="48">
        <v>0</v>
      </c>
      <c r="G168" s="48">
        <v>334</v>
      </c>
      <c r="H168" s="48" t="s">
        <v>799</v>
      </c>
      <c r="I168" s="48" t="s">
        <v>533</v>
      </c>
      <c r="J168" s="58">
        <v>0.97</v>
      </c>
      <c r="K168" s="57" t="e">
        <f t="shared" ca="1" si="0"/>
        <v>#NAME?</v>
      </c>
    </row>
    <row r="169" spans="3:11">
      <c r="C169" s="55" t="s">
        <v>800</v>
      </c>
      <c r="D169" s="48">
        <v>244</v>
      </c>
      <c r="E169" s="48">
        <v>237</v>
      </c>
      <c r="F169" s="48">
        <v>0</v>
      </c>
      <c r="G169" s="48">
        <v>237</v>
      </c>
      <c r="H169" s="48" t="s">
        <v>801</v>
      </c>
      <c r="I169" s="48" t="s">
        <v>802</v>
      </c>
      <c r="J169" s="58">
        <v>1</v>
      </c>
      <c r="K169" s="57" t="e">
        <f t="shared" ca="1" si="0"/>
        <v>#NAME?</v>
      </c>
    </row>
    <row r="170" spans="3:11">
      <c r="C170" s="55" t="s">
        <v>803</v>
      </c>
      <c r="D170" s="48">
        <v>240</v>
      </c>
      <c r="E170" s="48">
        <v>554</v>
      </c>
      <c r="F170" s="48">
        <v>0</v>
      </c>
      <c r="G170" s="48">
        <v>554</v>
      </c>
      <c r="H170" s="48" t="s">
        <v>457</v>
      </c>
      <c r="I170" s="48" t="s">
        <v>738</v>
      </c>
      <c r="J170" s="58">
        <v>0.89</v>
      </c>
      <c r="K170" s="57" t="e">
        <f t="shared" ca="1" si="0"/>
        <v>#NAME?</v>
      </c>
    </row>
    <row r="171" spans="3:11">
      <c r="C171" s="55" t="s">
        <v>804</v>
      </c>
      <c r="D171" s="48">
        <v>239</v>
      </c>
      <c r="E171" s="48">
        <v>138</v>
      </c>
      <c r="F171" s="48">
        <v>12</v>
      </c>
      <c r="G171" s="48">
        <v>150</v>
      </c>
      <c r="H171" s="48" t="s">
        <v>607</v>
      </c>
      <c r="I171" s="48" t="s">
        <v>805</v>
      </c>
      <c r="J171" s="58">
        <v>1</v>
      </c>
      <c r="K171" s="57" t="e">
        <f t="shared" ca="1" si="0"/>
        <v>#NAME?</v>
      </c>
    </row>
    <row r="172" spans="3:11">
      <c r="C172" s="55" t="s">
        <v>806</v>
      </c>
      <c r="D172" s="48">
        <v>238</v>
      </c>
      <c r="E172" s="48">
        <v>249</v>
      </c>
      <c r="F172" s="48">
        <v>2</v>
      </c>
      <c r="G172" s="48">
        <v>251</v>
      </c>
      <c r="H172" s="48" t="s">
        <v>663</v>
      </c>
      <c r="I172" s="48" t="s">
        <v>807</v>
      </c>
      <c r="J172" s="58">
        <v>1</v>
      </c>
      <c r="K172" s="57" t="e">
        <f t="shared" ca="1" si="0"/>
        <v>#NAME?</v>
      </c>
    </row>
    <row r="173" spans="3:11">
      <c r="C173" s="55" t="s">
        <v>808</v>
      </c>
      <c r="D173" s="48">
        <v>237</v>
      </c>
      <c r="E173" s="48">
        <v>186</v>
      </c>
      <c r="F173" s="48">
        <v>47</v>
      </c>
      <c r="G173" s="48">
        <v>233</v>
      </c>
      <c r="H173" s="48" t="s">
        <v>809</v>
      </c>
      <c r="I173" s="48" t="s">
        <v>810</v>
      </c>
      <c r="J173" s="58">
        <v>1</v>
      </c>
      <c r="K173" s="57" t="e">
        <f t="shared" ca="1" si="0"/>
        <v>#NAME?</v>
      </c>
    </row>
    <row r="174" spans="3:11">
      <c r="C174" s="55" t="s">
        <v>811</v>
      </c>
      <c r="D174" s="48">
        <v>235</v>
      </c>
      <c r="E174" s="48">
        <v>79</v>
      </c>
      <c r="F174" s="48">
        <v>0</v>
      </c>
      <c r="G174" s="48">
        <v>79</v>
      </c>
      <c r="H174" s="48" t="s">
        <v>490</v>
      </c>
      <c r="I174" s="48" t="s">
        <v>812</v>
      </c>
      <c r="J174" s="58">
        <v>1</v>
      </c>
      <c r="K174" s="57" t="e">
        <f t="shared" ca="1" si="0"/>
        <v>#NAME?</v>
      </c>
    </row>
    <row r="175" spans="3:11">
      <c r="C175" s="55" t="s">
        <v>813</v>
      </c>
      <c r="D175" s="48">
        <v>233</v>
      </c>
      <c r="E175" s="48">
        <v>1169</v>
      </c>
      <c r="F175" s="48">
        <v>0</v>
      </c>
      <c r="G175" s="48">
        <v>1169</v>
      </c>
      <c r="H175" s="48" t="s">
        <v>814</v>
      </c>
      <c r="I175" s="48" t="s">
        <v>815</v>
      </c>
      <c r="J175" s="58">
        <v>0.99</v>
      </c>
      <c r="K175" s="57" t="e">
        <f t="shared" ca="1" si="0"/>
        <v>#NAME?</v>
      </c>
    </row>
    <row r="176" spans="3:11">
      <c r="C176" s="55" t="s">
        <v>816</v>
      </c>
      <c r="D176" s="48">
        <v>232</v>
      </c>
      <c r="E176" s="48">
        <v>203</v>
      </c>
      <c r="F176" s="48">
        <v>0</v>
      </c>
      <c r="G176" s="48">
        <v>203</v>
      </c>
      <c r="H176" s="48" t="s">
        <v>817</v>
      </c>
      <c r="I176" s="48" t="s">
        <v>818</v>
      </c>
      <c r="J176" s="58">
        <v>1</v>
      </c>
      <c r="K176" s="57" t="e">
        <f t="shared" ca="1" si="0"/>
        <v>#NAME?</v>
      </c>
    </row>
    <row r="177" spans="3:11">
      <c r="C177" s="55" t="s">
        <v>819</v>
      </c>
      <c r="D177" s="48">
        <v>229</v>
      </c>
      <c r="E177" s="48">
        <v>123</v>
      </c>
      <c r="F177" s="48">
        <v>4</v>
      </c>
      <c r="G177" s="48">
        <v>127</v>
      </c>
      <c r="H177" s="48" t="s">
        <v>527</v>
      </c>
      <c r="I177" s="48" t="s">
        <v>820</v>
      </c>
      <c r="J177" s="58">
        <v>0.87</v>
      </c>
      <c r="K177" s="57" t="e">
        <f t="shared" ca="1" si="0"/>
        <v>#NAME?</v>
      </c>
    </row>
    <row r="178" spans="3:11">
      <c r="C178" s="55" t="s">
        <v>821</v>
      </c>
      <c r="D178" s="48">
        <v>228</v>
      </c>
      <c r="E178" s="48">
        <v>1284</v>
      </c>
      <c r="F178" s="48">
        <v>500</v>
      </c>
      <c r="G178" s="48">
        <v>1784</v>
      </c>
      <c r="H178" s="48" t="s">
        <v>822</v>
      </c>
      <c r="I178" s="48" t="s">
        <v>752</v>
      </c>
      <c r="J178" s="58">
        <v>1</v>
      </c>
      <c r="K178" s="57" t="e">
        <f t="shared" ca="1" si="0"/>
        <v>#NAME?</v>
      </c>
    </row>
    <row r="179" spans="3:11">
      <c r="C179" s="55" t="s">
        <v>823</v>
      </c>
      <c r="D179" s="48" t="s">
        <v>824</v>
      </c>
      <c r="E179" s="48">
        <v>395</v>
      </c>
      <c r="F179" s="48">
        <v>9</v>
      </c>
      <c r="G179" s="48">
        <v>404</v>
      </c>
      <c r="H179" s="48" t="s">
        <v>825</v>
      </c>
      <c r="I179" s="48" t="s">
        <v>473</v>
      </c>
      <c r="J179" s="58">
        <v>1</v>
      </c>
      <c r="K179" s="57" t="e">
        <f t="shared" ca="1" si="0"/>
        <v>#NAME?</v>
      </c>
    </row>
    <row r="180" spans="3:11">
      <c r="C180" s="55" t="s">
        <v>826</v>
      </c>
      <c r="D180" s="48">
        <v>225</v>
      </c>
      <c r="E180" s="48">
        <v>243</v>
      </c>
      <c r="F180" s="48">
        <v>0</v>
      </c>
      <c r="G180" s="48">
        <v>243</v>
      </c>
      <c r="H180" s="48" t="s">
        <v>827</v>
      </c>
      <c r="I180" s="48" t="s">
        <v>828</v>
      </c>
      <c r="J180" s="58">
        <v>0.89</v>
      </c>
      <c r="K180" s="57" t="e">
        <f t="shared" ca="1" si="0"/>
        <v>#NAME?</v>
      </c>
    </row>
    <row r="181" spans="3:11">
      <c r="C181" s="55" t="s">
        <v>829</v>
      </c>
      <c r="D181" s="48">
        <v>222</v>
      </c>
      <c r="E181" s="48">
        <v>134</v>
      </c>
      <c r="F181" s="48">
        <v>0</v>
      </c>
      <c r="G181" s="48">
        <v>134</v>
      </c>
      <c r="H181" s="48" t="s">
        <v>830</v>
      </c>
      <c r="I181" s="48" t="s">
        <v>584</v>
      </c>
      <c r="J181" s="58">
        <v>0.76</v>
      </c>
      <c r="K181" s="57" t="e">
        <f t="shared" ca="1" si="0"/>
        <v>#NAME?</v>
      </c>
    </row>
    <row r="182" spans="3:11">
      <c r="C182" s="55" t="s">
        <v>831</v>
      </c>
      <c r="D182" s="48">
        <v>221</v>
      </c>
      <c r="E182" s="48">
        <v>227</v>
      </c>
      <c r="F182" s="48">
        <v>2</v>
      </c>
      <c r="G182" s="48">
        <v>229</v>
      </c>
      <c r="H182" s="48" t="s">
        <v>832</v>
      </c>
      <c r="I182" s="48" t="s">
        <v>833</v>
      </c>
      <c r="J182" s="58">
        <v>0.97</v>
      </c>
      <c r="K182" s="57" t="e">
        <f t="shared" ca="1" si="0"/>
        <v>#NAME?</v>
      </c>
    </row>
    <row r="183" spans="3:11">
      <c r="C183" s="55" t="s">
        <v>834</v>
      </c>
      <c r="D183" s="48">
        <v>220</v>
      </c>
      <c r="E183" s="48">
        <v>640</v>
      </c>
      <c r="F183" s="48">
        <v>0</v>
      </c>
      <c r="G183" s="48">
        <v>640</v>
      </c>
      <c r="H183" s="48" t="s">
        <v>541</v>
      </c>
      <c r="I183" s="48" t="s">
        <v>489</v>
      </c>
      <c r="J183" s="58">
        <v>1</v>
      </c>
      <c r="K183" s="57" t="e">
        <f t="shared" ca="1" si="0"/>
        <v>#NAME?</v>
      </c>
    </row>
    <row r="184" spans="3:11">
      <c r="C184" s="55" t="s">
        <v>835</v>
      </c>
      <c r="D184" s="48">
        <v>219</v>
      </c>
      <c r="E184" s="48">
        <v>272</v>
      </c>
      <c r="F184" s="48">
        <v>0</v>
      </c>
      <c r="G184" s="48">
        <v>272</v>
      </c>
      <c r="H184" s="48" t="s">
        <v>836</v>
      </c>
      <c r="I184" s="48" t="s">
        <v>504</v>
      </c>
      <c r="J184" s="58">
        <v>0.79</v>
      </c>
      <c r="K184" s="57" t="e">
        <f t="shared" ca="1" si="0"/>
        <v>#NAME?</v>
      </c>
    </row>
    <row r="185" spans="3:11">
      <c r="C185" s="55" t="s">
        <v>837</v>
      </c>
      <c r="D185" s="48">
        <v>218</v>
      </c>
      <c r="E185" s="48">
        <v>92</v>
      </c>
      <c r="F185" s="48">
        <v>1</v>
      </c>
      <c r="G185" s="48">
        <v>93</v>
      </c>
      <c r="H185" s="48" t="s">
        <v>812</v>
      </c>
      <c r="I185" s="48" t="s">
        <v>820</v>
      </c>
      <c r="J185" s="58">
        <v>0.96</v>
      </c>
      <c r="K185" s="57" t="e">
        <f t="shared" ca="1" si="0"/>
        <v>#NAME?</v>
      </c>
    </row>
    <row r="186" spans="3:11">
      <c r="C186" s="55" t="s">
        <v>838</v>
      </c>
      <c r="D186" s="48">
        <v>217</v>
      </c>
      <c r="E186" s="48">
        <v>95</v>
      </c>
      <c r="F186" s="48">
        <v>0</v>
      </c>
      <c r="G186" s="48">
        <v>95</v>
      </c>
      <c r="H186" s="48" t="s">
        <v>839</v>
      </c>
      <c r="I186" s="48" t="s">
        <v>840</v>
      </c>
      <c r="J186" s="58">
        <v>0.69</v>
      </c>
      <c r="K186" s="57" t="e">
        <f t="shared" ca="1" si="0"/>
        <v>#NAME?</v>
      </c>
    </row>
    <row r="187" spans="3:11">
      <c r="C187" s="55" t="s">
        <v>841</v>
      </c>
      <c r="D187" s="48" t="s">
        <v>842</v>
      </c>
      <c r="E187" s="48">
        <v>638</v>
      </c>
      <c r="F187" s="48">
        <v>0</v>
      </c>
      <c r="G187" s="48">
        <v>638</v>
      </c>
      <c r="H187" s="48" t="s">
        <v>843</v>
      </c>
      <c r="I187" s="48" t="s">
        <v>844</v>
      </c>
      <c r="J187" s="58">
        <v>1</v>
      </c>
      <c r="K187" s="57" t="e">
        <f t="shared" ca="1" si="0"/>
        <v>#NAME?</v>
      </c>
    </row>
    <row r="188" spans="3:11">
      <c r="C188" s="55" t="s">
        <v>845</v>
      </c>
      <c r="D188" s="48">
        <v>212</v>
      </c>
      <c r="E188" s="48">
        <v>215</v>
      </c>
      <c r="F188" s="48">
        <v>1</v>
      </c>
      <c r="G188" s="48">
        <v>216</v>
      </c>
      <c r="H188" s="48" t="s">
        <v>846</v>
      </c>
      <c r="I188" s="48" t="s">
        <v>847</v>
      </c>
      <c r="J188" s="58">
        <v>0.99</v>
      </c>
      <c r="K188" s="57" t="e">
        <f t="shared" ca="1" si="0"/>
        <v>#NAME?</v>
      </c>
    </row>
    <row r="189" spans="3:11">
      <c r="C189" s="55" t="s">
        <v>848</v>
      </c>
      <c r="D189" s="48">
        <v>210</v>
      </c>
      <c r="E189" s="48">
        <v>246</v>
      </c>
      <c r="F189" s="48">
        <v>1</v>
      </c>
      <c r="G189" s="48">
        <v>247</v>
      </c>
      <c r="H189" s="48" t="s">
        <v>849</v>
      </c>
      <c r="I189" s="48" t="s">
        <v>850</v>
      </c>
      <c r="J189" s="58">
        <v>1</v>
      </c>
      <c r="K189" s="57" t="e">
        <f t="shared" ca="1" si="0"/>
        <v>#NAME?</v>
      </c>
    </row>
    <row r="190" spans="3:11">
      <c r="C190" s="55" t="s">
        <v>851</v>
      </c>
      <c r="D190" s="48" t="s">
        <v>852</v>
      </c>
      <c r="E190" s="48">
        <v>566</v>
      </c>
      <c r="F190" s="48">
        <v>0</v>
      </c>
      <c r="G190" s="48">
        <v>566</v>
      </c>
      <c r="K190" s="57" t="e">
        <f t="shared" ca="1" si="0"/>
        <v>#NAME?</v>
      </c>
    </row>
    <row r="191" spans="3:11">
      <c r="C191" s="55" t="s">
        <v>853</v>
      </c>
      <c r="D191" s="48">
        <v>210</v>
      </c>
      <c r="E191" s="48">
        <v>242</v>
      </c>
      <c r="F191" s="48">
        <v>0</v>
      </c>
      <c r="G191" s="48">
        <v>242</v>
      </c>
      <c r="H191" s="48" t="s">
        <v>854</v>
      </c>
      <c r="I191" s="48" t="s">
        <v>855</v>
      </c>
      <c r="J191" s="58">
        <v>0.99</v>
      </c>
      <c r="K191" s="57" t="e">
        <f t="shared" ca="1" si="0"/>
        <v>#NAME?</v>
      </c>
    </row>
    <row r="192" spans="3:11">
      <c r="C192" s="55" t="s">
        <v>856</v>
      </c>
      <c r="D192" s="48">
        <v>208</v>
      </c>
      <c r="E192" s="48">
        <v>266</v>
      </c>
      <c r="F192" s="48">
        <v>8</v>
      </c>
      <c r="G192" s="48">
        <v>274</v>
      </c>
      <c r="H192" s="48" t="s">
        <v>849</v>
      </c>
      <c r="I192" s="48" t="s">
        <v>857</v>
      </c>
      <c r="J192" s="58">
        <v>0.99</v>
      </c>
      <c r="K192" s="57" t="e">
        <f t="shared" ca="1" si="0"/>
        <v>#NAME?</v>
      </c>
    </row>
    <row r="193" spans="3:11">
      <c r="C193" s="55" t="s">
        <v>858</v>
      </c>
      <c r="D193" s="48">
        <v>206</v>
      </c>
      <c r="E193" s="48">
        <v>127</v>
      </c>
      <c r="F193" s="48">
        <v>20</v>
      </c>
      <c r="G193" s="48">
        <v>147</v>
      </c>
      <c r="H193" s="48" t="s">
        <v>859</v>
      </c>
      <c r="I193" s="48" t="s">
        <v>426</v>
      </c>
      <c r="J193" s="58">
        <v>0.99</v>
      </c>
      <c r="K193" s="57" t="e">
        <f t="shared" ca="1" si="0"/>
        <v>#NAME?</v>
      </c>
    </row>
    <row r="194" spans="3:11">
      <c r="C194" s="55" t="s">
        <v>860</v>
      </c>
      <c r="D194" s="48">
        <v>205</v>
      </c>
      <c r="E194" s="48">
        <v>275</v>
      </c>
      <c r="F194" s="48">
        <v>78</v>
      </c>
      <c r="G194" s="48">
        <v>353</v>
      </c>
      <c r="H194" s="48" t="s">
        <v>861</v>
      </c>
      <c r="I194" s="48" t="s">
        <v>862</v>
      </c>
      <c r="J194" s="58">
        <v>0.87</v>
      </c>
      <c r="K194" s="57" t="e">
        <f t="shared" ca="1" si="0"/>
        <v>#NAME?</v>
      </c>
    </row>
    <row r="195" spans="3:11">
      <c r="C195" s="55" t="s">
        <v>863</v>
      </c>
      <c r="D195" s="48">
        <v>205</v>
      </c>
      <c r="E195" s="48">
        <v>234</v>
      </c>
      <c r="F195" s="48">
        <v>71</v>
      </c>
      <c r="G195" s="48">
        <v>305</v>
      </c>
      <c r="H195" s="48" t="s">
        <v>864</v>
      </c>
      <c r="I195" s="48" t="s">
        <v>865</v>
      </c>
      <c r="J195" s="58">
        <v>0.91</v>
      </c>
      <c r="K195" s="57" t="e">
        <f t="shared" ca="1" si="0"/>
        <v>#NAME?</v>
      </c>
    </row>
    <row r="196" spans="3:11">
      <c r="C196" s="55" t="s">
        <v>866</v>
      </c>
      <c r="D196" s="48">
        <v>202</v>
      </c>
      <c r="E196" s="48">
        <v>99</v>
      </c>
      <c r="F196" s="48">
        <v>0</v>
      </c>
      <c r="G196" s="48">
        <v>99</v>
      </c>
      <c r="H196" s="48" t="s">
        <v>867</v>
      </c>
      <c r="I196" s="48" t="s">
        <v>868</v>
      </c>
      <c r="J196" s="58">
        <v>0.97</v>
      </c>
      <c r="K196" s="57" t="e">
        <f t="shared" ca="1" si="0"/>
        <v>#NAME?</v>
      </c>
    </row>
    <row r="197" spans="3:11">
      <c r="C197" s="55" t="s">
        <v>869</v>
      </c>
      <c r="D197" s="48" t="s">
        <v>870</v>
      </c>
      <c r="E197" s="48">
        <v>436</v>
      </c>
      <c r="F197" s="48">
        <v>31</v>
      </c>
      <c r="G197" s="48">
        <v>467</v>
      </c>
      <c r="H197" s="48" t="s">
        <v>871</v>
      </c>
      <c r="I197" s="48" t="s">
        <v>872</v>
      </c>
      <c r="J197" s="58">
        <v>1</v>
      </c>
      <c r="K197" s="57" t="e">
        <f t="shared" ca="1" si="0"/>
        <v>#NAME?</v>
      </c>
    </row>
    <row r="198" spans="3:11">
      <c r="C198" s="55" t="s">
        <v>873</v>
      </c>
      <c r="D198" s="48">
        <v>199</v>
      </c>
      <c r="E198" s="48">
        <v>344</v>
      </c>
      <c r="F198" s="48">
        <v>0</v>
      </c>
      <c r="G198" s="48">
        <v>344</v>
      </c>
      <c r="H198" s="48" t="s">
        <v>874</v>
      </c>
      <c r="I198" s="48" t="s">
        <v>875</v>
      </c>
      <c r="J198" s="58">
        <v>0.97</v>
      </c>
      <c r="K198" s="57" t="e">
        <f t="shared" ca="1" si="0"/>
        <v>#NAME?</v>
      </c>
    </row>
    <row r="199" spans="3:11">
      <c r="C199" s="55" t="s">
        <v>876</v>
      </c>
      <c r="D199" s="48">
        <v>197</v>
      </c>
      <c r="E199" s="48">
        <v>32</v>
      </c>
      <c r="F199" s="48">
        <v>460</v>
      </c>
      <c r="G199" s="48">
        <v>492</v>
      </c>
      <c r="H199" s="48" t="s">
        <v>877</v>
      </c>
      <c r="I199" s="48" t="s">
        <v>878</v>
      </c>
      <c r="J199" s="58">
        <v>1</v>
      </c>
      <c r="K199" s="57" t="e">
        <f t="shared" ca="1" si="0"/>
        <v>#NAME?</v>
      </c>
    </row>
    <row r="200" spans="3:11">
      <c r="C200" s="55" t="s">
        <v>879</v>
      </c>
      <c r="D200" s="48">
        <v>192</v>
      </c>
      <c r="E200" s="48">
        <v>88</v>
      </c>
      <c r="F200" s="48">
        <v>2</v>
      </c>
      <c r="G200" s="48">
        <v>90</v>
      </c>
      <c r="H200" s="48" t="s">
        <v>429</v>
      </c>
      <c r="I200" s="48" t="s">
        <v>880</v>
      </c>
      <c r="J200" s="58">
        <v>0.71</v>
      </c>
      <c r="K200" s="57" t="e">
        <f t="shared" ca="1" si="0"/>
        <v>#NAME?</v>
      </c>
    </row>
    <row r="201" spans="3:11">
      <c r="C201" s="55" t="s">
        <v>881</v>
      </c>
      <c r="D201" s="48">
        <v>191</v>
      </c>
      <c r="E201" s="48">
        <v>180</v>
      </c>
      <c r="F201" s="48">
        <v>0</v>
      </c>
      <c r="G201" s="48">
        <v>180</v>
      </c>
      <c r="H201" s="48" t="s">
        <v>882</v>
      </c>
      <c r="I201" s="48" t="s">
        <v>883</v>
      </c>
      <c r="J201" s="58">
        <v>0.89</v>
      </c>
      <c r="K201" s="57" t="e">
        <f t="shared" ca="1" si="0"/>
        <v>#NAME?</v>
      </c>
    </row>
    <row r="202" spans="3:11">
      <c r="C202" s="55" t="s">
        <v>884</v>
      </c>
      <c r="D202" s="48">
        <v>190</v>
      </c>
      <c r="E202" s="48">
        <v>246</v>
      </c>
      <c r="F202" s="48">
        <v>20</v>
      </c>
      <c r="G202" s="48">
        <v>266</v>
      </c>
      <c r="H202" s="48" t="s">
        <v>885</v>
      </c>
      <c r="I202" s="48" t="s">
        <v>886</v>
      </c>
      <c r="J202" s="58">
        <v>0.97</v>
      </c>
      <c r="K202" s="57" t="e">
        <f t="shared" ca="1" si="0"/>
        <v>#NAME?</v>
      </c>
    </row>
    <row r="203" spans="3:11">
      <c r="C203" s="55" t="s">
        <v>887</v>
      </c>
      <c r="D203" s="48">
        <v>190</v>
      </c>
      <c r="E203" s="48">
        <v>65</v>
      </c>
      <c r="F203" s="48">
        <v>0</v>
      </c>
      <c r="G203" s="48">
        <v>65</v>
      </c>
      <c r="J203" s="58">
        <v>0.28000000000000003</v>
      </c>
      <c r="K203" s="57" t="e">
        <f t="shared" ca="1" si="0"/>
        <v>#NAME?</v>
      </c>
    </row>
    <row r="204" spans="3:11">
      <c r="C204" s="55" t="s">
        <v>888</v>
      </c>
      <c r="D204" s="48">
        <v>190</v>
      </c>
      <c r="E204" s="48">
        <v>147</v>
      </c>
      <c r="F204" s="48">
        <v>0</v>
      </c>
      <c r="G204" s="48">
        <v>147</v>
      </c>
      <c r="H204" s="48" t="s">
        <v>889</v>
      </c>
      <c r="I204" s="48" t="s">
        <v>890</v>
      </c>
      <c r="J204" s="58">
        <v>0.61</v>
      </c>
      <c r="K204" s="57" t="e">
        <f t="shared" ca="1" si="0"/>
        <v>#NAME?</v>
      </c>
    </row>
    <row r="205" spans="3:11">
      <c r="C205" s="55" t="s">
        <v>891</v>
      </c>
      <c r="D205" s="48">
        <v>189</v>
      </c>
      <c r="E205" s="48">
        <v>3156</v>
      </c>
      <c r="F205" s="48">
        <v>509</v>
      </c>
      <c r="G205" s="48">
        <v>3665</v>
      </c>
      <c r="H205" s="48" t="s">
        <v>892</v>
      </c>
      <c r="I205" s="48" t="s">
        <v>874</v>
      </c>
      <c r="J205" s="58">
        <v>1</v>
      </c>
      <c r="K205" s="57" t="e">
        <f t="shared" ca="1" si="0"/>
        <v>#NAME?</v>
      </c>
    </row>
    <row r="206" spans="3:11">
      <c r="C206" s="55" t="s">
        <v>893</v>
      </c>
      <c r="D206" s="48">
        <v>187</v>
      </c>
      <c r="E206" s="48">
        <v>72</v>
      </c>
      <c r="F206" s="48">
        <v>0</v>
      </c>
      <c r="G206" s="48">
        <v>72</v>
      </c>
      <c r="J206" s="58">
        <v>0.4</v>
      </c>
      <c r="K206" s="57" t="e">
        <f t="shared" ca="1" si="0"/>
        <v>#NAME?</v>
      </c>
    </row>
    <row r="207" spans="3:11">
      <c r="C207" s="55" t="s">
        <v>894</v>
      </c>
      <c r="D207" s="48">
        <v>187</v>
      </c>
      <c r="E207" s="48">
        <v>252</v>
      </c>
      <c r="F207" s="48">
        <v>8</v>
      </c>
      <c r="G207" s="48">
        <v>260</v>
      </c>
      <c r="H207" s="48" t="s">
        <v>877</v>
      </c>
      <c r="I207" s="48" t="s">
        <v>895</v>
      </c>
      <c r="J207" s="58">
        <v>1</v>
      </c>
      <c r="K207" s="57" t="e">
        <f t="shared" ca="1" si="0"/>
        <v>#NAME?</v>
      </c>
    </row>
    <row r="208" spans="3:11">
      <c r="C208" s="55" t="s">
        <v>896</v>
      </c>
      <c r="D208" s="48">
        <v>183</v>
      </c>
      <c r="E208" s="48">
        <v>280</v>
      </c>
      <c r="F208" s="48">
        <v>2</v>
      </c>
      <c r="G208" s="48">
        <v>282</v>
      </c>
      <c r="H208" s="48" t="s">
        <v>897</v>
      </c>
      <c r="I208" s="48" t="s">
        <v>420</v>
      </c>
      <c r="J208" s="58">
        <v>1</v>
      </c>
      <c r="K208" s="57" t="e">
        <f t="shared" ca="1" si="0"/>
        <v>#NAME?</v>
      </c>
    </row>
    <row r="209" spans="3:11">
      <c r="C209" s="55" t="s">
        <v>898</v>
      </c>
      <c r="D209" s="48">
        <v>183</v>
      </c>
      <c r="E209" s="48">
        <v>86</v>
      </c>
      <c r="F209" s="48">
        <v>0</v>
      </c>
      <c r="G209" s="48">
        <v>86</v>
      </c>
      <c r="H209" s="48" t="s">
        <v>899</v>
      </c>
      <c r="I209" s="48" t="s">
        <v>900</v>
      </c>
      <c r="J209" s="58">
        <v>1</v>
      </c>
      <c r="K209" s="57" t="e">
        <f t="shared" ca="1" si="0"/>
        <v>#NAME?</v>
      </c>
    </row>
    <row r="210" spans="3:11">
      <c r="C210" s="55" t="s">
        <v>901</v>
      </c>
      <c r="D210" s="48">
        <v>182</v>
      </c>
      <c r="E210" s="48">
        <v>559</v>
      </c>
      <c r="F210" s="48">
        <v>0</v>
      </c>
      <c r="G210" s="48">
        <v>559</v>
      </c>
      <c r="H210" s="48" t="s">
        <v>902</v>
      </c>
      <c r="I210" s="48" t="s">
        <v>903</v>
      </c>
      <c r="J210" s="58">
        <v>1</v>
      </c>
      <c r="K210" s="57" t="e">
        <f t="shared" ca="1" si="0"/>
        <v>#NAME?</v>
      </c>
    </row>
    <row r="211" spans="3:11">
      <c r="C211" s="55" t="s">
        <v>904</v>
      </c>
      <c r="D211" s="48">
        <v>182</v>
      </c>
      <c r="E211" s="48">
        <v>64</v>
      </c>
      <c r="F211" s="48">
        <v>0</v>
      </c>
      <c r="G211" s="48">
        <v>64</v>
      </c>
      <c r="H211" s="48" t="s">
        <v>905</v>
      </c>
      <c r="I211" s="48" t="s">
        <v>906</v>
      </c>
      <c r="J211" s="58">
        <v>0.86</v>
      </c>
      <c r="K211" s="57" t="e">
        <f t="shared" ca="1" si="0"/>
        <v>#NAME?</v>
      </c>
    </row>
    <row r="212" spans="3:11">
      <c r="C212" s="55" t="s">
        <v>907</v>
      </c>
      <c r="D212" s="48">
        <v>180</v>
      </c>
      <c r="E212" s="48">
        <v>96</v>
      </c>
      <c r="F212" s="48">
        <v>264</v>
      </c>
      <c r="G212" s="48">
        <v>360</v>
      </c>
      <c r="H212" s="48" t="s">
        <v>844</v>
      </c>
      <c r="I212" s="48" t="s">
        <v>908</v>
      </c>
      <c r="J212" s="58">
        <v>0.97</v>
      </c>
      <c r="K212" s="57" t="e">
        <f t="shared" ca="1" si="0"/>
        <v>#NAME?</v>
      </c>
    </row>
    <row r="213" spans="3:11">
      <c r="C213" s="55" t="s">
        <v>909</v>
      </c>
      <c r="D213" s="48">
        <v>175</v>
      </c>
      <c r="E213" s="48">
        <v>189</v>
      </c>
      <c r="F213" s="48">
        <v>0</v>
      </c>
      <c r="G213" s="48">
        <v>189</v>
      </c>
      <c r="H213" s="48" t="s">
        <v>865</v>
      </c>
      <c r="I213" s="48" t="s">
        <v>910</v>
      </c>
      <c r="J213" s="58">
        <v>1</v>
      </c>
      <c r="K213" s="57" t="e">
        <f t="shared" ca="1" si="0"/>
        <v>#NAME?</v>
      </c>
    </row>
    <row r="214" spans="3:11">
      <c r="C214" s="55" t="s">
        <v>911</v>
      </c>
      <c r="D214" s="48">
        <v>174</v>
      </c>
      <c r="E214" s="48">
        <v>325</v>
      </c>
      <c r="F214" s="48">
        <v>12</v>
      </c>
      <c r="G214" s="48">
        <v>337</v>
      </c>
      <c r="H214" s="48" t="s">
        <v>864</v>
      </c>
      <c r="I214" s="48" t="s">
        <v>912</v>
      </c>
      <c r="J214" s="58">
        <v>1</v>
      </c>
      <c r="K214" s="57" t="e">
        <f t="shared" ca="1" si="0"/>
        <v>#NAME?</v>
      </c>
    </row>
    <row r="215" spans="3:11">
      <c r="C215" s="55" t="s">
        <v>913</v>
      </c>
      <c r="D215" s="48">
        <v>172</v>
      </c>
      <c r="E215" s="48">
        <v>65</v>
      </c>
      <c r="F215" s="48">
        <v>27</v>
      </c>
      <c r="G215" s="48">
        <v>92</v>
      </c>
      <c r="H215" s="48" t="s">
        <v>914</v>
      </c>
      <c r="I215" s="48" t="s">
        <v>915</v>
      </c>
      <c r="J215" s="58">
        <v>0.96</v>
      </c>
      <c r="K215" s="57" t="e">
        <f t="shared" ca="1" si="0"/>
        <v>#NAME?</v>
      </c>
    </row>
    <row r="216" spans="3:11">
      <c r="C216" s="55" t="s">
        <v>916</v>
      </c>
      <c r="D216" s="48">
        <v>169</v>
      </c>
      <c r="E216" s="48">
        <v>191</v>
      </c>
      <c r="F216" s="48">
        <v>0</v>
      </c>
      <c r="G216" s="48">
        <v>191</v>
      </c>
      <c r="H216" s="48" t="s">
        <v>917</v>
      </c>
      <c r="I216" s="48" t="s">
        <v>918</v>
      </c>
      <c r="J216" s="58">
        <v>0.97</v>
      </c>
      <c r="K216" s="57" t="e">
        <f t="shared" ca="1" si="0"/>
        <v>#NAME?</v>
      </c>
    </row>
    <row r="217" spans="3:11">
      <c r="C217" s="55" t="s">
        <v>919</v>
      </c>
      <c r="D217" s="48">
        <v>169</v>
      </c>
      <c r="E217" s="48">
        <v>169</v>
      </c>
      <c r="F217" s="48">
        <v>0</v>
      </c>
      <c r="G217" s="48">
        <v>169</v>
      </c>
      <c r="H217" s="48" t="s">
        <v>914</v>
      </c>
      <c r="I217" s="48" t="s">
        <v>920</v>
      </c>
      <c r="J217" s="58">
        <v>0.96</v>
      </c>
      <c r="K217" s="57" t="e">
        <f t="shared" ca="1" si="0"/>
        <v>#NAME?</v>
      </c>
    </row>
    <row r="218" spans="3:11">
      <c r="C218" s="55" t="s">
        <v>921</v>
      </c>
      <c r="D218" s="48">
        <v>169</v>
      </c>
      <c r="E218" s="48">
        <v>329</v>
      </c>
      <c r="F218" s="48">
        <v>13</v>
      </c>
      <c r="G218" s="48">
        <v>342</v>
      </c>
      <c r="H218" s="48" t="s">
        <v>922</v>
      </c>
      <c r="I218" s="48" t="s">
        <v>923</v>
      </c>
      <c r="J218" s="58">
        <v>1</v>
      </c>
      <c r="K218" s="57" t="e">
        <f t="shared" ca="1" si="0"/>
        <v>#NAME?</v>
      </c>
    </row>
    <row r="219" spans="3:11">
      <c r="C219" s="55" t="s">
        <v>924</v>
      </c>
      <c r="D219" s="48">
        <v>169</v>
      </c>
      <c r="E219" s="48">
        <v>93</v>
      </c>
      <c r="F219" s="48">
        <v>0</v>
      </c>
      <c r="G219" s="48">
        <v>93</v>
      </c>
      <c r="H219" s="48" t="s">
        <v>925</v>
      </c>
      <c r="I219" s="48" t="s">
        <v>875</v>
      </c>
      <c r="J219" s="58">
        <v>0.65</v>
      </c>
      <c r="K219" s="57" t="e">
        <f t="shared" ca="1" si="0"/>
        <v>#NAME?</v>
      </c>
    </row>
    <row r="220" spans="3:11">
      <c r="C220" s="55" t="s">
        <v>926</v>
      </c>
      <c r="D220" s="48">
        <v>168</v>
      </c>
      <c r="E220" s="48">
        <v>379</v>
      </c>
      <c r="F220" s="48">
        <v>2</v>
      </c>
      <c r="G220" s="48">
        <v>381</v>
      </c>
      <c r="H220" s="48" t="s">
        <v>927</v>
      </c>
      <c r="I220" s="48" t="s">
        <v>928</v>
      </c>
      <c r="J220" s="58">
        <v>0.95</v>
      </c>
      <c r="K220" s="57" t="e">
        <f t="shared" ca="1" si="0"/>
        <v>#NAME?</v>
      </c>
    </row>
    <row r="221" spans="3:11">
      <c r="C221" s="55" t="s">
        <v>929</v>
      </c>
      <c r="D221" s="48">
        <v>166</v>
      </c>
      <c r="E221" s="48">
        <v>97</v>
      </c>
      <c r="F221" s="48">
        <v>0</v>
      </c>
      <c r="G221" s="48">
        <v>97</v>
      </c>
      <c r="H221" s="48" t="s">
        <v>420</v>
      </c>
      <c r="I221" s="48" t="s">
        <v>839</v>
      </c>
      <c r="J221" s="58">
        <v>0.57999999999999996</v>
      </c>
      <c r="K221" s="57" t="e">
        <f t="shared" ca="1" si="0"/>
        <v>#NAME?</v>
      </c>
    </row>
    <row r="222" spans="3:11">
      <c r="C222" s="55" t="s">
        <v>930</v>
      </c>
      <c r="D222" s="48">
        <v>163</v>
      </c>
      <c r="E222" s="48">
        <v>389</v>
      </c>
      <c r="F222" s="48">
        <v>15</v>
      </c>
      <c r="G222" s="48">
        <v>404</v>
      </c>
      <c r="H222" s="48" t="s">
        <v>931</v>
      </c>
      <c r="I222" s="48" t="s">
        <v>932</v>
      </c>
      <c r="J222" s="58">
        <v>1</v>
      </c>
      <c r="K222" s="57" t="e">
        <f t="shared" ca="1" si="0"/>
        <v>#NAME?</v>
      </c>
    </row>
    <row r="223" spans="3:11">
      <c r="C223" s="55" t="s">
        <v>933</v>
      </c>
      <c r="D223" s="48">
        <v>163</v>
      </c>
      <c r="E223" s="48">
        <v>130</v>
      </c>
      <c r="F223" s="48">
        <v>6</v>
      </c>
      <c r="G223" s="48">
        <v>136</v>
      </c>
      <c r="H223" s="48" t="s">
        <v>934</v>
      </c>
      <c r="I223" s="48" t="s">
        <v>935</v>
      </c>
      <c r="J223" s="58">
        <v>1</v>
      </c>
      <c r="K223" s="57" t="e">
        <f t="shared" ca="1" si="0"/>
        <v>#NAME?</v>
      </c>
    </row>
    <row r="224" spans="3:11">
      <c r="C224" s="55" t="s">
        <v>936</v>
      </c>
      <c r="D224" s="48">
        <v>161</v>
      </c>
      <c r="E224" s="48">
        <v>78</v>
      </c>
      <c r="F224" s="48">
        <v>0</v>
      </c>
      <c r="G224" s="48">
        <v>78</v>
      </c>
      <c r="H224" s="48" t="s">
        <v>937</v>
      </c>
      <c r="I224" s="48" t="s">
        <v>897</v>
      </c>
      <c r="J224" s="58">
        <v>0.76</v>
      </c>
      <c r="K224" s="57" t="e">
        <f t="shared" ca="1" si="0"/>
        <v>#NAME?</v>
      </c>
    </row>
    <row r="225" spans="3:11">
      <c r="C225" s="55" t="s">
        <v>938</v>
      </c>
      <c r="D225" s="48">
        <v>161</v>
      </c>
      <c r="E225" s="48">
        <v>102</v>
      </c>
      <c r="F225" s="48">
        <v>0</v>
      </c>
      <c r="G225" s="48">
        <v>102</v>
      </c>
      <c r="H225" s="48" t="s">
        <v>939</v>
      </c>
      <c r="I225" s="48" t="s">
        <v>940</v>
      </c>
      <c r="J225" s="58">
        <v>1</v>
      </c>
      <c r="K225" s="57" t="e">
        <f t="shared" ca="1" si="0"/>
        <v>#NAME?</v>
      </c>
    </row>
    <row r="226" spans="3:11">
      <c r="C226" s="55" t="s">
        <v>941</v>
      </c>
      <c r="D226" s="48">
        <v>160</v>
      </c>
      <c r="E226" s="48">
        <v>162</v>
      </c>
      <c r="F226" s="48">
        <v>0</v>
      </c>
      <c r="G226" s="48">
        <v>162</v>
      </c>
      <c r="H226" s="48" t="s">
        <v>942</v>
      </c>
      <c r="I226" s="48" t="s">
        <v>943</v>
      </c>
      <c r="J226" s="58">
        <v>0.74</v>
      </c>
      <c r="K226" s="57" t="e">
        <f t="shared" ca="1" si="0"/>
        <v>#NAME?</v>
      </c>
    </row>
    <row r="227" spans="3:11">
      <c r="C227" s="55" t="s">
        <v>944</v>
      </c>
      <c r="D227" s="48">
        <v>157</v>
      </c>
      <c r="E227" s="48">
        <v>182</v>
      </c>
      <c r="F227" s="48">
        <v>0</v>
      </c>
      <c r="G227" s="48">
        <v>182</v>
      </c>
      <c r="H227" s="48" t="s">
        <v>945</v>
      </c>
      <c r="I227" s="48" t="s">
        <v>946</v>
      </c>
      <c r="J227" s="58">
        <v>0.93</v>
      </c>
      <c r="K227" s="57" t="e">
        <f t="shared" ca="1" si="0"/>
        <v>#NAME?</v>
      </c>
    </row>
    <row r="228" spans="3:11">
      <c r="C228" s="55" t="s">
        <v>947</v>
      </c>
      <c r="D228" s="48">
        <v>154</v>
      </c>
      <c r="E228" s="48">
        <v>56</v>
      </c>
      <c r="F228" s="48">
        <v>3</v>
      </c>
      <c r="G228" s="48">
        <v>59</v>
      </c>
      <c r="H228" s="48" t="s">
        <v>948</v>
      </c>
      <c r="I228" s="48" t="s">
        <v>949</v>
      </c>
      <c r="J228" s="58">
        <v>0.92</v>
      </c>
      <c r="K228" s="57" t="e">
        <f t="shared" ca="1" si="0"/>
        <v>#NAME?</v>
      </c>
    </row>
    <row r="229" spans="3:11">
      <c r="C229" s="55" t="s">
        <v>950</v>
      </c>
      <c r="D229" s="48">
        <v>154</v>
      </c>
      <c r="E229" s="48">
        <v>185</v>
      </c>
      <c r="F229" s="48">
        <v>0</v>
      </c>
      <c r="G229" s="48">
        <v>185</v>
      </c>
      <c r="H229" s="48" t="s">
        <v>951</v>
      </c>
      <c r="I229" s="48" t="s">
        <v>914</v>
      </c>
      <c r="J229" s="58">
        <v>0.97</v>
      </c>
      <c r="K229" s="57" t="e">
        <f t="shared" ca="1" si="0"/>
        <v>#NAME?</v>
      </c>
    </row>
    <row r="230" spans="3:11">
      <c r="C230" s="55" t="s">
        <v>952</v>
      </c>
      <c r="D230" s="48">
        <v>154</v>
      </c>
      <c r="E230" s="48">
        <v>75</v>
      </c>
      <c r="F230" s="48">
        <v>5</v>
      </c>
      <c r="G230" s="48">
        <v>80</v>
      </c>
      <c r="H230" s="48" t="s">
        <v>865</v>
      </c>
      <c r="I230" s="48" t="s">
        <v>953</v>
      </c>
      <c r="J230" s="58">
        <v>0.89</v>
      </c>
      <c r="K230" s="57" t="e">
        <f t="shared" ca="1" si="0"/>
        <v>#NAME?</v>
      </c>
    </row>
    <row r="231" spans="3:11">
      <c r="C231" s="55" t="s">
        <v>954</v>
      </c>
      <c r="D231" s="48">
        <v>153</v>
      </c>
      <c r="E231" s="48">
        <v>99</v>
      </c>
      <c r="F231" s="48">
        <v>90</v>
      </c>
      <c r="G231" s="48">
        <v>189</v>
      </c>
      <c r="H231" s="48" t="s">
        <v>867</v>
      </c>
      <c r="I231" s="48" t="s">
        <v>955</v>
      </c>
      <c r="J231" s="58">
        <v>1</v>
      </c>
      <c r="K231" s="57" t="e">
        <f t="shared" ca="1" si="0"/>
        <v>#NAME?</v>
      </c>
    </row>
    <row r="232" spans="3:11">
      <c r="C232" s="55" t="s">
        <v>956</v>
      </c>
      <c r="D232" s="48">
        <v>149</v>
      </c>
      <c r="E232" s="48">
        <v>118</v>
      </c>
      <c r="F232" s="48">
        <v>27</v>
      </c>
      <c r="G232" s="48">
        <v>145</v>
      </c>
      <c r="H232" s="48" t="s">
        <v>957</v>
      </c>
      <c r="I232" s="48" t="s">
        <v>958</v>
      </c>
      <c r="J232" s="58">
        <v>0.99</v>
      </c>
      <c r="K232" s="57" t="e">
        <f t="shared" ca="1" si="0"/>
        <v>#NAME?</v>
      </c>
    </row>
    <row r="233" spans="3:11">
      <c r="C233" s="55" t="s">
        <v>959</v>
      </c>
      <c r="D233" s="48">
        <v>149</v>
      </c>
      <c r="E233" s="48">
        <v>272</v>
      </c>
      <c r="F233" s="48">
        <v>0</v>
      </c>
      <c r="G233" s="48">
        <v>272</v>
      </c>
      <c r="H233" s="48" t="s">
        <v>960</v>
      </c>
      <c r="I233" s="48" t="s">
        <v>961</v>
      </c>
      <c r="J233" s="58">
        <v>0.98</v>
      </c>
      <c r="K233" s="57" t="e">
        <f t="shared" ca="1" si="0"/>
        <v>#NAME?</v>
      </c>
    </row>
    <row r="234" spans="3:11">
      <c r="C234" s="55" t="s">
        <v>962</v>
      </c>
      <c r="D234" s="48">
        <v>146</v>
      </c>
      <c r="E234" s="48">
        <v>104</v>
      </c>
      <c r="F234" s="48">
        <v>0</v>
      </c>
      <c r="G234" s="48">
        <v>104</v>
      </c>
      <c r="H234" s="48" t="s">
        <v>963</v>
      </c>
      <c r="I234" s="48" t="s">
        <v>964</v>
      </c>
      <c r="J234" s="58">
        <v>1</v>
      </c>
      <c r="K234" s="57" t="e">
        <f t="shared" ca="1" si="0"/>
        <v>#NAME?</v>
      </c>
    </row>
    <row r="235" spans="3:11">
      <c r="C235" s="55" t="s">
        <v>965</v>
      </c>
      <c r="D235" s="48">
        <v>144</v>
      </c>
      <c r="E235" s="48">
        <v>418</v>
      </c>
      <c r="F235" s="48">
        <v>0</v>
      </c>
      <c r="G235" s="48">
        <v>418</v>
      </c>
      <c r="H235" s="48" t="s">
        <v>966</v>
      </c>
      <c r="I235" s="48" t="s">
        <v>967</v>
      </c>
      <c r="J235" s="58">
        <v>1</v>
      </c>
      <c r="K235" s="57" t="e">
        <f t="shared" ca="1" si="0"/>
        <v>#NAME?</v>
      </c>
    </row>
    <row r="236" spans="3:11">
      <c r="C236" s="55" t="s">
        <v>968</v>
      </c>
      <c r="D236" s="48">
        <v>140</v>
      </c>
      <c r="E236" s="48">
        <v>118</v>
      </c>
      <c r="F236" s="48">
        <v>0</v>
      </c>
      <c r="G236" s="48">
        <v>118</v>
      </c>
      <c r="H236" s="48" t="s">
        <v>969</v>
      </c>
      <c r="I236" s="48" t="s">
        <v>970</v>
      </c>
      <c r="J236" s="58">
        <v>1</v>
      </c>
      <c r="K236" s="57" t="e">
        <f t="shared" ca="1" si="0"/>
        <v>#NAME?</v>
      </c>
    </row>
    <row r="237" spans="3:11">
      <c r="C237" s="55" t="s">
        <v>971</v>
      </c>
      <c r="D237" s="48">
        <v>140</v>
      </c>
      <c r="E237" s="48">
        <v>24</v>
      </c>
      <c r="F237" s="48">
        <v>0</v>
      </c>
      <c r="G237" s="48">
        <v>24</v>
      </c>
      <c r="H237" s="48" t="s">
        <v>972</v>
      </c>
      <c r="I237" s="48" t="s">
        <v>973</v>
      </c>
      <c r="J237" s="58">
        <v>0.96</v>
      </c>
      <c r="K237" s="57" t="e">
        <f t="shared" ca="1" si="0"/>
        <v>#NAME?</v>
      </c>
    </row>
    <row r="238" spans="3:11">
      <c r="C238" s="55" t="s">
        <v>974</v>
      </c>
      <c r="D238" s="48">
        <v>139</v>
      </c>
      <c r="E238" s="48">
        <v>552</v>
      </c>
      <c r="F238" s="48">
        <v>763</v>
      </c>
      <c r="G238" s="48">
        <v>139</v>
      </c>
      <c r="H238" s="48" t="s">
        <v>975</v>
      </c>
      <c r="J238" s="58">
        <v>1</v>
      </c>
      <c r="K238" s="57" t="e">
        <f t="shared" ca="1" si="0"/>
        <v>#NAME?</v>
      </c>
    </row>
    <row r="239" spans="3:11">
      <c r="C239" s="55" t="s">
        <v>976</v>
      </c>
      <c r="D239" s="48">
        <v>139</v>
      </c>
      <c r="E239" s="48">
        <v>157</v>
      </c>
      <c r="F239" s="48">
        <v>77</v>
      </c>
      <c r="G239" s="48">
        <v>234</v>
      </c>
      <c r="H239" s="48" t="s">
        <v>977</v>
      </c>
      <c r="I239" s="48" t="s">
        <v>839</v>
      </c>
      <c r="J239" s="58">
        <v>0.98</v>
      </c>
      <c r="K239" s="57" t="e">
        <f t="shared" ca="1" si="0"/>
        <v>#NAME?</v>
      </c>
    </row>
    <row r="240" spans="3:11">
      <c r="C240" s="55" t="s">
        <v>978</v>
      </c>
      <c r="D240" s="48">
        <v>135</v>
      </c>
      <c r="E240" s="48">
        <v>88</v>
      </c>
      <c r="F240" s="48">
        <v>113</v>
      </c>
      <c r="G240" s="48">
        <v>201</v>
      </c>
      <c r="H240" s="48" t="s">
        <v>905</v>
      </c>
      <c r="I240" s="48" t="s">
        <v>979</v>
      </c>
      <c r="J240" s="58">
        <v>1</v>
      </c>
      <c r="K240" s="57" t="e">
        <f t="shared" ca="1" si="0"/>
        <v>#NAME?</v>
      </c>
    </row>
    <row r="241" spans="3:11">
      <c r="C241" s="55" t="s">
        <v>980</v>
      </c>
      <c r="D241" s="48">
        <v>133</v>
      </c>
      <c r="E241" s="48">
        <v>1725</v>
      </c>
      <c r="F241" s="48">
        <v>106</v>
      </c>
      <c r="G241" s="48">
        <v>1831</v>
      </c>
      <c r="H241" s="48" t="s">
        <v>981</v>
      </c>
      <c r="I241" s="48" t="s">
        <v>912</v>
      </c>
      <c r="J241" s="58">
        <v>1</v>
      </c>
      <c r="K241" s="57" t="e">
        <f t="shared" ca="1" si="0"/>
        <v>#NAME?</v>
      </c>
    </row>
    <row r="242" spans="3:11">
      <c r="C242" s="55" t="s">
        <v>982</v>
      </c>
      <c r="D242" s="48">
        <v>131</v>
      </c>
      <c r="E242" s="48">
        <v>69</v>
      </c>
      <c r="F242" s="48">
        <v>0</v>
      </c>
      <c r="G242" s="48">
        <v>69</v>
      </c>
      <c r="H242" s="48" t="s">
        <v>983</v>
      </c>
      <c r="I242" s="48" t="s">
        <v>922</v>
      </c>
      <c r="J242" s="58">
        <v>1</v>
      </c>
      <c r="K242" s="57" t="e">
        <f t="shared" ca="1" si="0"/>
        <v>#NAME?</v>
      </c>
    </row>
    <row r="243" spans="3:11">
      <c r="C243" s="55" t="s">
        <v>984</v>
      </c>
      <c r="D243" s="48">
        <v>131</v>
      </c>
      <c r="E243" s="48">
        <v>141</v>
      </c>
      <c r="F243" s="48">
        <v>1</v>
      </c>
      <c r="G243" s="48">
        <v>142</v>
      </c>
      <c r="H243" s="48" t="s">
        <v>985</v>
      </c>
      <c r="I243" s="48" t="s">
        <v>986</v>
      </c>
      <c r="J243" s="58">
        <v>0.99</v>
      </c>
      <c r="K243" s="57" t="e">
        <f t="shared" ca="1" si="0"/>
        <v>#NAME?</v>
      </c>
    </row>
    <row r="244" spans="3:11">
      <c r="C244" s="55" t="s">
        <v>987</v>
      </c>
      <c r="D244" s="48">
        <v>130</v>
      </c>
      <c r="E244" s="48">
        <v>148</v>
      </c>
      <c r="F244" s="48">
        <v>24</v>
      </c>
      <c r="G244" s="48">
        <v>172</v>
      </c>
      <c r="H244" s="48" t="s">
        <v>925</v>
      </c>
      <c r="I244" s="48" t="s">
        <v>425</v>
      </c>
      <c r="J244" s="58">
        <v>0.95</v>
      </c>
      <c r="K244" s="57" t="e">
        <f t="shared" ca="1" si="0"/>
        <v>#NAME?</v>
      </c>
    </row>
    <row r="245" spans="3:11">
      <c r="C245" s="55" t="s">
        <v>988</v>
      </c>
      <c r="D245" s="48">
        <v>129</v>
      </c>
      <c r="E245" s="48">
        <v>158</v>
      </c>
      <c r="F245" s="48">
        <v>0</v>
      </c>
      <c r="G245" s="48">
        <v>158</v>
      </c>
      <c r="H245" s="48" t="s">
        <v>844</v>
      </c>
      <c r="I245" s="48" t="s">
        <v>844</v>
      </c>
      <c r="J245" s="58">
        <v>1</v>
      </c>
      <c r="K245" s="57" t="e">
        <f t="shared" ca="1" si="0"/>
        <v>#NAME?</v>
      </c>
    </row>
    <row r="246" spans="3:11">
      <c r="C246" s="55" t="s">
        <v>989</v>
      </c>
      <c r="D246" s="48">
        <v>128</v>
      </c>
      <c r="E246" s="48">
        <v>265</v>
      </c>
      <c r="F246" s="48">
        <v>0</v>
      </c>
      <c r="G246" s="48">
        <v>265</v>
      </c>
      <c r="H246" s="48" t="s">
        <v>990</v>
      </c>
      <c r="I246" s="48" t="s">
        <v>935</v>
      </c>
      <c r="J246" s="58">
        <v>1</v>
      </c>
      <c r="K246" s="57" t="e">
        <f t="shared" ca="1" si="0"/>
        <v>#NAME?</v>
      </c>
    </row>
    <row r="247" spans="3:11">
      <c r="C247" s="55" t="s">
        <v>991</v>
      </c>
      <c r="D247" s="48">
        <v>127</v>
      </c>
      <c r="E247" s="48">
        <v>236</v>
      </c>
      <c r="F247" s="48">
        <v>0</v>
      </c>
      <c r="G247" s="48">
        <v>236</v>
      </c>
      <c r="H247" s="48" t="s">
        <v>422</v>
      </c>
      <c r="I247" s="48" t="s">
        <v>992</v>
      </c>
      <c r="J247" s="58">
        <v>1</v>
      </c>
      <c r="K247" s="57" t="e">
        <f t="shared" ca="1" si="0"/>
        <v>#NAME?</v>
      </c>
    </row>
    <row r="248" spans="3:11">
      <c r="C248" s="55" t="s">
        <v>993</v>
      </c>
      <c r="D248" s="48">
        <v>126</v>
      </c>
      <c r="E248" s="48">
        <v>234</v>
      </c>
      <c r="F248" s="48">
        <v>14</v>
      </c>
      <c r="G248" s="48">
        <v>248</v>
      </c>
      <c r="H248" s="48" t="s">
        <v>994</v>
      </c>
      <c r="I248" s="48" t="s">
        <v>844</v>
      </c>
      <c r="J248" s="58">
        <v>1</v>
      </c>
      <c r="K248" s="57" t="e">
        <f t="shared" ca="1" si="0"/>
        <v>#NAME?</v>
      </c>
    </row>
    <row r="249" spans="3:11">
      <c r="C249" s="55" t="s">
        <v>995</v>
      </c>
      <c r="D249" s="48">
        <v>125</v>
      </c>
      <c r="E249" s="48">
        <v>151</v>
      </c>
      <c r="F249" s="48">
        <v>0</v>
      </c>
      <c r="G249" s="48">
        <v>151</v>
      </c>
      <c r="H249" s="48" t="s">
        <v>923</v>
      </c>
      <c r="I249" s="48" t="s">
        <v>996</v>
      </c>
      <c r="J249" s="58">
        <v>0.99</v>
      </c>
      <c r="K249" s="57" t="e">
        <f t="shared" ca="1" si="0"/>
        <v>#NAME?</v>
      </c>
    </row>
    <row r="250" spans="3:11">
      <c r="C250" s="55" t="s">
        <v>997</v>
      </c>
      <c r="D250" s="48">
        <v>125</v>
      </c>
      <c r="E250" s="48">
        <v>408</v>
      </c>
      <c r="F250" s="48">
        <v>2</v>
      </c>
      <c r="G250" s="48">
        <v>410</v>
      </c>
      <c r="H250" s="48" t="s">
        <v>998</v>
      </c>
      <c r="I250" s="48" t="s">
        <v>428</v>
      </c>
      <c r="J250" s="58">
        <v>1</v>
      </c>
      <c r="K250" s="57" t="e">
        <f t="shared" ca="1" si="0"/>
        <v>#NAME?</v>
      </c>
    </row>
    <row r="251" spans="3:11">
      <c r="C251" s="55" t="s">
        <v>999</v>
      </c>
      <c r="D251" s="48">
        <v>125</v>
      </c>
      <c r="E251" s="48">
        <v>271</v>
      </c>
      <c r="F251" s="48">
        <v>1</v>
      </c>
      <c r="G251" s="48">
        <v>272</v>
      </c>
      <c r="H251" s="48" t="s">
        <v>1000</v>
      </c>
      <c r="I251" s="48" t="s">
        <v>422</v>
      </c>
      <c r="J251" s="58">
        <v>0.98</v>
      </c>
      <c r="K251" s="57" t="e">
        <f t="shared" ca="1" si="0"/>
        <v>#NAME?</v>
      </c>
    </row>
    <row r="252" spans="3:11">
      <c r="C252" s="55" t="s">
        <v>1001</v>
      </c>
      <c r="D252" s="48">
        <v>124</v>
      </c>
      <c r="E252" s="48">
        <v>225</v>
      </c>
      <c r="F252" s="48">
        <v>28</v>
      </c>
      <c r="G252" s="48">
        <v>253</v>
      </c>
      <c r="H252" s="48" t="s">
        <v>1002</v>
      </c>
      <c r="I252" s="48" t="s">
        <v>1003</v>
      </c>
      <c r="J252" s="58">
        <v>1</v>
      </c>
      <c r="K252" s="57" t="e">
        <f t="shared" ca="1" si="0"/>
        <v>#NAME?</v>
      </c>
    </row>
    <row r="253" spans="3:11">
      <c r="C253" s="55" t="s">
        <v>1004</v>
      </c>
      <c r="D253" s="48">
        <v>124</v>
      </c>
      <c r="E253" s="48">
        <v>343</v>
      </c>
      <c r="F253" s="48">
        <v>0</v>
      </c>
      <c r="G253" s="48">
        <v>343</v>
      </c>
      <c r="J253" s="58">
        <v>0.99</v>
      </c>
      <c r="K253" s="57" t="e">
        <f t="shared" ca="1" si="0"/>
        <v>#NAME?</v>
      </c>
    </row>
    <row r="254" spans="3:11">
      <c r="C254" s="55" t="s">
        <v>1005</v>
      </c>
      <c r="D254" s="48">
        <v>123</v>
      </c>
      <c r="E254" s="48">
        <v>77</v>
      </c>
      <c r="F254" s="48">
        <v>0</v>
      </c>
      <c r="G254" s="48">
        <v>77</v>
      </c>
      <c r="H254" s="48" t="s">
        <v>1006</v>
      </c>
      <c r="I254" s="48" t="s">
        <v>1007</v>
      </c>
      <c r="J254" s="58">
        <v>0.99</v>
      </c>
      <c r="K254" s="57" t="e">
        <f t="shared" ca="1" si="0"/>
        <v>#NAME?</v>
      </c>
    </row>
    <row r="255" spans="3:11">
      <c r="C255" s="55" t="s">
        <v>1008</v>
      </c>
      <c r="D255" s="48">
        <v>122</v>
      </c>
      <c r="E255" s="48">
        <v>60</v>
      </c>
      <c r="F255" s="48">
        <v>0</v>
      </c>
      <c r="G255" s="48">
        <v>60</v>
      </c>
      <c r="H255" s="48" t="s">
        <v>1009</v>
      </c>
      <c r="I255" s="48" t="s">
        <v>1010</v>
      </c>
      <c r="J255" s="58">
        <v>0.97</v>
      </c>
      <c r="K255" s="57" t="e">
        <f t="shared" ca="1" si="0"/>
        <v>#NAME?</v>
      </c>
    </row>
    <row r="256" spans="3:11">
      <c r="C256" s="55" t="s">
        <v>1011</v>
      </c>
      <c r="D256" s="48">
        <v>121</v>
      </c>
      <c r="E256" s="48">
        <v>318</v>
      </c>
      <c r="F256" s="48">
        <v>0</v>
      </c>
      <c r="G256" s="48">
        <v>318</v>
      </c>
      <c r="H256" s="48" t="s">
        <v>1012</v>
      </c>
      <c r="I256" s="48" t="s">
        <v>1013</v>
      </c>
      <c r="J256" s="58">
        <v>0.86</v>
      </c>
      <c r="K256" s="57" t="e">
        <f t="shared" ca="1" si="0"/>
        <v>#NAME?</v>
      </c>
    </row>
    <row r="257" spans="3:11">
      <c r="C257" s="55" t="s">
        <v>1014</v>
      </c>
      <c r="D257" s="48">
        <v>120</v>
      </c>
      <c r="E257" s="48">
        <v>199</v>
      </c>
      <c r="F257" s="48">
        <v>0</v>
      </c>
      <c r="G257" s="48">
        <v>199</v>
      </c>
      <c r="H257" s="48" t="s">
        <v>736</v>
      </c>
      <c r="I257" s="48" t="s">
        <v>807</v>
      </c>
      <c r="J257" s="58">
        <v>0.84</v>
      </c>
      <c r="K257" s="57" t="e">
        <f t="shared" ref="K257:K404" ca="1" si="1">"https://www.google.com/search?q=" &amp; ENCODEURL(C257 &amp; " franchise times site:franchisetimes.com/top-400-2024")</f>
        <v>#NAME?</v>
      </c>
    </row>
    <row r="258" spans="3:11">
      <c r="C258" s="55" t="s">
        <v>1015</v>
      </c>
      <c r="D258" s="48">
        <v>120</v>
      </c>
      <c r="E258" s="48">
        <v>104</v>
      </c>
      <c r="F258" s="48">
        <v>11</v>
      </c>
      <c r="G258" s="48">
        <v>115</v>
      </c>
      <c r="H258" s="48" t="s">
        <v>484</v>
      </c>
      <c r="I258" s="48" t="s">
        <v>504</v>
      </c>
      <c r="J258" s="58">
        <v>1</v>
      </c>
      <c r="K258" s="57" t="e">
        <f t="shared" ca="1" si="1"/>
        <v>#NAME?</v>
      </c>
    </row>
    <row r="259" spans="3:11">
      <c r="C259" s="55" t="s">
        <v>1016</v>
      </c>
      <c r="D259" s="48">
        <v>120</v>
      </c>
      <c r="E259" s="48">
        <v>48</v>
      </c>
      <c r="F259" s="48">
        <v>0</v>
      </c>
      <c r="G259" s="48">
        <v>48</v>
      </c>
      <c r="H259" s="48" t="s">
        <v>619</v>
      </c>
      <c r="I259" s="48" t="s">
        <v>1017</v>
      </c>
      <c r="J259" s="58">
        <v>0.42</v>
      </c>
      <c r="K259" s="57" t="e">
        <f t="shared" ca="1" si="1"/>
        <v>#NAME?</v>
      </c>
    </row>
    <row r="260" spans="3:11">
      <c r="C260" s="55" t="s">
        <v>1018</v>
      </c>
      <c r="D260" s="48">
        <v>117</v>
      </c>
      <c r="E260" s="48">
        <v>232</v>
      </c>
      <c r="F260" s="48">
        <v>0</v>
      </c>
      <c r="G260" s="48">
        <v>232</v>
      </c>
      <c r="H260" s="48" t="s">
        <v>461</v>
      </c>
      <c r="I260" s="48" t="s">
        <v>656</v>
      </c>
      <c r="J260" s="58">
        <v>0.94</v>
      </c>
      <c r="K260" s="57" t="e">
        <f t="shared" ca="1" si="1"/>
        <v>#NAME?</v>
      </c>
    </row>
    <row r="261" spans="3:11">
      <c r="C261" s="55" t="s">
        <v>1019</v>
      </c>
      <c r="D261" s="48">
        <v>117</v>
      </c>
      <c r="E261" s="48">
        <v>80</v>
      </c>
      <c r="F261" s="48">
        <v>0</v>
      </c>
      <c r="G261" s="48">
        <v>80</v>
      </c>
      <c r="H261" s="48" t="s">
        <v>448</v>
      </c>
      <c r="I261" s="48" t="s">
        <v>504</v>
      </c>
      <c r="J261" s="58">
        <v>0.68</v>
      </c>
      <c r="K261" s="57" t="e">
        <f t="shared" ca="1" si="1"/>
        <v>#NAME?</v>
      </c>
    </row>
    <row r="262" spans="3:11">
      <c r="C262" s="55" t="s">
        <v>1020</v>
      </c>
      <c r="D262" s="48">
        <v>117</v>
      </c>
      <c r="E262" s="48">
        <v>91</v>
      </c>
      <c r="F262" s="48">
        <v>0</v>
      </c>
      <c r="G262" s="48">
        <v>91</v>
      </c>
      <c r="H262" s="48" t="s">
        <v>479</v>
      </c>
      <c r="I262" s="48" t="s">
        <v>504</v>
      </c>
      <c r="J262" s="58">
        <v>0.93</v>
      </c>
      <c r="K262" s="57" t="e">
        <f t="shared" ca="1" si="1"/>
        <v>#NAME?</v>
      </c>
    </row>
    <row r="263" spans="3:11">
      <c r="C263" s="55" t="s">
        <v>1021</v>
      </c>
      <c r="D263" s="48">
        <v>116</v>
      </c>
      <c r="E263" s="48">
        <v>226</v>
      </c>
      <c r="F263" s="48">
        <v>0</v>
      </c>
      <c r="G263" s="48">
        <v>226</v>
      </c>
      <c r="H263" s="48" t="s">
        <v>1022</v>
      </c>
      <c r="I263" s="48" t="s">
        <v>1023</v>
      </c>
      <c r="J263" s="58">
        <v>0.3</v>
      </c>
      <c r="K263" s="57" t="e">
        <f t="shared" ca="1" si="1"/>
        <v>#NAME?</v>
      </c>
    </row>
    <row r="264" spans="3:11">
      <c r="C264" s="55" t="s">
        <v>1024</v>
      </c>
      <c r="D264" s="48">
        <v>115</v>
      </c>
      <c r="E264" s="48">
        <v>124</v>
      </c>
      <c r="F264" s="48">
        <v>32</v>
      </c>
      <c r="G264" s="48">
        <v>156</v>
      </c>
      <c r="J264" s="58">
        <v>1</v>
      </c>
      <c r="K264" s="57" t="e">
        <f t="shared" ca="1" si="1"/>
        <v>#NAME?</v>
      </c>
    </row>
    <row r="265" spans="3:11">
      <c r="C265" s="55" t="s">
        <v>1025</v>
      </c>
      <c r="D265" s="48">
        <v>112</v>
      </c>
      <c r="E265" s="48">
        <v>159</v>
      </c>
      <c r="F265" s="48">
        <v>5</v>
      </c>
      <c r="G265" s="48">
        <v>164</v>
      </c>
      <c r="H265" s="48" t="s">
        <v>561</v>
      </c>
      <c r="I265" s="48" t="s">
        <v>448</v>
      </c>
      <c r="J265" s="58">
        <v>1</v>
      </c>
      <c r="K265" s="57" t="e">
        <f t="shared" ca="1" si="1"/>
        <v>#NAME?</v>
      </c>
    </row>
    <row r="266" spans="3:11">
      <c r="C266" s="55" t="s">
        <v>1026</v>
      </c>
      <c r="D266" s="48">
        <v>111</v>
      </c>
      <c r="E266" s="48">
        <v>274</v>
      </c>
      <c r="F266" s="48">
        <v>12</v>
      </c>
      <c r="G266" s="48">
        <v>286</v>
      </c>
      <c r="H266" s="48" t="s">
        <v>693</v>
      </c>
      <c r="I266" s="48" t="s">
        <v>802</v>
      </c>
      <c r="J266" s="58">
        <v>1</v>
      </c>
      <c r="K266" s="57" t="e">
        <f t="shared" ca="1" si="1"/>
        <v>#NAME?</v>
      </c>
    </row>
    <row r="267" spans="3:11">
      <c r="C267" s="55" t="s">
        <v>1027</v>
      </c>
      <c r="D267" s="48">
        <v>109</v>
      </c>
      <c r="E267" s="48">
        <v>335</v>
      </c>
      <c r="F267" s="48">
        <v>0</v>
      </c>
      <c r="G267" s="48">
        <v>335</v>
      </c>
      <c r="H267" s="48" t="s">
        <v>1028</v>
      </c>
      <c r="I267" s="48" t="s">
        <v>1029</v>
      </c>
      <c r="J267" s="58">
        <v>0.99</v>
      </c>
      <c r="K267" s="57" t="e">
        <f t="shared" ca="1" si="1"/>
        <v>#NAME?</v>
      </c>
    </row>
    <row r="268" spans="3:11">
      <c r="C268" s="55" t="s">
        <v>1030</v>
      </c>
      <c r="D268" s="48">
        <v>108</v>
      </c>
      <c r="E268" s="48">
        <v>197</v>
      </c>
      <c r="F268" s="48">
        <v>0</v>
      </c>
      <c r="G268" s="48">
        <v>197</v>
      </c>
      <c r="H268" s="48" t="s">
        <v>1031</v>
      </c>
      <c r="I268" s="48" t="s">
        <v>747</v>
      </c>
      <c r="J268" s="58">
        <v>1</v>
      </c>
      <c r="K268" s="57" t="e">
        <f t="shared" ca="1" si="1"/>
        <v>#NAME?</v>
      </c>
    </row>
    <row r="269" spans="3:11">
      <c r="C269" s="55" t="s">
        <v>1032</v>
      </c>
      <c r="D269" s="48">
        <v>107</v>
      </c>
      <c r="E269" s="48">
        <v>163</v>
      </c>
      <c r="F269" s="48">
        <v>110</v>
      </c>
      <c r="G269" s="48">
        <v>273</v>
      </c>
      <c r="H269" s="48" t="s">
        <v>1033</v>
      </c>
      <c r="I269" s="48" t="s">
        <v>1034</v>
      </c>
      <c r="J269" s="58">
        <v>1</v>
      </c>
      <c r="K269" s="57" t="e">
        <f t="shared" ca="1" si="1"/>
        <v>#NAME?</v>
      </c>
    </row>
    <row r="270" spans="3:11">
      <c r="C270" s="55" t="s">
        <v>1035</v>
      </c>
      <c r="D270" s="48">
        <v>106</v>
      </c>
      <c r="E270" s="48">
        <v>124</v>
      </c>
      <c r="F270" s="48">
        <v>0</v>
      </c>
      <c r="G270" s="48">
        <v>124</v>
      </c>
      <c r="H270" s="48" t="s">
        <v>1036</v>
      </c>
      <c r="I270" s="48" t="s">
        <v>1037</v>
      </c>
      <c r="J270" s="58">
        <v>0.96</v>
      </c>
      <c r="K270" s="57" t="e">
        <f t="shared" ca="1" si="1"/>
        <v>#NAME?</v>
      </c>
    </row>
    <row r="271" spans="3:11">
      <c r="C271" s="55" t="s">
        <v>1038</v>
      </c>
      <c r="D271" s="48">
        <v>104</v>
      </c>
      <c r="E271" s="48">
        <v>122</v>
      </c>
      <c r="F271" s="48">
        <v>52</v>
      </c>
      <c r="G271" s="48">
        <v>174</v>
      </c>
      <c r="H271" s="48" t="s">
        <v>636</v>
      </c>
      <c r="I271" s="48" t="s">
        <v>683</v>
      </c>
      <c r="J271" s="58">
        <v>1</v>
      </c>
      <c r="K271" s="57" t="e">
        <f t="shared" ca="1" si="1"/>
        <v>#NAME?</v>
      </c>
    </row>
    <row r="272" spans="3:11">
      <c r="C272" s="55" t="s">
        <v>1039</v>
      </c>
      <c r="D272" s="48">
        <v>104</v>
      </c>
      <c r="E272" s="48">
        <v>68</v>
      </c>
      <c r="F272" s="48">
        <v>0</v>
      </c>
      <c r="G272" s="48">
        <v>68</v>
      </c>
      <c r="H272" s="48" t="s">
        <v>708</v>
      </c>
      <c r="I272" s="48" t="s">
        <v>1040</v>
      </c>
      <c r="J272" s="58">
        <v>0.31</v>
      </c>
      <c r="K272" s="57" t="e">
        <f t="shared" ca="1" si="1"/>
        <v>#NAME?</v>
      </c>
    </row>
    <row r="273" spans="3:11">
      <c r="C273" s="55" t="s">
        <v>1041</v>
      </c>
      <c r="D273" s="48">
        <v>104</v>
      </c>
      <c r="E273" s="48">
        <v>49</v>
      </c>
      <c r="F273" s="48">
        <v>2</v>
      </c>
      <c r="G273" s="48">
        <v>51</v>
      </c>
      <c r="H273" s="48" t="s">
        <v>495</v>
      </c>
      <c r="I273" s="48" t="s">
        <v>682</v>
      </c>
      <c r="J273" s="58">
        <v>0.78</v>
      </c>
      <c r="K273" s="57" t="e">
        <f t="shared" ca="1" si="1"/>
        <v>#NAME?</v>
      </c>
    </row>
    <row r="274" spans="3:11">
      <c r="C274" s="55" t="s">
        <v>1042</v>
      </c>
      <c r="D274" s="48">
        <v>104</v>
      </c>
      <c r="E274" s="48">
        <v>375</v>
      </c>
      <c r="F274" s="48">
        <v>0</v>
      </c>
      <c r="G274" s="48">
        <v>375</v>
      </c>
      <c r="H274" s="48" t="s">
        <v>473</v>
      </c>
      <c r="I274" s="48" t="s">
        <v>1043</v>
      </c>
      <c r="J274" s="58">
        <v>1</v>
      </c>
      <c r="K274" s="57" t="e">
        <f t="shared" ca="1" si="1"/>
        <v>#NAME?</v>
      </c>
    </row>
    <row r="275" spans="3:11">
      <c r="C275" s="55" t="s">
        <v>1044</v>
      </c>
      <c r="D275" s="48">
        <v>103</v>
      </c>
      <c r="E275" s="48">
        <v>546</v>
      </c>
      <c r="F275" s="48">
        <v>0</v>
      </c>
      <c r="G275" s="48">
        <v>546</v>
      </c>
      <c r="H275" s="48" t="s">
        <v>658</v>
      </c>
      <c r="I275" s="48" t="s">
        <v>1045</v>
      </c>
      <c r="J275" s="58">
        <v>0.91</v>
      </c>
      <c r="K275" s="57" t="e">
        <f t="shared" ca="1" si="1"/>
        <v>#NAME?</v>
      </c>
    </row>
    <row r="276" spans="3:11">
      <c r="C276" s="55" t="s">
        <v>1046</v>
      </c>
      <c r="D276" s="48">
        <v>103</v>
      </c>
      <c r="E276" s="48">
        <v>188</v>
      </c>
      <c r="F276" s="48">
        <v>8</v>
      </c>
      <c r="G276" s="48">
        <v>196</v>
      </c>
      <c r="H276" s="48" t="s">
        <v>666</v>
      </c>
      <c r="I276" s="48" t="s">
        <v>1047</v>
      </c>
      <c r="J276" s="58">
        <v>0.99</v>
      </c>
      <c r="K276" s="57" t="e">
        <f t="shared" ca="1" si="1"/>
        <v>#NAME?</v>
      </c>
    </row>
    <row r="277" spans="3:11">
      <c r="C277" s="55" t="s">
        <v>1048</v>
      </c>
      <c r="D277" s="48">
        <v>102</v>
      </c>
      <c r="E277" s="48">
        <v>246</v>
      </c>
      <c r="F277" s="48">
        <v>136</v>
      </c>
      <c r="G277" s="48">
        <v>382</v>
      </c>
      <c r="H277" s="48" t="s">
        <v>1049</v>
      </c>
      <c r="I277" s="48" t="s">
        <v>592</v>
      </c>
      <c r="J277" s="58">
        <v>1</v>
      </c>
      <c r="K277" s="57" t="e">
        <f t="shared" ca="1" si="1"/>
        <v>#NAME?</v>
      </c>
    </row>
    <row r="278" spans="3:11">
      <c r="C278" s="55" t="s">
        <v>1050</v>
      </c>
      <c r="D278" s="48">
        <v>101</v>
      </c>
      <c r="E278" s="48">
        <v>311</v>
      </c>
      <c r="F278" s="48">
        <v>8</v>
      </c>
      <c r="G278" s="48">
        <v>319</v>
      </c>
      <c r="H278" s="48" t="s">
        <v>725</v>
      </c>
      <c r="I278" s="48" t="s">
        <v>1051</v>
      </c>
      <c r="J278" s="58">
        <v>0.93</v>
      </c>
      <c r="K278" s="57" t="e">
        <f t="shared" ca="1" si="1"/>
        <v>#NAME?</v>
      </c>
    </row>
    <row r="279" spans="3:11">
      <c r="C279" s="55" t="s">
        <v>1052</v>
      </c>
      <c r="D279" s="48">
        <v>99</v>
      </c>
      <c r="E279" s="48">
        <v>172</v>
      </c>
      <c r="F279" s="48">
        <v>5</v>
      </c>
      <c r="G279" s="48">
        <v>177</v>
      </c>
      <c r="H279" s="48" t="s">
        <v>1053</v>
      </c>
      <c r="I279" s="48" t="s">
        <v>683</v>
      </c>
      <c r="J279" s="58">
        <v>1</v>
      </c>
      <c r="K279" s="57" t="e">
        <f t="shared" ca="1" si="1"/>
        <v>#NAME?</v>
      </c>
    </row>
    <row r="280" spans="3:11">
      <c r="C280" s="55" t="s">
        <v>1054</v>
      </c>
      <c r="D280" s="48">
        <v>99</v>
      </c>
      <c r="E280" s="48">
        <v>398</v>
      </c>
      <c r="F280" s="48">
        <v>0</v>
      </c>
      <c r="G280" s="48">
        <v>398</v>
      </c>
      <c r="J280" s="58">
        <v>1</v>
      </c>
      <c r="K280" s="57" t="e">
        <f t="shared" ca="1" si="1"/>
        <v>#NAME?</v>
      </c>
    </row>
    <row r="281" spans="3:11">
      <c r="C281" s="55" t="s">
        <v>1055</v>
      </c>
      <c r="D281" s="48">
        <v>98</v>
      </c>
      <c r="E281" s="48">
        <v>37</v>
      </c>
      <c r="F281" s="48">
        <v>0</v>
      </c>
      <c r="G281" s="48">
        <v>37</v>
      </c>
      <c r="H281" s="48" t="s">
        <v>466</v>
      </c>
      <c r="I281" s="48" t="s">
        <v>611</v>
      </c>
      <c r="J281" s="58">
        <v>0.97</v>
      </c>
      <c r="K281" s="57" t="e">
        <f t="shared" ca="1" si="1"/>
        <v>#NAME?</v>
      </c>
    </row>
    <row r="282" spans="3:11">
      <c r="C282" s="55" t="s">
        <v>1056</v>
      </c>
      <c r="D282" s="48" t="s">
        <v>1057</v>
      </c>
      <c r="E282" s="48">
        <v>1954</v>
      </c>
      <c r="F282" s="48">
        <v>0</v>
      </c>
      <c r="G282" s="48">
        <v>1954</v>
      </c>
      <c r="H282" s="48" t="s">
        <v>1058</v>
      </c>
      <c r="I282" s="48" t="s">
        <v>537</v>
      </c>
      <c r="J282" s="58">
        <v>1</v>
      </c>
      <c r="K282" s="57" t="e">
        <f t="shared" ca="1" si="1"/>
        <v>#NAME?</v>
      </c>
    </row>
    <row r="283" spans="3:11">
      <c r="C283" s="55" t="s">
        <v>1059</v>
      </c>
      <c r="D283" s="48">
        <v>96</v>
      </c>
      <c r="E283" s="48">
        <v>88</v>
      </c>
      <c r="F283" s="48">
        <v>0</v>
      </c>
      <c r="G283" s="48">
        <v>88</v>
      </c>
      <c r="J283" s="58">
        <v>0.98</v>
      </c>
      <c r="K283" s="57" t="e">
        <f t="shared" ca="1" si="1"/>
        <v>#NAME?</v>
      </c>
    </row>
    <row r="284" spans="3:11">
      <c r="C284" s="55" t="s">
        <v>1060</v>
      </c>
      <c r="D284" s="48" t="s">
        <v>1061</v>
      </c>
      <c r="E284" s="48">
        <v>256</v>
      </c>
      <c r="F284" s="48">
        <v>9</v>
      </c>
      <c r="G284" s="48">
        <v>265</v>
      </c>
      <c r="H284" s="48" t="s">
        <v>1062</v>
      </c>
      <c r="I284" s="48" t="s">
        <v>775</v>
      </c>
      <c r="J284" s="58">
        <v>1</v>
      </c>
      <c r="K284" s="57" t="e">
        <f t="shared" ca="1" si="1"/>
        <v>#NAME?</v>
      </c>
    </row>
    <row r="285" spans="3:11">
      <c r="C285" s="55" t="s">
        <v>1063</v>
      </c>
      <c r="D285" s="48">
        <v>95</v>
      </c>
      <c r="E285" s="48">
        <v>116</v>
      </c>
      <c r="F285" s="48">
        <v>0</v>
      </c>
      <c r="G285" s="48">
        <v>116</v>
      </c>
      <c r="H285" s="48" t="s">
        <v>1064</v>
      </c>
      <c r="I285" s="48" t="s">
        <v>545</v>
      </c>
      <c r="J285" s="58">
        <v>0.89</v>
      </c>
      <c r="K285" s="57" t="e">
        <f t="shared" ca="1" si="1"/>
        <v>#NAME?</v>
      </c>
    </row>
    <row r="286" spans="3:11">
      <c r="C286" s="55" t="s">
        <v>1065</v>
      </c>
      <c r="D286" s="48">
        <v>93</v>
      </c>
      <c r="E286" s="48">
        <v>328</v>
      </c>
      <c r="F286" s="48">
        <v>3</v>
      </c>
      <c r="G286" s="48">
        <v>331</v>
      </c>
      <c r="H286" s="48" t="s">
        <v>1066</v>
      </c>
      <c r="I286" s="48" t="s">
        <v>1067</v>
      </c>
      <c r="J286" s="58">
        <v>0.98</v>
      </c>
      <c r="K286" s="57" t="e">
        <f t="shared" ca="1" si="1"/>
        <v>#NAME?</v>
      </c>
    </row>
    <row r="287" spans="3:11">
      <c r="C287" s="55" t="s">
        <v>1068</v>
      </c>
      <c r="D287" s="48">
        <v>92</v>
      </c>
      <c r="E287" s="48">
        <v>194</v>
      </c>
      <c r="F287" s="48">
        <v>0</v>
      </c>
      <c r="G287" s="48">
        <v>194</v>
      </c>
      <c r="H287" s="48" t="s">
        <v>556</v>
      </c>
      <c r="I287" s="48" t="s">
        <v>1069</v>
      </c>
      <c r="J287" s="58">
        <v>1</v>
      </c>
      <c r="K287" s="57" t="e">
        <f t="shared" ca="1" si="1"/>
        <v>#NAME?</v>
      </c>
    </row>
    <row r="288" spans="3:11">
      <c r="C288" s="55" t="s">
        <v>1070</v>
      </c>
      <c r="D288" s="48" t="s">
        <v>1071</v>
      </c>
      <c r="E288" s="48">
        <v>379</v>
      </c>
      <c r="F288" s="48">
        <v>0</v>
      </c>
      <c r="G288" s="48">
        <v>379</v>
      </c>
      <c r="H288" s="48" t="s">
        <v>1072</v>
      </c>
      <c r="I288" s="48" t="s">
        <v>545</v>
      </c>
      <c r="J288" s="58">
        <v>0.97</v>
      </c>
      <c r="K288" s="57" t="e">
        <f t="shared" ca="1" si="1"/>
        <v>#NAME?</v>
      </c>
    </row>
    <row r="289" spans="3:11">
      <c r="C289" s="55" t="s">
        <v>1073</v>
      </c>
      <c r="D289" s="48">
        <v>92</v>
      </c>
      <c r="E289" s="48">
        <v>182</v>
      </c>
      <c r="F289" s="48">
        <v>3</v>
      </c>
      <c r="G289" s="48">
        <v>185</v>
      </c>
      <c r="H289" s="48" t="s">
        <v>682</v>
      </c>
      <c r="I289" s="48" t="s">
        <v>733</v>
      </c>
      <c r="J289" s="58">
        <v>1</v>
      </c>
      <c r="K289" s="57" t="e">
        <f t="shared" ca="1" si="1"/>
        <v>#NAME?</v>
      </c>
    </row>
    <row r="290" spans="3:11">
      <c r="C290" s="55" t="s">
        <v>1074</v>
      </c>
      <c r="D290" s="48">
        <v>92</v>
      </c>
      <c r="E290" s="48">
        <v>120</v>
      </c>
      <c r="F290" s="48">
        <v>0</v>
      </c>
      <c r="G290" s="48">
        <v>120</v>
      </c>
      <c r="H290" s="48" t="s">
        <v>666</v>
      </c>
      <c r="I290" s="48" t="s">
        <v>504</v>
      </c>
      <c r="J290" s="58">
        <v>0.84</v>
      </c>
      <c r="K290" s="57" t="e">
        <f t="shared" ca="1" si="1"/>
        <v>#NAME?</v>
      </c>
    </row>
    <row r="291" spans="3:11">
      <c r="C291" s="55" t="s">
        <v>1075</v>
      </c>
      <c r="D291" s="48">
        <v>90</v>
      </c>
      <c r="E291" s="48">
        <v>102</v>
      </c>
      <c r="F291" s="48">
        <v>0</v>
      </c>
      <c r="G291" s="48">
        <v>102</v>
      </c>
      <c r="H291" s="48" t="s">
        <v>1076</v>
      </c>
      <c r="I291" s="48" t="s">
        <v>504</v>
      </c>
      <c r="J291" s="58">
        <v>1</v>
      </c>
      <c r="K291" s="57" t="e">
        <f t="shared" ca="1" si="1"/>
        <v>#NAME?</v>
      </c>
    </row>
    <row r="292" spans="3:11">
      <c r="C292" s="55" t="s">
        <v>1077</v>
      </c>
      <c r="D292" s="48">
        <v>90</v>
      </c>
      <c r="E292" s="48">
        <v>96</v>
      </c>
      <c r="F292" s="48">
        <v>0</v>
      </c>
      <c r="G292" s="48">
        <v>96</v>
      </c>
      <c r="H292" s="48" t="s">
        <v>509</v>
      </c>
      <c r="I292" s="48" t="s">
        <v>521</v>
      </c>
      <c r="J292" s="58">
        <v>0.98</v>
      </c>
      <c r="K292" s="57" t="e">
        <f t="shared" ca="1" si="1"/>
        <v>#NAME?</v>
      </c>
    </row>
    <row r="293" spans="3:11">
      <c r="C293" s="55" t="s">
        <v>1078</v>
      </c>
      <c r="D293" s="48">
        <v>90</v>
      </c>
      <c r="E293" s="48">
        <v>118</v>
      </c>
      <c r="F293" s="48">
        <v>0</v>
      </c>
      <c r="G293" s="48">
        <v>118</v>
      </c>
      <c r="H293" s="48" t="s">
        <v>663</v>
      </c>
      <c r="I293" s="48" t="s">
        <v>1079</v>
      </c>
      <c r="J293" s="58">
        <v>0.95</v>
      </c>
      <c r="K293" s="57" t="e">
        <f t="shared" ca="1" si="1"/>
        <v>#NAME?</v>
      </c>
    </row>
    <row r="294" spans="3:11">
      <c r="C294" s="55" t="s">
        <v>1080</v>
      </c>
      <c r="D294" s="48">
        <v>89</v>
      </c>
      <c r="E294" s="48">
        <v>126</v>
      </c>
      <c r="F294" s="48">
        <v>0</v>
      </c>
      <c r="G294" s="48">
        <v>126</v>
      </c>
      <c r="H294" s="48" t="s">
        <v>1081</v>
      </c>
      <c r="I294" s="48" t="s">
        <v>627</v>
      </c>
      <c r="J294" s="58">
        <v>1</v>
      </c>
      <c r="K294" s="57" t="e">
        <f t="shared" ca="1" si="1"/>
        <v>#NAME?</v>
      </c>
    </row>
    <row r="295" spans="3:11">
      <c r="C295" s="55" t="s">
        <v>1082</v>
      </c>
      <c r="D295" s="48">
        <v>89</v>
      </c>
      <c r="E295" s="48">
        <v>117</v>
      </c>
      <c r="F295" s="48">
        <v>0</v>
      </c>
      <c r="G295" s="48">
        <v>117</v>
      </c>
      <c r="H295" s="48" t="s">
        <v>1012</v>
      </c>
      <c r="I295" s="48" t="s">
        <v>1083</v>
      </c>
      <c r="J295" s="58">
        <v>1</v>
      </c>
      <c r="K295" s="57" t="e">
        <f t="shared" ca="1" si="1"/>
        <v>#NAME?</v>
      </c>
    </row>
    <row r="296" spans="3:11">
      <c r="C296" s="55" t="s">
        <v>1084</v>
      </c>
      <c r="D296" s="48">
        <v>88</v>
      </c>
      <c r="E296" s="48">
        <v>36</v>
      </c>
      <c r="F296" s="48">
        <v>0</v>
      </c>
      <c r="G296" s="48">
        <v>36</v>
      </c>
      <c r="H296" s="48" t="s">
        <v>1085</v>
      </c>
      <c r="I296" s="48" t="s">
        <v>1086</v>
      </c>
      <c r="J296" s="58">
        <v>0.97</v>
      </c>
      <c r="K296" s="57" t="e">
        <f t="shared" ca="1" si="1"/>
        <v>#NAME?</v>
      </c>
    </row>
    <row r="297" spans="3:11">
      <c r="C297" s="55" t="s">
        <v>1087</v>
      </c>
      <c r="D297" s="48">
        <v>87</v>
      </c>
      <c r="E297" s="48">
        <v>151</v>
      </c>
      <c r="F297" s="48">
        <v>0</v>
      </c>
      <c r="G297" s="48">
        <v>151</v>
      </c>
      <c r="H297" s="48" t="s">
        <v>1088</v>
      </c>
      <c r="I297" s="48" t="s">
        <v>559</v>
      </c>
      <c r="J297" s="58">
        <v>0.98</v>
      </c>
      <c r="K297" s="57" t="e">
        <f t="shared" ca="1" si="1"/>
        <v>#NAME?</v>
      </c>
    </row>
    <row r="298" spans="3:11">
      <c r="C298" s="55" t="s">
        <v>1089</v>
      </c>
      <c r="D298" s="48">
        <v>86</v>
      </c>
      <c r="E298" s="48">
        <v>84</v>
      </c>
      <c r="F298" s="48">
        <v>3</v>
      </c>
      <c r="G298" s="48">
        <v>87</v>
      </c>
      <c r="H298" s="48" t="s">
        <v>775</v>
      </c>
      <c r="I298" s="48" t="s">
        <v>555</v>
      </c>
      <c r="J298" s="58">
        <v>0.97</v>
      </c>
      <c r="K298" s="57" t="e">
        <f t="shared" ca="1" si="1"/>
        <v>#NAME?</v>
      </c>
    </row>
    <row r="299" spans="3:11">
      <c r="C299" s="55" t="s">
        <v>1090</v>
      </c>
      <c r="D299" s="48">
        <v>86</v>
      </c>
      <c r="E299" s="48">
        <v>111</v>
      </c>
      <c r="F299" s="48">
        <v>0</v>
      </c>
      <c r="G299" s="48">
        <v>111</v>
      </c>
      <c r="H299" s="48" t="s">
        <v>1091</v>
      </c>
      <c r="I299" s="48" t="s">
        <v>1012</v>
      </c>
      <c r="J299" s="58">
        <v>1</v>
      </c>
      <c r="K299" s="57" t="e">
        <f t="shared" ca="1" si="1"/>
        <v>#NAME?</v>
      </c>
    </row>
    <row r="300" spans="3:11">
      <c r="C300" s="55" t="s">
        <v>1092</v>
      </c>
      <c r="D300" s="48">
        <v>85</v>
      </c>
      <c r="E300" s="48">
        <v>92</v>
      </c>
      <c r="F300" s="48">
        <v>0</v>
      </c>
      <c r="G300" s="48">
        <v>92</v>
      </c>
      <c r="H300" s="48" t="s">
        <v>1093</v>
      </c>
      <c r="I300" s="48" t="s">
        <v>1094</v>
      </c>
      <c r="J300" s="58">
        <v>0.46</v>
      </c>
      <c r="K300" s="57" t="e">
        <f t="shared" ca="1" si="1"/>
        <v>#NAME?</v>
      </c>
    </row>
    <row r="301" spans="3:11">
      <c r="C301" s="55" t="s">
        <v>1095</v>
      </c>
      <c r="D301" s="48">
        <v>85</v>
      </c>
      <c r="E301" s="48">
        <v>98</v>
      </c>
      <c r="F301" s="48">
        <v>0</v>
      </c>
      <c r="G301" s="48">
        <v>98</v>
      </c>
      <c r="H301" s="48" t="s">
        <v>1096</v>
      </c>
      <c r="I301" s="48" t="s">
        <v>1096</v>
      </c>
      <c r="J301" s="58">
        <v>0.99</v>
      </c>
      <c r="K301" s="57" t="e">
        <f t="shared" ca="1" si="1"/>
        <v>#NAME?</v>
      </c>
    </row>
    <row r="302" spans="3:11">
      <c r="C302" s="55" t="s">
        <v>1097</v>
      </c>
      <c r="D302" s="48">
        <v>85</v>
      </c>
      <c r="E302" s="48">
        <v>443</v>
      </c>
      <c r="F302" s="48">
        <v>36</v>
      </c>
      <c r="G302" s="48">
        <v>479</v>
      </c>
      <c r="H302" s="48" t="s">
        <v>470</v>
      </c>
      <c r="I302" s="48" t="s">
        <v>1098</v>
      </c>
      <c r="J302" s="58">
        <v>1</v>
      </c>
      <c r="K302" s="57" t="e">
        <f t="shared" ca="1" si="1"/>
        <v>#NAME?</v>
      </c>
    </row>
    <row r="303" spans="3:11">
      <c r="C303" s="55" t="s">
        <v>1099</v>
      </c>
      <c r="D303" s="48">
        <v>84</v>
      </c>
      <c r="E303" s="48">
        <v>151</v>
      </c>
      <c r="F303" s="48">
        <v>1</v>
      </c>
      <c r="G303" s="48">
        <v>152</v>
      </c>
      <c r="H303" s="48" t="s">
        <v>458</v>
      </c>
      <c r="I303" s="48" t="s">
        <v>1100</v>
      </c>
      <c r="J303" s="58">
        <v>0.94</v>
      </c>
      <c r="K303" s="57" t="e">
        <f t="shared" ca="1" si="1"/>
        <v>#NAME?</v>
      </c>
    </row>
    <row r="304" spans="3:11">
      <c r="C304" s="55" t="s">
        <v>1101</v>
      </c>
      <c r="D304" s="48">
        <v>84</v>
      </c>
      <c r="E304" s="48">
        <v>79</v>
      </c>
      <c r="F304" s="48">
        <v>0</v>
      </c>
      <c r="G304" s="48">
        <v>79</v>
      </c>
      <c r="H304" s="48" t="s">
        <v>1102</v>
      </c>
      <c r="I304" s="48" t="s">
        <v>510</v>
      </c>
      <c r="J304" s="58">
        <v>0.94</v>
      </c>
      <c r="K304" s="57" t="e">
        <f t="shared" ca="1" si="1"/>
        <v>#NAME?</v>
      </c>
    </row>
    <row r="305" spans="3:11">
      <c r="C305" s="55" t="s">
        <v>1103</v>
      </c>
      <c r="D305" s="48">
        <v>82</v>
      </c>
      <c r="E305" s="48">
        <v>385</v>
      </c>
      <c r="F305" s="48">
        <v>0</v>
      </c>
      <c r="G305" s="48">
        <v>385</v>
      </c>
      <c r="H305" s="48" t="s">
        <v>1104</v>
      </c>
      <c r="I305" s="48" t="s">
        <v>1105</v>
      </c>
      <c r="J305" s="58">
        <v>1</v>
      </c>
      <c r="K305" s="57" t="e">
        <f t="shared" ca="1" si="1"/>
        <v>#NAME?</v>
      </c>
    </row>
    <row r="306" spans="3:11">
      <c r="C306" s="55" t="s">
        <v>1106</v>
      </c>
      <c r="D306" s="48">
        <v>82</v>
      </c>
      <c r="E306" s="48">
        <v>52</v>
      </c>
      <c r="F306" s="48">
        <v>0</v>
      </c>
      <c r="G306" s="48">
        <v>52</v>
      </c>
      <c r="H306" s="48" t="s">
        <v>1107</v>
      </c>
      <c r="I306" s="48" t="s">
        <v>1108</v>
      </c>
      <c r="J306" s="58">
        <v>0.5</v>
      </c>
      <c r="K306" s="57" t="e">
        <f t="shared" ca="1" si="1"/>
        <v>#NAME?</v>
      </c>
    </row>
    <row r="307" spans="3:11">
      <c r="C307" s="55" t="s">
        <v>1109</v>
      </c>
      <c r="D307" s="48">
        <v>82</v>
      </c>
      <c r="E307" s="48">
        <v>68</v>
      </c>
      <c r="F307" s="48">
        <v>0</v>
      </c>
      <c r="G307" s="48">
        <v>68</v>
      </c>
      <c r="H307" s="48" t="s">
        <v>1110</v>
      </c>
      <c r="I307" s="48" t="s">
        <v>1111</v>
      </c>
      <c r="J307" s="58">
        <v>0.87</v>
      </c>
      <c r="K307" s="57" t="e">
        <f t="shared" ca="1" si="1"/>
        <v>#NAME?</v>
      </c>
    </row>
    <row r="308" spans="3:11">
      <c r="C308" s="55" t="s">
        <v>1112</v>
      </c>
      <c r="D308" s="48">
        <v>81</v>
      </c>
      <c r="E308" s="48">
        <v>72</v>
      </c>
      <c r="F308" s="48">
        <v>0</v>
      </c>
      <c r="G308" s="48">
        <v>72</v>
      </c>
      <c r="H308" s="48" t="s">
        <v>1113</v>
      </c>
      <c r="I308" s="48" t="s">
        <v>1114</v>
      </c>
      <c r="J308" s="58">
        <v>0.99</v>
      </c>
      <c r="K308" s="57" t="e">
        <f t="shared" ca="1" si="1"/>
        <v>#NAME?</v>
      </c>
    </row>
    <row r="309" spans="3:11">
      <c r="C309" s="55" t="s">
        <v>1115</v>
      </c>
      <c r="D309" s="48">
        <v>80</v>
      </c>
      <c r="E309" s="48">
        <v>99</v>
      </c>
      <c r="F309" s="48">
        <v>0</v>
      </c>
      <c r="G309" s="48">
        <v>99</v>
      </c>
      <c r="H309" s="48" t="s">
        <v>1116</v>
      </c>
      <c r="I309" s="48" t="s">
        <v>1117</v>
      </c>
      <c r="J309" s="58">
        <v>0.93</v>
      </c>
      <c r="K309" s="57" t="e">
        <f t="shared" ca="1" si="1"/>
        <v>#NAME?</v>
      </c>
    </row>
    <row r="310" spans="3:11">
      <c r="C310" s="55" t="s">
        <v>1118</v>
      </c>
      <c r="D310" s="48" t="s">
        <v>1119</v>
      </c>
      <c r="E310" s="48">
        <v>100</v>
      </c>
      <c r="F310" s="48">
        <v>0</v>
      </c>
      <c r="G310" s="48">
        <v>100</v>
      </c>
      <c r="J310" s="58">
        <v>1</v>
      </c>
      <c r="K310" s="57" t="e">
        <f t="shared" ca="1" si="1"/>
        <v>#NAME?</v>
      </c>
    </row>
    <row r="311" spans="3:11">
      <c r="C311" s="55" t="s">
        <v>1120</v>
      </c>
      <c r="D311" s="48">
        <v>78</v>
      </c>
      <c r="E311" s="48">
        <v>178</v>
      </c>
      <c r="F311" s="48">
        <v>0</v>
      </c>
      <c r="G311" s="48">
        <v>178</v>
      </c>
      <c r="H311" s="48" t="s">
        <v>1121</v>
      </c>
      <c r="I311" s="48" t="s">
        <v>607</v>
      </c>
      <c r="J311" s="58">
        <v>1</v>
      </c>
      <c r="K311" s="57" t="e">
        <f t="shared" ca="1" si="1"/>
        <v>#NAME?</v>
      </c>
    </row>
    <row r="312" spans="3:11">
      <c r="C312" s="55" t="s">
        <v>1122</v>
      </c>
      <c r="D312" s="48">
        <v>78</v>
      </c>
      <c r="E312" s="48">
        <v>71</v>
      </c>
      <c r="F312" s="48">
        <v>0</v>
      </c>
      <c r="G312" s="48">
        <v>71</v>
      </c>
      <c r="H312" s="48" t="s">
        <v>1123</v>
      </c>
      <c r="I312" s="48" t="s">
        <v>630</v>
      </c>
      <c r="J312" s="58">
        <v>0.62</v>
      </c>
      <c r="K312" s="57" t="e">
        <f t="shared" ca="1" si="1"/>
        <v>#NAME?</v>
      </c>
    </row>
    <row r="313" spans="3:11">
      <c r="C313" s="55" t="s">
        <v>1124</v>
      </c>
      <c r="D313" s="48">
        <v>78</v>
      </c>
      <c r="E313" s="48">
        <v>58</v>
      </c>
      <c r="F313" s="48">
        <v>0</v>
      </c>
      <c r="G313" s="48">
        <v>58</v>
      </c>
      <c r="H313" s="48" t="s">
        <v>1062</v>
      </c>
      <c r="I313" s="48" t="s">
        <v>1125</v>
      </c>
      <c r="J313" s="58">
        <v>1</v>
      </c>
      <c r="K313" s="57" t="e">
        <f t="shared" ca="1" si="1"/>
        <v>#NAME?</v>
      </c>
    </row>
    <row r="314" spans="3:11">
      <c r="C314" s="55" t="s">
        <v>1126</v>
      </c>
      <c r="D314" s="48">
        <v>77</v>
      </c>
      <c r="E314" s="48">
        <v>239</v>
      </c>
      <c r="F314" s="48">
        <v>0</v>
      </c>
      <c r="G314" s="48">
        <v>239</v>
      </c>
      <c r="J314" s="58">
        <v>1</v>
      </c>
      <c r="K314" s="57" t="e">
        <f t="shared" ca="1" si="1"/>
        <v>#NAME?</v>
      </c>
    </row>
    <row r="315" spans="3:11">
      <c r="C315" s="55" t="s">
        <v>1127</v>
      </c>
      <c r="D315" s="48">
        <v>77</v>
      </c>
      <c r="E315" s="48">
        <v>173</v>
      </c>
      <c r="F315" s="48">
        <v>4</v>
      </c>
      <c r="G315" s="48">
        <v>177</v>
      </c>
      <c r="H315" s="48" t="s">
        <v>1128</v>
      </c>
      <c r="I315" s="48" t="s">
        <v>1129</v>
      </c>
      <c r="J315" s="58">
        <v>1</v>
      </c>
      <c r="K315" s="57" t="e">
        <f t="shared" ca="1" si="1"/>
        <v>#NAME?</v>
      </c>
    </row>
    <row r="316" spans="3:11">
      <c r="C316" s="55" t="s">
        <v>1130</v>
      </c>
      <c r="D316" s="48">
        <v>77</v>
      </c>
      <c r="E316" s="48">
        <v>34</v>
      </c>
      <c r="F316" s="48">
        <v>0</v>
      </c>
      <c r="G316" s="48">
        <v>34</v>
      </c>
      <c r="H316" s="48" t="s">
        <v>495</v>
      </c>
      <c r="I316" s="48" t="s">
        <v>504</v>
      </c>
      <c r="J316" s="58">
        <v>0.56000000000000005</v>
      </c>
      <c r="K316" s="57" t="e">
        <f t="shared" ca="1" si="1"/>
        <v>#NAME?</v>
      </c>
    </row>
    <row r="317" spans="3:11">
      <c r="C317" s="55" t="s">
        <v>1131</v>
      </c>
      <c r="D317" s="48">
        <v>76</v>
      </c>
      <c r="E317" s="48">
        <v>1073</v>
      </c>
      <c r="F317" s="48">
        <v>0</v>
      </c>
      <c r="G317" s="48">
        <v>1073</v>
      </c>
      <c r="H317" s="48" t="s">
        <v>763</v>
      </c>
      <c r="I317" s="48" t="s">
        <v>536</v>
      </c>
      <c r="J317" s="58">
        <v>1</v>
      </c>
      <c r="K317" s="57" t="e">
        <f t="shared" ca="1" si="1"/>
        <v>#NAME?</v>
      </c>
    </row>
    <row r="318" spans="3:11">
      <c r="C318" s="55" t="s">
        <v>1132</v>
      </c>
      <c r="D318" s="48">
        <v>76</v>
      </c>
      <c r="E318" s="48">
        <v>150</v>
      </c>
      <c r="F318" s="48">
        <v>0</v>
      </c>
      <c r="G318" s="48">
        <v>150</v>
      </c>
      <c r="H318" s="48" t="s">
        <v>1133</v>
      </c>
      <c r="I318" s="48" t="s">
        <v>504</v>
      </c>
      <c r="J318" s="58">
        <v>1</v>
      </c>
      <c r="K318" s="57" t="e">
        <f t="shared" ca="1" si="1"/>
        <v>#NAME?</v>
      </c>
    </row>
    <row r="319" spans="3:11">
      <c r="C319" s="55" t="s">
        <v>1134</v>
      </c>
      <c r="D319" s="48">
        <v>75</v>
      </c>
      <c r="E319" s="48">
        <v>55</v>
      </c>
      <c r="F319" s="48">
        <v>0</v>
      </c>
      <c r="G319" s="48">
        <v>55</v>
      </c>
      <c r="H319" s="48" t="s">
        <v>832</v>
      </c>
      <c r="I319" s="48" t="s">
        <v>458</v>
      </c>
      <c r="J319" s="58">
        <v>1</v>
      </c>
      <c r="K319" s="57" t="e">
        <f t="shared" ca="1" si="1"/>
        <v>#NAME?</v>
      </c>
    </row>
    <row r="320" spans="3:11">
      <c r="C320" s="55" t="s">
        <v>1135</v>
      </c>
      <c r="D320" s="48">
        <v>75</v>
      </c>
      <c r="E320" s="48">
        <v>40</v>
      </c>
      <c r="F320" s="48">
        <v>0</v>
      </c>
      <c r="G320" s="48">
        <v>40</v>
      </c>
      <c r="H320" s="48" t="s">
        <v>691</v>
      </c>
      <c r="I320" s="48" t="s">
        <v>504</v>
      </c>
      <c r="J320" s="58">
        <v>1</v>
      </c>
      <c r="K320" s="57" t="e">
        <f t="shared" ca="1" si="1"/>
        <v>#NAME?</v>
      </c>
    </row>
    <row r="321" spans="3:11">
      <c r="C321" s="55" t="s">
        <v>1136</v>
      </c>
      <c r="D321" s="48">
        <v>75</v>
      </c>
      <c r="E321" s="48">
        <v>75</v>
      </c>
      <c r="F321" s="48">
        <v>7</v>
      </c>
      <c r="G321" s="48">
        <v>82</v>
      </c>
      <c r="H321" s="48" t="s">
        <v>585</v>
      </c>
      <c r="I321" s="48" t="s">
        <v>1137</v>
      </c>
      <c r="J321" s="58">
        <v>0.99</v>
      </c>
      <c r="K321" s="57" t="e">
        <f t="shared" ca="1" si="1"/>
        <v>#NAME?</v>
      </c>
    </row>
    <row r="322" spans="3:11">
      <c r="C322" s="55" t="s">
        <v>1138</v>
      </c>
      <c r="D322" s="48">
        <v>74</v>
      </c>
      <c r="E322" s="48">
        <v>118</v>
      </c>
      <c r="F322" s="48">
        <v>0</v>
      </c>
      <c r="G322" s="48">
        <v>118</v>
      </c>
      <c r="H322" s="48" t="s">
        <v>1139</v>
      </c>
      <c r="I322" s="48" t="s">
        <v>578</v>
      </c>
      <c r="J322" s="58">
        <v>0.96</v>
      </c>
      <c r="K322" s="57" t="e">
        <f t="shared" ca="1" si="1"/>
        <v>#NAME?</v>
      </c>
    </row>
    <row r="323" spans="3:11">
      <c r="C323" s="55" t="s">
        <v>1140</v>
      </c>
      <c r="D323" s="48">
        <v>74</v>
      </c>
      <c r="E323" s="48">
        <v>126</v>
      </c>
      <c r="F323" s="48">
        <v>0</v>
      </c>
      <c r="G323" s="48">
        <v>126</v>
      </c>
      <c r="H323" s="48" t="s">
        <v>548</v>
      </c>
      <c r="I323" s="48" t="s">
        <v>805</v>
      </c>
      <c r="J323" s="58">
        <v>0.9</v>
      </c>
      <c r="K323" s="57" t="e">
        <f t="shared" ca="1" si="1"/>
        <v>#NAME?</v>
      </c>
    </row>
    <row r="324" spans="3:11">
      <c r="C324" s="55" t="s">
        <v>1141</v>
      </c>
      <c r="D324" s="48" t="s">
        <v>1142</v>
      </c>
      <c r="E324" s="48">
        <v>197</v>
      </c>
      <c r="F324" s="48">
        <v>0</v>
      </c>
      <c r="G324" s="48">
        <v>197</v>
      </c>
      <c r="H324" s="48" t="s">
        <v>1143</v>
      </c>
      <c r="I324" s="48" t="s">
        <v>725</v>
      </c>
      <c r="J324" s="58">
        <v>1</v>
      </c>
      <c r="K324" s="57" t="e">
        <f t="shared" ca="1" si="1"/>
        <v>#NAME?</v>
      </c>
    </row>
    <row r="325" spans="3:11">
      <c r="C325" s="55" t="s">
        <v>1144</v>
      </c>
      <c r="D325" s="48">
        <v>72</v>
      </c>
      <c r="E325" s="48">
        <v>152</v>
      </c>
      <c r="F325" s="48">
        <v>13</v>
      </c>
      <c r="G325" s="48">
        <v>165</v>
      </c>
      <c r="H325" s="48" t="s">
        <v>1145</v>
      </c>
      <c r="I325" s="48" t="s">
        <v>1143</v>
      </c>
      <c r="J325" s="58">
        <v>0.98</v>
      </c>
      <c r="K325" s="57" t="e">
        <f t="shared" ca="1" si="1"/>
        <v>#NAME?</v>
      </c>
    </row>
    <row r="326" spans="3:11">
      <c r="C326" s="55" t="s">
        <v>1146</v>
      </c>
      <c r="D326" s="48">
        <v>71</v>
      </c>
      <c r="E326" s="48">
        <v>39</v>
      </c>
      <c r="F326" s="48">
        <v>0</v>
      </c>
      <c r="G326" s="48">
        <v>39</v>
      </c>
      <c r="H326" s="48" t="s">
        <v>663</v>
      </c>
      <c r="I326" s="48" t="s">
        <v>658</v>
      </c>
      <c r="J326" s="58">
        <v>0.64</v>
      </c>
      <c r="K326" s="57" t="e">
        <f t="shared" ca="1" si="1"/>
        <v>#NAME?</v>
      </c>
    </row>
    <row r="327" spans="3:11">
      <c r="C327" s="55" t="s">
        <v>1147</v>
      </c>
      <c r="D327" s="48">
        <v>71</v>
      </c>
      <c r="E327" s="48">
        <v>39</v>
      </c>
      <c r="F327" s="48">
        <v>0</v>
      </c>
      <c r="G327" s="48">
        <v>39</v>
      </c>
      <c r="H327" s="48" t="s">
        <v>656</v>
      </c>
      <c r="I327" s="48" t="s">
        <v>1100</v>
      </c>
      <c r="J327" s="58">
        <v>0.38</v>
      </c>
      <c r="K327" s="57" t="e">
        <f t="shared" ca="1" si="1"/>
        <v>#NAME?</v>
      </c>
    </row>
    <row r="328" spans="3:11">
      <c r="C328" s="55" t="s">
        <v>1148</v>
      </c>
      <c r="D328" s="48">
        <v>71</v>
      </c>
      <c r="E328" s="48">
        <v>21</v>
      </c>
      <c r="F328" s="48">
        <v>0</v>
      </c>
      <c r="G328" s="48">
        <v>21</v>
      </c>
      <c r="H328" s="48" t="s">
        <v>1149</v>
      </c>
      <c r="I328" s="48" t="s">
        <v>475</v>
      </c>
      <c r="J328" s="58">
        <v>0.71</v>
      </c>
      <c r="K328" s="57" t="e">
        <f t="shared" ca="1" si="1"/>
        <v>#NAME?</v>
      </c>
    </row>
    <row r="329" spans="3:11">
      <c r="C329" s="55" t="s">
        <v>1150</v>
      </c>
      <c r="D329" s="48">
        <v>71</v>
      </c>
      <c r="E329" s="48">
        <v>189</v>
      </c>
      <c r="F329" s="48">
        <v>29</v>
      </c>
      <c r="G329" s="48">
        <v>218</v>
      </c>
      <c r="H329" s="48" t="s">
        <v>1128</v>
      </c>
      <c r="I329" s="48" t="s">
        <v>1151</v>
      </c>
      <c r="J329" s="58">
        <v>1</v>
      </c>
      <c r="K329" s="57" t="e">
        <f t="shared" ca="1" si="1"/>
        <v>#NAME?</v>
      </c>
    </row>
    <row r="330" spans="3:11">
      <c r="C330" s="55" t="s">
        <v>1152</v>
      </c>
      <c r="D330" s="48">
        <v>71</v>
      </c>
      <c r="E330" s="48">
        <v>320</v>
      </c>
      <c r="F330" s="48">
        <v>0</v>
      </c>
      <c r="G330" s="48">
        <v>320</v>
      </c>
      <c r="H330" s="48" t="s">
        <v>1153</v>
      </c>
      <c r="I330" s="48" t="s">
        <v>799</v>
      </c>
      <c r="J330" s="58">
        <v>1</v>
      </c>
      <c r="K330" s="57" t="e">
        <f t="shared" ca="1" si="1"/>
        <v>#NAME?</v>
      </c>
    </row>
    <row r="331" spans="3:11">
      <c r="C331" s="55" t="s">
        <v>1154</v>
      </c>
      <c r="D331" s="48">
        <v>71</v>
      </c>
      <c r="E331" s="48">
        <v>205</v>
      </c>
      <c r="F331" s="48">
        <v>0</v>
      </c>
      <c r="G331" s="48">
        <v>205</v>
      </c>
      <c r="H331" s="48" t="s">
        <v>559</v>
      </c>
      <c r="I331" s="48" t="s">
        <v>766</v>
      </c>
      <c r="J331" s="58">
        <v>1</v>
      </c>
      <c r="K331" s="57" t="e">
        <f t="shared" ca="1" si="1"/>
        <v>#NAME?</v>
      </c>
    </row>
    <row r="332" spans="3:11">
      <c r="C332" s="55" t="s">
        <v>1155</v>
      </c>
      <c r="D332" s="48">
        <v>70</v>
      </c>
      <c r="E332" s="48">
        <v>86</v>
      </c>
      <c r="F332" s="48">
        <v>0</v>
      </c>
      <c r="G332" s="48">
        <v>86</v>
      </c>
      <c r="H332" s="48" t="s">
        <v>801</v>
      </c>
      <c r="I332" s="48" t="s">
        <v>537</v>
      </c>
      <c r="J332" s="58">
        <v>1</v>
      </c>
      <c r="K332" s="57" t="e">
        <f t="shared" ca="1" si="1"/>
        <v>#NAME?</v>
      </c>
    </row>
    <row r="333" spans="3:11">
      <c r="C333" s="55" t="s">
        <v>1156</v>
      </c>
      <c r="D333" s="48">
        <v>70</v>
      </c>
      <c r="E333" s="48">
        <v>42</v>
      </c>
      <c r="F333" s="48">
        <v>0</v>
      </c>
      <c r="G333" s="48">
        <v>42</v>
      </c>
      <c r="H333" s="48" t="s">
        <v>1157</v>
      </c>
      <c r="I333" s="48" t="s">
        <v>504</v>
      </c>
      <c r="J333" s="58">
        <v>0.83</v>
      </c>
      <c r="K333" s="57" t="e">
        <f t="shared" ca="1" si="1"/>
        <v>#NAME?</v>
      </c>
    </row>
    <row r="334" spans="3:11">
      <c r="C334" s="55" t="s">
        <v>1158</v>
      </c>
      <c r="D334" s="48">
        <v>69</v>
      </c>
      <c r="E334" s="48">
        <v>346</v>
      </c>
      <c r="F334" s="48">
        <v>4</v>
      </c>
      <c r="G334" s="48">
        <v>350</v>
      </c>
      <c r="H334" s="48" t="s">
        <v>836</v>
      </c>
      <c r="I334" s="48" t="s">
        <v>719</v>
      </c>
      <c r="J334" s="58">
        <v>0.93</v>
      </c>
      <c r="K334" s="57" t="e">
        <f t="shared" ca="1" si="1"/>
        <v>#NAME?</v>
      </c>
    </row>
    <row r="335" spans="3:11">
      <c r="C335" s="55" t="s">
        <v>1159</v>
      </c>
      <c r="D335" s="48">
        <v>68</v>
      </c>
      <c r="E335" s="48">
        <v>228</v>
      </c>
      <c r="F335" s="48">
        <v>0</v>
      </c>
      <c r="G335" s="48">
        <v>228</v>
      </c>
      <c r="H335" s="48" t="s">
        <v>1160</v>
      </c>
      <c r="I335" s="48" t="s">
        <v>1161</v>
      </c>
      <c r="J335" s="58">
        <v>0.97</v>
      </c>
      <c r="K335" s="57" t="e">
        <f t="shared" ca="1" si="1"/>
        <v>#NAME?</v>
      </c>
    </row>
    <row r="336" spans="3:11">
      <c r="C336" s="55" t="s">
        <v>1162</v>
      </c>
      <c r="D336" s="48">
        <v>68</v>
      </c>
      <c r="E336" s="48">
        <v>64</v>
      </c>
      <c r="F336" s="48">
        <v>0</v>
      </c>
      <c r="G336" s="48">
        <v>64</v>
      </c>
      <c r="H336" s="48" t="s">
        <v>576</v>
      </c>
      <c r="I336" s="48" t="s">
        <v>794</v>
      </c>
      <c r="J336" s="58">
        <v>0.95</v>
      </c>
      <c r="K336" s="57" t="e">
        <f t="shared" ca="1" si="1"/>
        <v>#NAME?</v>
      </c>
    </row>
    <row r="337" spans="3:11">
      <c r="C337" s="55" t="s">
        <v>1163</v>
      </c>
      <c r="D337" s="48">
        <v>67</v>
      </c>
      <c r="E337" s="48">
        <v>134</v>
      </c>
      <c r="F337" s="48">
        <v>10</v>
      </c>
      <c r="G337" s="48">
        <v>144</v>
      </c>
      <c r="H337" s="48" t="s">
        <v>785</v>
      </c>
      <c r="I337" s="48" t="s">
        <v>553</v>
      </c>
      <c r="J337" s="58">
        <v>0.99</v>
      </c>
      <c r="K337" s="57" t="e">
        <f t="shared" ca="1" si="1"/>
        <v>#NAME?</v>
      </c>
    </row>
    <row r="338" spans="3:11">
      <c r="C338" s="55" t="s">
        <v>1164</v>
      </c>
      <c r="D338" s="48">
        <v>67</v>
      </c>
      <c r="E338" s="48">
        <v>130</v>
      </c>
      <c r="F338" s="48">
        <v>0</v>
      </c>
      <c r="G338" s="48">
        <v>130</v>
      </c>
      <c r="H338" s="48" t="s">
        <v>556</v>
      </c>
      <c r="I338" s="48" t="s">
        <v>611</v>
      </c>
      <c r="J338" s="58">
        <v>0.98</v>
      </c>
      <c r="K338" s="57" t="e">
        <f t="shared" ca="1" si="1"/>
        <v>#NAME?</v>
      </c>
    </row>
    <row r="339" spans="3:11">
      <c r="C339" s="55" t="s">
        <v>1165</v>
      </c>
      <c r="D339" s="48">
        <v>67</v>
      </c>
      <c r="E339" s="48">
        <v>34</v>
      </c>
      <c r="F339" s="48">
        <v>0</v>
      </c>
      <c r="G339" s="48">
        <v>34</v>
      </c>
      <c r="H339" s="48" t="s">
        <v>1166</v>
      </c>
      <c r="I339" s="48" t="s">
        <v>1167</v>
      </c>
      <c r="J339" s="58">
        <v>0.82</v>
      </c>
      <c r="K339" s="57" t="e">
        <f t="shared" ca="1" si="1"/>
        <v>#NAME?</v>
      </c>
    </row>
    <row r="340" spans="3:11">
      <c r="C340" s="55" t="s">
        <v>1168</v>
      </c>
      <c r="D340" s="48">
        <v>66</v>
      </c>
      <c r="E340" s="48">
        <v>69</v>
      </c>
      <c r="F340" s="48">
        <v>0</v>
      </c>
      <c r="G340" s="48">
        <v>69</v>
      </c>
      <c r="H340" s="48" t="s">
        <v>1169</v>
      </c>
      <c r="I340" s="48" t="s">
        <v>636</v>
      </c>
      <c r="J340" s="58">
        <v>0.96</v>
      </c>
      <c r="K340" s="57" t="e">
        <f t="shared" ca="1" si="1"/>
        <v>#NAME?</v>
      </c>
    </row>
    <row r="341" spans="3:11">
      <c r="C341" s="55" t="s">
        <v>1170</v>
      </c>
      <c r="D341" s="48">
        <v>66</v>
      </c>
      <c r="E341" s="48">
        <v>129</v>
      </c>
      <c r="F341" s="48">
        <v>1</v>
      </c>
      <c r="G341" s="48">
        <v>130</v>
      </c>
      <c r="H341" s="48" t="s">
        <v>476</v>
      </c>
      <c r="I341" s="48" t="s">
        <v>1123</v>
      </c>
      <c r="J341" s="58">
        <v>1</v>
      </c>
      <c r="K341" s="57" t="e">
        <f t="shared" ca="1" si="1"/>
        <v>#NAME?</v>
      </c>
    </row>
    <row r="342" spans="3:11">
      <c r="C342" s="55" t="s">
        <v>1171</v>
      </c>
      <c r="D342" s="48">
        <v>65</v>
      </c>
      <c r="E342" s="48">
        <v>206</v>
      </c>
      <c r="F342" s="48">
        <v>0</v>
      </c>
      <c r="G342" s="48">
        <v>206</v>
      </c>
      <c r="H342" s="48" t="s">
        <v>1172</v>
      </c>
      <c r="I342" s="48" t="s">
        <v>1173</v>
      </c>
      <c r="J342" s="58">
        <v>0.89</v>
      </c>
      <c r="K342" s="57" t="e">
        <f t="shared" ca="1" si="1"/>
        <v>#NAME?</v>
      </c>
    </row>
    <row r="343" spans="3:11">
      <c r="C343" s="55" t="s">
        <v>1174</v>
      </c>
      <c r="D343" s="48">
        <v>64</v>
      </c>
      <c r="E343" s="48">
        <v>147</v>
      </c>
      <c r="F343" s="48">
        <v>7</v>
      </c>
      <c r="G343" s="48">
        <v>154</v>
      </c>
      <c r="H343" s="48" t="s">
        <v>1175</v>
      </c>
      <c r="I343" s="48" t="s">
        <v>558</v>
      </c>
      <c r="J343" s="58">
        <v>1</v>
      </c>
      <c r="K343" s="57" t="e">
        <f t="shared" ca="1" si="1"/>
        <v>#NAME?</v>
      </c>
    </row>
    <row r="344" spans="3:11">
      <c r="C344" s="55" t="s">
        <v>1176</v>
      </c>
      <c r="D344" s="48">
        <v>64</v>
      </c>
      <c r="E344" s="48">
        <v>77</v>
      </c>
      <c r="F344" s="48">
        <v>1</v>
      </c>
      <c r="G344" s="48">
        <v>78</v>
      </c>
      <c r="H344" s="48" t="s">
        <v>1177</v>
      </c>
      <c r="I344" s="48" t="s">
        <v>1178</v>
      </c>
      <c r="J344" s="58">
        <v>0.92</v>
      </c>
      <c r="K344" s="57" t="e">
        <f t="shared" ca="1" si="1"/>
        <v>#NAME?</v>
      </c>
    </row>
    <row r="345" spans="3:11">
      <c r="C345" s="55" t="s">
        <v>1179</v>
      </c>
      <c r="D345" s="48">
        <v>64</v>
      </c>
      <c r="E345" s="48">
        <v>135</v>
      </c>
      <c r="F345" s="48">
        <v>1</v>
      </c>
      <c r="G345" s="48">
        <v>136</v>
      </c>
      <c r="H345" s="48" t="s">
        <v>1180</v>
      </c>
      <c r="I345" s="48" t="s">
        <v>487</v>
      </c>
      <c r="J345" s="58">
        <v>0.96</v>
      </c>
      <c r="K345" s="57" t="e">
        <f t="shared" ca="1" si="1"/>
        <v>#NAME?</v>
      </c>
    </row>
    <row r="346" spans="3:11">
      <c r="C346" s="55" t="s">
        <v>1181</v>
      </c>
      <c r="D346" s="48">
        <v>62</v>
      </c>
      <c r="E346" s="48">
        <v>55</v>
      </c>
      <c r="F346" s="48">
        <v>0</v>
      </c>
      <c r="G346" s="48">
        <v>55</v>
      </c>
      <c r="H346" s="48" t="s">
        <v>1182</v>
      </c>
      <c r="I346" s="48" t="s">
        <v>448</v>
      </c>
      <c r="J346" s="58">
        <v>0.91</v>
      </c>
      <c r="K346" s="57" t="e">
        <f t="shared" ca="1" si="1"/>
        <v>#NAME?</v>
      </c>
    </row>
    <row r="347" spans="3:11">
      <c r="C347" s="55" t="s">
        <v>1183</v>
      </c>
      <c r="D347" s="48">
        <v>62</v>
      </c>
      <c r="E347" s="48">
        <v>93</v>
      </c>
      <c r="F347" s="48">
        <v>0</v>
      </c>
      <c r="G347" s="48">
        <v>93</v>
      </c>
      <c r="H347" s="48" t="s">
        <v>537</v>
      </c>
      <c r="I347" s="48" t="s">
        <v>616</v>
      </c>
      <c r="J347" s="58">
        <v>0.99</v>
      </c>
      <c r="K347" s="57" t="e">
        <f t="shared" ca="1" si="1"/>
        <v>#NAME?</v>
      </c>
    </row>
    <row r="348" spans="3:11">
      <c r="C348" s="55" t="s">
        <v>1184</v>
      </c>
      <c r="D348" s="48">
        <v>62</v>
      </c>
      <c r="E348" s="48">
        <v>110</v>
      </c>
      <c r="F348" s="48">
        <v>2</v>
      </c>
      <c r="G348" s="48">
        <v>112</v>
      </c>
      <c r="H348" s="48" t="s">
        <v>1185</v>
      </c>
      <c r="I348" s="48" t="s">
        <v>1186</v>
      </c>
      <c r="J348" s="58">
        <v>0.97</v>
      </c>
      <c r="K348" s="57" t="e">
        <f t="shared" ca="1" si="1"/>
        <v>#NAME?</v>
      </c>
    </row>
    <row r="349" spans="3:11">
      <c r="C349" s="55" t="s">
        <v>1187</v>
      </c>
      <c r="D349" s="48">
        <v>61</v>
      </c>
      <c r="E349" s="48">
        <v>139</v>
      </c>
      <c r="F349" s="48">
        <v>0</v>
      </c>
      <c r="G349" s="48">
        <v>139</v>
      </c>
      <c r="H349" s="48" t="s">
        <v>489</v>
      </c>
      <c r="I349" s="48" t="s">
        <v>1188</v>
      </c>
      <c r="J349" s="58">
        <v>0.97</v>
      </c>
      <c r="K349" s="57" t="e">
        <f t="shared" ca="1" si="1"/>
        <v>#NAME?</v>
      </c>
    </row>
    <row r="350" spans="3:11">
      <c r="C350" s="55" t="s">
        <v>1189</v>
      </c>
      <c r="D350" s="48" t="s">
        <v>1190</v>
      </c>
      <c r="E350" s="48">
        <v>78</v>
      </c>
      <c r="F350" s="48">
        <v>2</v>
      </c>
      <c r="G350" s="48">
        <v>80</v>
      </c>
      <c r="H350" s="48" t="s">
        <v>757</v>
      </c>
      <c r="I350" s="48" t="s">
        <v>712</v>
      </c>
      <c r="J350" s="58">
        <v>0.86</v>
      </c>
      <c r="K350" s="57" t="e">
        <f t="shared" ca="1" si="1"/>
        <v>#NAME?</v>
      </c>
    </row>
    <row r="351" spans="3:11">
      <c r="C351" s="55" t="s">
        <v>1191</v>
      </c>
      <c r="K351" s="57" t="e">
        <f t="shared" ca="1" si="1"/>
        <v>#NAME?</v>
      </c>
    </row>
    <row r="352" spans="3:11">
      <c r="C352" s="55" t="s">
        <v>1192</v>
      </c>
      <c r="K352" s="57" t="e">
        <f t="shared" ca="1" si="1"/>
        <v>#NAME?</v>
      </c>
    </row>
    <row r="353" spans="3:11">
      <c r="C353" s="55" t="s">
        <v>1193</v>
      </c>
      <c r="K353" s="57" t="e">
        <f t="shared" ca="1" si="1"/>
        <v>#NAME?</v>
      </c>
    </row>
    <row r="354" spans="3:11">
      <c r="C354" s="55" t="s">
        <v>1194</v>
      </c>
      <c r="K354" s="57" t="e">
        <f t="shared" ca="1" si="1"/>
        <v>#NAME?</v>
      </c>
    </row>
    <row r="355" spans="3:11">
      <c r="C355" s="55" t="s">
        <v>1195</v>
      </c>
      <c r="K355" s="57" t="e">
        <f t="shared" ca="1" si="1"/>
        <v>#NAME?</v>
      </c>
    </row>
    <row r="356" spans="3:11">
      <c r="C356" s="55" t="s">
        <v>1196</v>
      </c>
      <c r="K356" s="57" t="e">
        <f t="shared" ca="1" si="1"/>
        <v>#NAME?</v>
      </c>
    </row>
    <row r="357" spans="3:11">
      <c r="C357" s="55" t="s">
        <v>1197</v>
      </c>
      <c r="K357" s="57" t="e">
        <f t="shared" ca="1" si="1"/>
        <v>#NAME?</v>
      </c>
    </row>
    <row r="358" spans="3:11">
      <c r="C358" s="55" t="s">
        <v>1198</v>
      </c>
      <c r="K358" s="57" t="e">
        <f t="shared" ca="1" si="1"/>
        <v>#NAME?</v>
      </c>
    </row>
    <row r="359" spans="3:11">
      <c r="C359" s="55" t="s">
        <v>1199</v>
      </c>
      <c r="K359" s="57" t="e">
        <f t="shared" ca="1" si="1"/>
        <v>#NAME?</v>
      </c>
    </row>
    <row r="360" spans="3:11">
      <c r="C360" s="55" t="s">
        <v>1200</v>
      </c>
      <c r="K360" s="57" t="e">
        <f t="shared" ca="1" si="1"/>
        <v>#NAME?</v>
      </c>
    </row>
    <row r="361" spans="3:11">
      <c r="C361" s="55" t="s">
        <v>1201</v>
      </c>
      <c r="K361" s="57" t="e">
        <f t="shared" ca="1" si="1"/>
        <v>#NAME?</v>
      </c>
    </row>
    <row r="362" spans="3:11">
      <c r="C362" s="55" t="s">
        <v>1202</v>
      </c>
      <c r="K362" s="57" t="e">
        <f t="shared" ca="1" si="1"/>
        <v>#NAME?</v>
      </c>
    </row>
    <row r="363" spans="3:11">
      <c r="C363" s="55" t="s">
        <v>1203</v>
      </c>
      <c r="K363" s="57" t="e">
        <f t="shared" ca="1" si="1"/>
        <v>#NAME?</v>
      </c>
    </row>
    <row r="364" spans="3:11">
      <c r="C364" s="55" t="s">
        <v>1204</v>
      </c>
      <c r="K364" s="57" t="e">
        <f t="shared" ca="1" si="1"/>
        <v>#NAME?</v>
      </c>
    </row>
    <row r="365" spans="3:11">
      <c r="C365" s="55" t="s">
        <v>1205</v>
      </c>
      <c r="K365" s="57" t="e">
        <f t="shared" ca="1" si="1"/>
        <v>#NAME?</v>
      </c>
    </row>
    <row r="366" spans="3:11">
      <c r="C366" s="55" t="s">
        <v>1206</v>
      </c>
      <c r="K366" s="57" t="e">
        <f t="shared" ca="1" si="1"/>
        <v>#NAME?</v>
      </c>
    </row>
    <row r="367" spans="3:11">
      <c r="C367" s="55" t="s">
        <v>1207</v>
      </c>
      <c r="K367" s="57" t="e">
        <f t="shared" ca="1" si="1"/>
        <v>#NAME?</v>
      </c>
    </row>
    <row r="368" spans="3:11">
      <c r="C368" s="55" t="s">
        <v>1208</v>
      </c>
      <c r="K368" s="57" t="e">
        <f t="shared" ca="1" si="1"/>
        <v>#NAME?</v>
      </c>
    </row>
    <row r="369" spans="3:11">
      <c r="C369" s="55" t="s">
        <v>1209</v>
      </c>
      <c r="K369" s="57" t="e">
        <f t="shared" ca="1" si="1"/>
        <v>#NAME?</v>
      </c>
    </row>
    <row r="370" spans="3:11">
      <c r="C370" s="55" t="s">
        <v>1210</v>
      </c>
      <c r="K370" s="57" t="e">
        <f t="shared" ca="1" si="1"/>
        <v>#NAME?</v>
      </c>
    </row>
    <row r="371" spans="3:11">
      <c r="C371" s="55" t="s">
        <v>1211</v>
      </c>
      <c r="K371" s="57" t="e">
        <f t="shared" ca="1" si="1"/>
        <v>#NAME?</v>
      </c>
    </row>
    <row r="372" spans="3:11">
      <c r="C372" s="55" t="s">
        <v>1212</v>
      </c>
      <c r="K372" s="57" t="e">
        <f t="shared" ca="1" si="1"/>
        <v>#NAME?</v>
      </c>
    </row>
    <row r="373" spans="3:11">
      <c r="C373" s="55" t="s">
        <v>1213</v>
      </c>
      <c r="K373" s="57" t="e">
        <f t="shared" ca="1" si="1"/>
        <v>#NAME?</v>
      </c>
    </row>
    <row r="374" spans="3:11">
      <c r="C374" s="55" t="s">
        <v>1214</v>
      </c>
      <c r="K374" s="57" t="e">
        <f t="shared" ca="1" si="1"/>
        <v>#NAME?</v>
      </c>
    </row>
    <row r="375" spans="3:11">
      <c r="C375" s="55" t="s">
        <v>1215</v>
      </c>
      <c r="K375" s="57" t="e">
        <f t="shared" ca="1" si="1"/>
        <v>#NAME?</v>
      </c>
    </row>
    <row r="376" spans="3:11">
      <c r="C376" s="55" t="s">
        <v>1216</v>
      </c>
      <c r="K376" s="57" t="e">
        <f t="shared" ca="1" si="1"/>
        <v>#NAME?</v>
      </c>
    </row>
    <row r="377" spans="3:11">
      <c r="C377" s="55" t="s">
        <v>1217</v>
      </c>
      <c r="K377" s="57" t="e">
        <f t="shared" ca="1" si="1"/>
        <v>#NAME?</v>
      </c>
    </row>
    <row r="378" spans="3:11">
      <c r="C378" s="55" t="s">
        <v>1218</v>
      </c>
      <c r="K378" s="57" t="e">
        <f t="shared" ca="1" si="1"/>
        <v>#NAME?</v>
      </c>
    </row>
    <row r="379" spans="3:11">
      <c r="C379" s="55" t="s">
        <v>1219</v>
      </c>
      <c r="K379" s="57" t="e">
        <f t="shared" ca="1" si="1"/>
        <v>#NAME?</v>
      </c>
    </row>
    <row r="380" spans="3:11">
      <c r="C380" s="55" t="s">
        <v>1220</v>
      </c>
      <c r="K380" s="57" t="e">
        <f t="shared" ca="1" si="1"/>
        <v>#NAME?</v>
      </c>
    </row>
    <row r="381" spans="3:11">
      <c r="C381" s="55" t="s">
        <v>1221</v>
      </c>
      <c r="K381" s="57" t="e">
        <f t="shared" ca="1" si="1"/>
        <v>#NAME?</v>
      </c>
    </row>
    <row r="382" spans="3:11">
      <c r="C382" s="55" t="s">
        <v>1222</v>
      </c>
      <c r="K382" s="57" t="e">
        <f t="shared" ca="1" si="1"/>
        <v>#NAME?</v>
      </c>
    </row>
    <row r="383" spans="3:11">
      <c r="C383" s="55" t="s">
        <v>1223</v>
      </c>
      <c r="K383" s="57" t="e">
        <f t="shared" ca="1" si="1"/>
        <v>#NAME?</v>
      </c>
    </row>
    <row r="384" spans="3:11">
      <c r="C384" s="55" t="s">
        <v>1224</v>
      </c>
      <c r="K384" s="57" t="e">
        <f t="shared" ca="1" si="1"/>
        <v>#NAME?</v>
      </c>
    </row>
    <row r="385" spans="3:11">
      <c r="C385" s="55" t="s">
        <v>1225</v>
      </c>
      <c r="K385" s="57" t="e">
        <f t="shared" ca="1" si="1"/>
        <v>#NAME?</v>
      </c>
    </row>
    <row r="386" spans="3:11">
      <c r="C386" s="55" t="s">
        <v>1226</v>
      </c>
      <c r="K386" s="57" t="e">
        <f t="shared" ca="1" si="1"/>
        <v>#NAME?</v>
      </c>
    </row>
    <row r="387" spans="3:11">
      <c r="C387" s="55" t="s">
        <v>1227</v>
      </c>
      <c r="K387" s="57" t="e">
        <f t="shared" ca="1" si="1"/>
        <v>#NAME?</v>
      </c>
    </row>
    <row r="388" spans="3:11">
      <c r="C388" s="55" t="s">
        <v>1228</v>
      </c>
      <c r="K388" s="57" t="e">
        <f t="shared" ca="1" si="1"/>
        <v>#NAME?</v>
      </c>
    </row>
    <row r="389" spans="3:11">
      <c r="C389" s="55" t="s">
        <v>1229</v>
      </c>
      <c r="K389" s="57" t="e">
        <f t="shared" ca="1" si="1"/>
        <v>#NAME?</v>
      </c>
    </row>
    <row r="390" spans="3:11">
      <c r="C390" s="55" t="s">
        <v>1230</v>
      </c>
      <c r="K390" s="57" t="e">
        <f t="shared" ca="1" si="1"/>
        <v>#NAME?</v>
      </c>
    </row>
    <row r="391" spans="3:11">
      <c r="C391" s="55" t="s">
        <v>1231</v>
      </c>
      <c r="K391" s="57" t="e">
        <f t="shared" ca="1" si="1"/>
        <v>#NAME?</v>
      </c>
    </row>
    <row r="392" spans="3:11">
      <c r="C392" s="55" t="s">
        <v>1232</v>
      </c>
      <c r="K392" s="57" t="e">
        <f t="shared" ca="1" si="1"/>
        <v>#NAME?</v>
      </c>
    </row>
    <row r="393" spans="3:11">
      <c r="C393" s="55" t="s">
        <v>1233</v>
      </c>
      <c r="K393" s="57" t="e">
        <f t="shared" ca="1" si="1"/>
        <v>#NAME?</v>
      </c>
    </row>
    <row r="394" spans="3:11">
      <c r="C394" s="55" t="s">
        <v>1234</v>
      </c>
      <c r="K394" s="57" t="e">
        <f t="shared" ca="1" si="1"/>
        <v>#NAME?</v>
      </c>
    </row>
    <row r="395" spans="3:11">
      <c r="C395" s="55" t="s">
        <v>1235</v>
      </c>
      <c r="K395" s="57" t="e">
        <f t="shared" ca="1" si="1"/>
        <v>#NAME?</v>
      </c>
    </row>
    <row r="396" spans="3:11">
      <c r="C396" s="55" t="s">
        <v>1236</v>
      </c>
      <c r="K396" s="57" t="e">
        <f t="shared" ca="1" si="1"/>
        <v>#NAME?</v>
      </c>
    </row>
    <row r="397" spans="3:11">
      <c r="C397" s="55" t="s">
        <v>1237</v>
      </c>
      <c r="K397" s="57" t="e">
        <f t="shared" ca="1" si="1"/>
        <v>#NAME?</v>
      </c>
    </row>
    <row r="398" spans="3:11">
      <c r="C398" s="55" t="s">
        <v>1238</v>
      </c>
      <c r="K398" s="57" t="e">
        <f t="shared" ca="1" si="1"/>
        <v>#NAME?</v>
      </c>
    </row>
    <row r="399" spans="3:11">
      <c r="C399" s="55" t="s">
        <v>1239</v>
      </c>
      <c r="K399" s="57" t="e">
        <f t="shared" ca="1" si="1"/>
        <v>#NAME?</v>
      </c>
    </row>
    <row r="400" spans="3:11">
      <c r="C400" s="55" t="s">
        <v>1240</v>
      </c>
      <c r="K400" s="57" t="e">
        <f t="shared" ca="1" si="1"/>
        <v>#NAME?</v>
      </c>
    </row>
    <row r="401" spans="3:11">
      <c r="C401" s="55" t="s">
        <v>1241</v>
      </c>
      <c r="K401" s="57" t="e">
        <f t="shared" ca="1" si="1"/>
        <v>#NAME?</v>
      </c>
    </row>
    <row r="402" spans="3:11">
      <c r="C402" s="55" t="s">
        <v>1242</v>
      </c>
      <c r="K402" s="57" t="e">
        <f t="shared" ca="1" si="1"/>
        <v>#NAME?</v>
      </c>
    </row>
    <row r="403" spans="3:11">
      <c r="C403" s="55" t="s">
        <v>1243</v>
      </c>
      <c r="K403" s="57" t="e">
        <f t="shared" ca="1" si="1"/>
        <v>#NAME?</v>
      </c>
    </row>
    <row r="404" spans="3:11">
      <c r="C404" s="55" t="s">
        <v>1244</v>
      </c>
      <c r="K404" s="57" t="e">
        <f t="shared" ca="1" si="1"/>
        <v>#NAME?</v>
      </c>
    </row>
    <row r="405" spans="3:11">
      <c r="K405" s="27"/>
    </row>
    <row r="406" spans="3:11">
      <c r="K406" s="27"/>
    </row>
    <row r="407" spans="3:11">
      <c r="K407" s="27"/>
    </row>
    <row r="408" spans="3:11">
      <c r="K408" s="27"/>
    </row>
    <row r="409" spans="3:11">
      <c r="K409" s="27"/>
    </row>
    <row r="410" spans="3:11">
      <c r="K410" s="27"/>
    </row>
    <row r="411" spans="3:11">
      <c r="K411" s="27"/>
    </row>
    <row r="412" spans="3:11">
      <c r="K412" s="27"/>
    </row>
    <row r="413" spans="3:11">
      <c r="K413" s="27"/>
    </row>
    <row r="414" spans="3:11">
      <c r="K414" s="27"/>
    </row>
    <row r="415" spans="3:11">
      <c r="K415" s="27"/>
    </row>
    <row r="416" spans="3:11">
      <c r="K416" s="27"/>
    </row>
    <row r="417" spans="11:11">
      <c r="K417" s="27"/>
    </row>
    <row r="418" spans="11:11">
      <c r="K418" s="27"/>
    </row>
    <row r="419" spans="11:11">
      <c r="K419" s="27"/>
    </row>
    <row r="420" spans="11:11">
      <c r="K420" s="27"/>
    </row>
    <row r="421" spans="11:11">
      <c r="K421" s="27"/>
    </row>
    <row r="422" spans="11:11">
      <c r="K422" s="27"/>
    </row>
    <row r="423" spans="11:11">
      <c r="K423" s="27"/>
    </row>
    <row r="424" spans="11:11">
      <c r="K424" s="27"/>
    </row>
    <row r="425" spans="11:11">
      <c r="K425" s="27"/>
    </row>
    <row r="426" spans="11:11">
      <c r="K426" s="27"/>
    </row>
    <row r="427" spans="11:11">
      <c r="K427" s="27"/>
    </row>
    <row r="428" spans="11:11">
      <c r="K428" s="27"/>
    </row>
    <row r="429" spans="11:11">
      <c r="K429" s="27"/>
    </row>
    <row r="430" spans="11:11">
      <c r="K430" s="27"/>
    </row>
    <row r="431" spans="11:11">
      <c r="K431" s="27"/>
    </row>
    <row r="432" spans="11:11">
      <c r="K432" s="27"/>
    </row>
    <row r="433" spans="11:11">
      <c r="K433" s="27"/>
    </row>
    <row r="434" spans="11:11">
      <c r="K434" s="27"/>
    </row>
    <row r="435" spans="11:11">
      <c r="K435" s="27"/>
    </row>
    <row r="436" spans="11:11">
      <c r="K436" s="27"/>
    </row>
    <row r="437" spans="11:11">
      <c r="K437" s="27"/>
    </row>
    <row r="438" spans="11:11">
      <c r="K438" s="27"/>
    </row>
    <row r="439" spans="11:11">
      <c r="K439" s="27"/>
    </row>
    <row r="440" spans="11:11">
      <c r="K440" s="27"/>
    </row>
    <row r="441" spans="11:11">
      <c r="K441" s="27"/>
    </row>
    <row r="442" spans="11:11">
      <c r="K442" s="27"/>
    </row>
    <row r="443" spans="11:11">
      <c r="K443" s="27"/>
    </row>
    <row r="444" spans="11:11">
      <c r="K444" s="27"/>
    </row>
    <row r="445" spans="11:11">
      <c r="K445" s="27"/>
    </row>
    <row r="446" spans="11:11">
      <c r="K446" s="27"/>
    </row>
    <row r="447" spans="11:11">
      <c r="K447" s="27"/>
    </row>
    <row r="448" spans="11:11">
      <c r="K448" s="27"/>
    </row>
    <row r="449" spans="11:11">
      <c r="K449" s="27"/>
    </row>
    <row r="450" spans="11:11">
      <c r="K450" s="27"/>
    </row>
    <row r="451" spans="11:11">
      <c r="K451" s="27"/>
    </row>
    <row r="452" spans="11:11">
      <c r="K452" s="27"/>
    </row>
    <row r="453" spans="11:11">
      <c r="K453" s="27"/>
    </row>
    <row r="454" spans="11:11">
      <c r="K454" s="27"/>
    </row>
    <row r="455" spans="11:11">
      <c r="K455" s="27"/>
    </row>
    <row r="456" spans="11:11">
      <c r="K456" s="27"/>
    </row>
    <row r="457" spans="11:11">
      <c r="K457" s="27"/>
    </row>
    <row r="458" spans="11:11">
      <c r="K458" s="27"/>
    </row>
    <row r="459" spans="11:11">
      <c r="K459" s="27"/>
    </row>
    <row r="460" spans="11:11">
      <c r="K460" s="27"/>
    </row>
    <row r="461" spans="11:11">
      <c r="K461" s="27"/>
    </row>
    <row r="462" spans="11:11">
      <c r="K462" s="27"/>
    </row>
    <row r="463" spans="11:11">
      <c r="K463" s="27"/>
    </row>
    <row r="464" spans="11:11">
      <c r="K464" s="27"/>
    </row>
    <row r="465" spans="11:11">
      <c r="K465" s="27"/>
    </row>
    <row r="466" spans="11:11">
      <c r="K466" s="27"/>
    </row>
    <row r="467" spans="11:11">
      <c r="K467" s="27"/>
    </row>
    <row r="468" spans="11:11">
      <c r="K468" s="27"/>
    </row>
    <row r="469" spans="11:11">
      <c r="K469" s="27"/>
    </row>
    <row r="470" spans="11:11">
      <c r="K470" s="27"/>
    </row>
    <row r="471" spans="11:11">
      <c r="K471" s="27"/>
    </row>
    <row r="472" spans="11:11">
      <c r="K472" s="27"/>
    </row>
    <row r="473" spans="11:11">
      <c r="K473" s="27"/>
    </row>
    <row r="474" spans="11:11">
      <c r="K474" s="27"/>
    </row>
    <row r="475" spans="11:11">
      <c r="K475" s="27"/>
    </row>
    <row r="476" spans="11:11">
      <c r="K476" s="27"/>
    </row>
    <row r="477" spans="11:11">
      <c r="K477" s="27"/>
    </row>
    <row r="478" spans="11:11">
      <c r="K478" s="27"/>
    </row>
    <row r="479" spans="11:11">
      <c r="K479" s="27"/>
    </row>
    <row r="480" spans="11:11">
      <c r="K480" s="27"/>
    </row>
    <row r="481" spans="11:11">
      <c r="K481" s="27"/>
    </row>
    <row r="482" spans="11:11">
      <c r="K482" s="27"/>
    </row>
    <row r="483" spans="11:11">
      <c r="K483" s="27"/>
    </row>
    <row r="484" spans="11:11">
      <c r="K484" s="27"/>
    </row>
    <row r="485" spans="11:11">
      <c r="K485" s="27"/>
    </row>
    <row r="486" spans="11:11">
      <c r="K486" s="27"/>
    </row>
    <row r="487" spans="11:11">
      <c r="K487" s="27"/>
    </row>
    <row r="488" spans="11:11">
      <c r="K488" s="27"/>
    </row>
    <row r="489" spans="11:11">
      <c r="K489" s="27"/>
    </row>
    <row r="490" spans="11:11">
      <c r="K490" s="27"/>
    </row>
    <row r="491" spans="11:11">
      <c r="K491" s="27"/>
    </row>
    <row r="492" spans="11:11">
      <c r="K492" s="27"/>
    </row>
    <row r="493" spans="11:11">
      <c r="K493" s="27"/>
    </row>
    <row r="494" spans="11:11">
      <c r="K494" s="27"/>
    </row>
    <row r="495" spans="11:11">
      <c r="K495" s="27"/>
    </row>
    <row r="496" spans="11:11">
      <c r="K496" s="27"/>
    </row>
    <row r="497" spans="11:11">
      <c r="K497" s="27"/>
    </row>
    <row r="498" spans="11:11">
      <c r="K498" s="27"/>
    </row>
    <row r="499" spans="11:11">
      <c r="K499" s="27"/>
    </row>
    <row r="500" spans="11:11">
      <c r="K500" s="27"/>
    </row>
    <row r="501" spans="11:11">
      <c r="K501" s="27"/>
    </row>
    <row r="502" spans="11:11">
      <c r="K502" s="27"/>
    </row>
    <row r="503" spans="11:11">
      <c r="K503" s="27"/>
    </row>
    <row r="504" spans="11:11">
      <c r="K504" s="27"/>
    </row>
    <row r="505" spans="11:11">
      <c r="K505" s="27"/>
    </row>
    <row r="506" spans="11:11">
      <c r="K506" s="27"/>
    </row>
    <row r="507" spans="11:11">
      <c r="K507" s="27"/>
    </row>
    <row r="508" spans="11:11">
      <c r="K508" s="27"/>
    </row>
    <row r="509" spans="11:11">
      <c r="K509" s="27"/>
    </row>
    <row r="510" spans="11:11">
      <c r="K510" s="27"/>
    </row>
    <row r="511" spans="11:11">
      <c r="K511" s="27"/>
    </row>
    <row r="512" spans="11:11">
      <c r="K512" s="27"/>
    </row>
    <row r="513" spans="11:11">
      <c r="K513" s="27"/>
    </row>
    <row r="514" spans="11:11">
      <c r="K514" s="27"/>
    </row>
    <row r="515" spans="11:11">
      <c r="K515" s="27"/>
    </row>
    <row r="516" spans="11:11">
      <c r="K516" s="27"/>
    </row>
    <row r="517" spans="11:11">
      <c r="K517" s="27"/>
    </row>
    <row r="518" spans="11:11">
      <c r="K518" s="27"/>
    </row>
    <row r="519" spans="11:11">
      <c r="K519" s="27"/>
    </row>
    <row r="520" spans="11:11">
      <c r="K520" s="27"/>
    </row>
    <row r="521" spans="11:11">
      <c r="K521" s="27"/>
    </row>
    <row r="522" spans="11:11">
      <c r="K522" s="27"/>
    </row>
    <row r="523" spans="11:11">
      <c r="K523" s="27"/>
    </row>
    <row r="524" spans="11:11">
      <c r="K524" s="27"/>
    </row>
    <row r="525" spans="11:11">
      <c r="K525" s="27"/>
    </row>
    <row r="526" spans="11:11">
      <c r="K526" s="27"/>
    </row>
    <row r="527" spans="11:11">
      <c r="K527" s="27"/>
    </row>
    <row r="528" spans="11:11">
      <c r="K528" s="27"/>
    </row>
    <row r="529" spans="11:11">
      <c r="K529" s="27"/>
    </row>
    <row r="530" spans="11:11">
      <c r="K530" s="27"/>
    </row>
    <row r="531" spans="11:11">
      <c r="K531" s="27"/>
    </row>
    <row r="532" spans="11:11">
      <c r="K532" s="27"/>
    </row>
    <row r="533" spans="11:11">
      <c r="K533" s="27"/>
    </row>
    <row r="534" spans="11:11">
      <c r="K534" s="27"/>
    </row>
    <row r="535" spans="11:11">
      <c r="K535" s="27"/>
    </row>
    <row r="536" spans="11:11">
      <c r="K536" s="27"/>
    </row>
    <row r="537" spans="11:11">
      <c r="K537" s="27"/>
    </row>
    <row r="538" spans="11:11">
      <c r="K538" s="27"/>
    </row>
    <row r="539" spans="11:11">
      <c r="K539" s="27"/>
    </row>
    <row r="540" spans="11:11">
      <c r="K540" s="27"/>
    </row>
    <row r="541" spans="11:11">
      <c r="K541" s="27"/>
    </row>
    <row r="542" spans="11:11">
      <c r="K542" s="27"/>
    </row>
    <row r="543" spans="11:11">
      <c r="K543" s="27"/>
    </row>
    <row r="544" spans="11:11">
      <c r="K544" s="27"/>
    </row>
    <row r="545" spans="11:11">
      <c r="K545" s="27"/>
    </row>
    <row r="546" spans="11:11">
      <c r="K546" s="27"/>
    </row>
    <row r="547" spans="11:11">
      <c r="K547" s="27"/>
    </row>
    <row r="548" spans="11:11">
      <c r="K548" s="27"/>
    </row>
    <row r="549" spans="11:11">
      <c r="K549" s="27"/>
    </row>
    <row r="550" spans="11:11">
      <c r="K550" s="27"/>
    </row>
    <row r="551" spans="11:11">
      <c r="K551" s="27"/>
    </row>
    <row r="552" spans="11:11">
      <c r="K552" s="27"/>
    </row>
    <row r="553" spans="11:11">
      <c r="K553" s="27"/>
    </row>
    <row r="554" spans="11:11">
      <c r="K554" s="27"/>
    </row>
    <row r="555" spans="11:11">
      <c r="K555" s="27"/>
    </row>
    <row r="556" spans="11:11">
      <c r="K556" s="27"/>
    </row>
    <row r="557" spans="11:11">
      <c r="K557" s="27"/>
    </row>
    <row r="558" spans="11:11">
      <c r="K558" s="27"/>
    </row>
    <row r="559" spans="11:11">
      <c r="K559" s="27"/>
    </row>
    <row r="560" spans="11:11">
      <c r="K560" s="27"/>
    </row>
    <row r="561" spans="11:11">
      <c r="K561" s="27"/>
    </row>
    <row r="562" spans="11:11">
      <c r="K562" s="27"/>
    </row>
    <row r="563" spans="11:11">
      <c r="K563" s="27"/>
    </row>
    <row r="564" spans="11:11">
      <c r="K564" s="27"/>
    </row>
    <row r="565" spans="11:11">
      <c r="K565" s="27"/>
    </row>
    <row r="566" spans="11:11">
      <c r="K566" s="27"/>
    </row>
    <row r="567" spans="11:11">
      <c r="K567" s="27"/>
    </row>
    <row r="568" spans="11:11">
      <c r="K568" s="27"/>
    </row>
    <row r="569" spans="11:11">
      <c r="K569" s="27"/>
    </row>
    <row r="570" spans="11:11">
      <c r="K570" s="27"/>
    </row>
    <row r="571" spans="11:11">
      <c r="K571" s="27"/>
    </row>
    <row r="572" spans="11:11">
      <c r="K572" s="27"/>
    </row>
    <row r="573" spans="11:11">
      <c r="K573" s="27"/>
    </row>
    <row r="574" spans="11:11">
      <c r="K574" s="27"/>
    </row>
    <row r="575" spans="11:11">
      <c r="K575" s="27"/>
    </row>
    <row r="576" spans="11:11">
      <c r="K576" s="27"/>
    </row>
    <row r="577" spans="11:11">
      <c r="K577" s="27"/>
    </row>
    <row r="578" spans="11:11">
      <c r="K578" s="27"/>
    </row>
    <row r="579" spans="11:11">
      <c r="K579" s="27"/>
    </row>
    <row r="580" spans="11:11">
      <c r="K580" s="27"/>
    </row>
    <row r="581" spans="11:11">
      <c r="K581" s="27"/>
    </row>
    <row r="582" spans="11:11">
      <c r="K582" s="27"/>
    </row>
    <row r="583" spans="11:11">
      <c r="K583" s="27"/>
    </row>
    <row r="584" spans="11:11">
      <c r="K584" s="27"/>
    </row>
    <row r="585" spans="11:11">
      <c r="K585" s="27"/>
    </row>
    <row r="586" spans="11:11">
      <c r="K586" s="27"/>
    </row>
    <row r="587" spans="11:11">
      <c r="K587" s="27"/>
    </row>
    <row r="588" spans="11:11">
      <c r="K588" s="27"/>
    </row>
    <row r="589" spans="11:11">
      <c r="K589" s="27"/>
    </row>
    <row r="590" spans="11:11">
      <c r="K590" s="27"/>
    </row>
    <row r="591" spans="11:11">
      <c r="K591" s="27"/>
    </row>
    <row r="592" spans="11:11">
      <c r="K592" s="27"/>
    </row>
    <row r="593" spans="11:11">
      <c r="K593" s="27"/>
    </row>
    <row r="594" spans="11:11">
      <c r="K594" s="27"/>
    </row>
    <row r="595" spans="11:11">
      <c r="K595" s="27"/>
    </row>
    <row r="596" spans="11:11">
      <c r="K596" s="27"/>
    </row>
    <row r="597" spans="11:11">
      <c r="K597" s="27"/>
    </row>
    <row r="598" spans="11:11">
      <c r="K598" s="27"/>
    </row>
    <row r="599" spans="11:11">
      <c r="K599" s="27"/>
    </row>
    <row r="600" spans="11:11">
      <c r="K600" s="27"/>
    </row>
    <row r="601" spans="11:11">
      <c r="K601" s="27"/>
    </row>
    <row r="602" spans="11:11">
      <c r="K602" s="27"/>
    </row>
    <row r="603" spans="11:11">
      <c r="K603" s="27"/>
    </row>
    <row r="604" spans="11:11">
      <c r="K604" s="27"/>
    </row>
    <row r="605" spans="11:11">
      <c r="K605" s="27"/>
    </row>
    <row r="606" spans="11:11">
      <c r="K606" s="27"/>
    </row>
    <row r="607" spans="11:11">
      <c r="K607" s="27"/>
    </row>
    <row r="608" spans="11:11">
      <c r="K608" s="27"/>
    </row>
    <row r="609" spans="11:11">
      <c r="K609" s="27"/>
    </row>
    <row r="610" spans="11:11">
      <c r="K610" s="27"/>
    </row>
    <row r="611" spans="11:11">
      <c r="K611" s="27"/>
    </row>
    <row r="612" spans="11:11">
      <c r="K612" s="27"/>
    </row>
    <row r="613" spans="11:11">
      <c r="K613" s="27"/>
    </row>
    <row r="614" spans="11:11">
      <c r="K614" s="27"/>
    </row>
    <row r="615" spans="11:11">
      <c r="K615" s="27"/>
    </row>
    <row r="616" spans="11:11">
      <c r="K616" s="27"/>
    </row>
    <row r="617" spans="11:11">
      <c r="K617" s="27"/>
    </row>
    <row r="618" spans="11:11">
      <c r="K618" s="27"/>
    </row>
    <row r="619" spans="11:11">
      <c r="K619" s="27"/>
    </row>
    <row r="620" spans="11:11">
      <c r="K620" s="27"/>
    </row>
    <row r="621" spans="11:11">
      <c r="K621" s="27"/>
    </row>
    <row r="622" spans="11:11">
      <c r="K622" s="27"/>
    </row>
    <row r="623" spans="11:11">
      <c r="K623" s="27"/>
    </row>
    <row r="624" spans="11:11">
      <c r="K624" s="27"/>
    </row>
    <row r="625" spans="11:11">
      <c r="K625" s="27"/>
    </row>
    <row r="626" spans="11:11">
      <c r="K626" s="27"/>
    </row>
    <row r="627" spans="11:11">
      <c r="K627" s="27"/>
    </row>
    <row r="628" spans="11:11">
      <c r="K628" s="27"/>
    </row>
    <row r="629" spans="11:11">
      <c r="K629" s="27"/>
    </row>
    <row r="630" spans="11:11">
      <c r="K630" s="27"/>
    </row>
    <row r="631" spans="11:11">
      <c r="K631" s="27"/>
    </row>
    <row r="632" spans="11:11">
      <c r="K632" s="27"/>
    </row>
    <row r="633" spans="11:11">
      <c r="K633" s="27"/>
    </row>
    <row r="634" spans="11:11">
      <c r="K634" s="27"/>
    </row>
    <row r="635" spans="11:11">
      <c r="K635" s="27"/>
    </row>
    <row r="636" spans="11:11">
      <c r="K636" s="27"/>
    </row>
    <row r="637" spans="11:11">
      <c r="K637" s="27"/>
    </row>
    <row r="638" spans="11:11">
      <c r="K638" s="27"/>
    </row>
    <row r="639" spans="11:11">
      <c r="K639" s="27"/>
    </row>
    <row r="640" spans="11:11">
      <c r="K640" s="27"/>
    </row>
    <row r="641" spans="11:11">
      <c r="K641" s="27"/>
    </row>
    <row r="642" spans="11:11">
      <c r="K642" s="27"/>
    </row>
    <row r="643" spans="11:11">
      <c r="K643" s="27"/>
    </row>
    <row r="644" spans="11:11">
      <c r="K644" s="27"/>
    </row>
    <row r="645" spans="11:11">
      <c r="K645" s="27"/>
    </row>
    <row r="646" spans="11:11">
      <c r="K646" s="27"/>
    </row>
    <row r="647" spans="11:11">
      <c r="K647" s="27"/>
    </row>
    <row r="648" spans="11:11">
      <c r="K648" s="27"/>
    </row>
    <row r="649" spans="11:11">
      <c r="K649" s="27"/>
    </row>
    <row r="650" spans="11:11">
      <c r="K650" s="27"/>
    </row>
    <row r="651" spans="11:11">
      <c r="K651" s="27"/>
    </row>
    <row r="652" spans="11:11">
      <c r="K652" s="27"/>
    </row>
    <row r="653" spans="11:11">
      <c r="K653" s="27"/>
    </row>
    <row r="654" spans="11:11">
      <c r="K654" s="27"/>
    </row>
    <row r="655" spans="11:11">
      <c r="K655" s="27"/>
    </row>
    <row r="656" spans="11:11">
      <c r="K656" s="27"/>
    </row>
    <row r="657" spans="11:11">
      <c r="K657" s="27"/>
    </row>
    <row r="658" spans="11:11">
      <c r="K658" s="27"/>
    </row>
    <row r="659" spans="11:11">
      <c r="K659" s="27"/>
    </row>
    <row r="660" spans="11:11">
      <c r="K660" s="27"/>
    </row>
    <row r="661" spans="11:11">
      <c r="K661" s="27"/>
    </row>
    <row r="662" spans="11:11">
      <c r="K662" s="27"/>
    </row>
    <row r="663" spans="11:11">
      <c r="K663" s="27"/>
    </row>
    <row r="664" spans="11:11">
      <c r="K664" s="27"/>
    </row>
    <row r="665" spans="11:11">
      <c r="K665" s="27"/>
    </row>
    <row r="666" spans="11:11">
      <c r="K666" s="27"/>
    </row>
    <row r="667" spans="11:11">
      <c r="K667" s="27"/>
    </row>
    <row r="668" spans="11:11">
      <c r="K668" s="27"/>
    </row>
    <row r="669" spans="11:11">
      <c r="K669" s="27"/>
    </row>
    <row r="670" spans="11:11">
      <c r="K670" s="27"/>
    </row>
    <row r="671" spans="11:11">
      <c r="K671" s="27"/>
    </row>
    <row r="672" spans="11:11">
      <c r="K672" s="27"/>
    </row>
    <row r="673" spans="11:11">
      <c r="K673" s="27"/>
    </row>
    <row r="674" spans="11:11">
      <c r="K674" s="27"/>
    </row>
    <row r="675" spans="11:11">
      <c r="K675" s="27"/>
    </row>
    <row r="676" spans="11:11">
      <c r="K676" s="27"/>
    </row>
    <row r="677" spans="11:11">
      <c r="K677" s="27"/>
    </row>
    <row r="678" spans="11:11">
      <c r="K678" s="27"/>
    </row>
    <row r="679" spans="11:11">
      <c r="K679" s="27"/>
    </row>
    <row r="680" spans="11:11">
      <c r="K680" s="27"/>
    </row>
    <row r="681" spans="11:11">
      <c r="K681" s="27"/>
    </row>
    <row r="682" spans="11:11">
      <c r="K682" s="27"/>
    </row>
    <row r="683" spans="11:11">
      <c r="K683" s="27"/>
    </row>
    <row r="684" spans="11:11">
      <c r="K684" s="27"/>
    </row>
    <row r="685" spans="11:11">
      <c r="K685" s="27"/>
    </row>
    <row r="686" spans="11:11">
      <c r="K686" s="27"/>
    </row>
    <row r="687" spans="11:11">
      <c r="K687" s="27"/>
    </row>
    <row r="688" spans="11:11">
      <c r="K688" s="27"/>
    </row>
    <row r="689" spans="11:11">
      <c r="K689" s="27"/>
    </row>
    <row r="690" spans="11:11">
      <c r="K690" s="27"/>
    </row>
    <row r="691" spans="11:11">
      <c r="K691" s="27"/>
    </row>
    <row r="692" spans="11:11">
      <c r="K692" s="27"/>
    </row>
    <row r="693" spans="11:11">
      <c r="K693" s="27"/>
    </row>
    <row r="694" spans="11:11">
      <c r="K694" s="27"/>
    </row>
    <row r="695" spans="11:11">
      <c r="K695" s="27"/>
    </row>
    <row r="696" spans="11:11">
      <c r="K696" s="27"/>
    </row>
    <row r="697" spans="11:11">
      <c r="K697" s="27"/>
    </row>
    <row r="698" spans="11:11">
      <c r="K698" s="27"/>
    </row>
    <row r="699" spans="11:11">
      <c r="K699" s="27"/>
    </row>
    <row r="700" spans="11:11">
      <c r="K700" s="27"/>
    </row>
    <row r="701" spans="11:11">
      <c r="K701" s="27"/>
    </row>
    <row r="702" spans="11:11">
      <c r="K702" s="27"/>
    </row>
    <row r="703" spans="11:11">
      <c r="K703" s="27"/>
    </row>
    <row r="704" spans="11:11">
      <c r="K704" s="27"/>
    </row>
    <row r="705" spans="11:11">
      <c r="K705" s="27"/>
    </row>
    <row r="706" spans="11:11">
      <c r="K706" s="27"/>
    </row>
    <row r="707" spans="11:11">
      <c r="K707" s="27"/>
    </row>
    <row r="708" spans="11:11">
      <c r="K708" s="27"/>
    </row>
    <row r="709" spans="11:11">
      <c r="K709" s="27"/>
    </row>
    <row r="710" spans="11:11">
      <c r="K710" s="27"/>
    </row>
    <row r="711" spans="11:11">
      <c r="K711" s="27"/>
    </row>
    <row r="712" spans="11:11">
      <c r="K712" s="27"/>
    </row>
    <row r="713" spans="11:11">
      <c r="K713" s="27"/>
    </row>
    <row r="714" spans="11:11">
      <c r="K714" s="27"/>
    </row>
    <row r="715" spans="11:11">
      <c r="K715" s="27"/>
    </row>
    <row r="716" spans="11:11">
      <c r="K716" s="27"/>
    </row>
    <row r="717" spans="11:11">
      <c r="K717" s="27"/>
    </row>
    <row r="718" spans="11:11">
      <c r="K718" s="27"/>
    </row>
    <row r="719" spans="11:11">
      <c r="K719" s="27"/>
    </row>
    <row r="720" spans="11:11">
      <c r="K720" s="27"/>
    </row>
    <row r="721" spans="11:11">
      <c r="K721" s="27"/>
    </row>
    <row r="722" spans="11:11">
      <c r="K722" s="27"/>
    </row>
    <row r="723" spans="11:11">
      <c r="K723" s="27"/>
    </row>
    <row r="724" spans="11:11">
      <c r="K724" s="27"/>
    </row>
    <row r="725" spans="11:11">
      <c r="K725" s="27"/>
    </row>
    <row r="726" spans="11:11">
      <c r="K726" s="27"/>
    </row>
    <row r="727" spans="11:11">
      <c r="K727" s="27"/>
    </row>
    <row r="728" spans="11:11">
      <c r="K728" s="27"/>
    </row>
    <row r="729" spans="11:11">
      <c r="K729" s="27"/>
    </row>
    <row r="730" spans="11:11">
      <c r="K730" s="27"/>
    </row>
    <row r="731" spans="11:11">
      <c r="K731" s="27"/>
    </row>
    <row r="732" spans="11:11">
      <c r="K732" s="27"/>
    </row>
    <row r="733" spans="11:11">
      <c r="K733" s="27"/>
    </row>
    <row r="734" spans="11:11">
      <c r="K734" s="27"/>
    </row>
    <row r="735" spans="11:11">
      <c r="K735" s="27"/>
    </row>
    <row r="736" spans="11:11">
      <c r="K736" s="27"/>
    </row>
    <row r="737" spans="11:11">
      <c r="K737" s="27"/>
    </row>
    <row r="738" spans="11:11">
      <c r="K738" s="27"/>
    </row>
    <row r="739" spans="11:11">
      <c r="K739" s="27"/>
    </row>
    <row r="740" spans="11:11">
      <c r="K740" s="27"/>
    </row>
    <row r="741" spans="11:11">
      <c r="K741" s="27"/>
    </row>
    <row r="742" spans="11:11">
      <c r="K742" s="27"/>
    </row>
    <row r="743" spans="11:11">
      <c r="K743" s="27"/>
    </row>
    <row r="744" spans="11:11">
      <c r="K744" s="27"/>
    </row>
    <row r="745" spans="11:11">
      <c r="K745" s="27"/>
    </row>
    <row r="746" spans="11:11">
      <c r="K746" s="27"/>
    </row>
    <row r="747" spans="11:11">
      <c r="K747" s="27"/>
    </row>
    <row r="748" spans="11:11">
      <c r="K748" s="27"/>
    </row>
    <row r="749" spans="11:11">
      <c r="K749" s="27"/>
    </row>
    <row r="750" spans="11:11">
      <c r="K750" s="27"/>
    </row>
    <row r="751" spans="11:11">
      <c r="K751" s="27"/>
    </row>
    <row r="752" spans="11:11">
      <c r="K752" s="27"/>
    </row>
    <row r="753" spans="11:11">
      <c r="K753" s="27"/>
    </row>
    <row r="754" spans="11:11">
      <c r="K754" s="27"/>
    </row>
    <row r="755" spans="11:11">
      <c r="K755" s="27"/>
    </row>
    <row r="756" spans="11:11">
      <c r="K756" s="27"/>
    </row>
    <row r="757" spans="11:11">
      <c r="K757" s="27"/>
    </row>
    <row r="758" spans="11:11">
      <c r="K758" s="27"/>
    </row>
    <row r="759" spans="11:11">
      <c r="K759" s="27"/>
    </row>
    <row r="760" spans="11:11">
      <c r="K760" s="27"/>
    </row>
    <row r="761" spans="11:11">
      <c r="K761" s="27"/>
    </row>
    <row r="762" spans="11:11">
      <c r="K762" s="27"/>
    </row>
    <row r="763" spans="11:11">
      <c r="K763" s="27"/>
    </row>
    <row r="764" spans="11:11">
      <c r="K764" s="27"/>
    </row>
    <row r="765" spans="11:11">
      <c r="K765" s="27"/>
    </row>
    <row r="766" spans="11:11">
      <c r="K766" s="27"/>
    </row>
    <row r="767" spans="11:11">
      <c r="K767" s="27"/>
    </row>
    <row r="768" spans="11:11">
      <c r="K768" s="27"/>
    </row>
    <row r="769" spans="11:11">
      <c r="K769" s="27"/>
    </row>
    <row r="770" spans="11:11">
      <c r="K770" s="27"/>
    </row>
    <row r="771" spans="11:11">
      <c r="K771" s="27"/>
    </row>
    <row r="772" spans="11:11">
      <c r="K772" s="27"/>
    </row>
    <row r="773" spans="11:11">
      <c r="K773" s="27"/>
    </row>
    <row r="774" spans="11:11">
      <c r="K774" s="27"/>
    </row>
    <row r="775" spans="11:11">
      <c r="K775" s="27"/>
    </row>
    <row r="776" spans="11:11">
      <c r="K776" s="27"/>
    </row>
    <row r="777" spans="11:11">
      <c r="K777" s="27"/>
    </row>
    <row r="778" spans="11:11">
      <c r="K778" s="27"/>
    </row>
    <row r="779" spans="11:11">
      <c r="K779" s="27"/>
    </row>
    <row r="780" spans="11:11">
      <c r="K780" s="27"/>
    </row>
    <row r="781" spans="11:11">
      <c r="K781" s="27"/>
    </row>
    <row r="782" spans="11:11">
      <c r="K782" s="27"/>
    </row>
    <row r="783" spans="11:11">
      <c r="K783" s="27"/>
    </row>
    <row r="784" spans="11:11">
      <c r="K784" s="27"/>
    </row>
    <row r="785" spans="11:11">
      <c r="K785" s="27"/>
    </row>
    <row r="786" spans="11:11">
      <c r="K786" s="27"/>
    </row>
    <row r="787" spans="11:11">
      <c r="K787" s="27"/>
    </row>
    <row r="788" spans="11:11">
      <c r="K788" s="27"/>
    </row>
    <row r="789" spans="11:11">
      <c r="K789" s="27"/>
    </row>
    <row r="790" spans="11:11">
      <c r="K790" s="27"/>
    </row>
    <row r="791" spans="11:11">
      <c r="K791" s="27"/>
    </row>
    <row r="792" spans="11:11">
      <c r="K792" s="27"/>
    </row>
    <row r="793" spans="11:11">
      <c r="K793" s="27"/>
    </row>
    <row r="794" spans="11:11">
      <c r="K794" s="27"/>
    </row>
    <row r="795" spans="11:11">
      <c r="K795" s="27"/>
    </row>
    <row r="796" spans="11:11">
      <c r="K796" s="27"/>
    </row>
    <row r="797" spans="11:11">
      <c r="K797" s="27"/>
    </row>
    <row r="798" spans="11:11">
      <c r="K798" s="27"/>
    </row>
    <row r="799" spans="11:11">
      <c r="K799" s="27"/>
    </row>
    <row r="800" spans="11:11">
      <c r="K800" s="27"/>
    </row>
    <row r="801" spans="11:11">
      <c r="K801" s="27"/>
    </row>
    <row r="802" spans="11:11">
      <c r="K802" s="27"/>
    </row>
    <row r="803" spans="11:11">
      <c r="K803" s="27"/>
    </row>
    <row r="804" spans="11:11">
      <c r="K804" s="27"/>
    </row>
    <row r="805" spans="11:11">
      <c r="K805" s="27"/>
    </row>
    <row r="806" spans="11:11">
      <c r="K806" s="27"/>
    </row>
    <row r="807" spans="11:11">
      <c r="K807" s="27"/>
    </row>
    <row r="808" spans="11:11">
      <c r="K808" s="27"/>
    </row>
    <row r="809" spans="11:11">
      <c r="K809" s="27"/>
    </row>
    <row r="810" spans="11:11">
      <c r="K810" s="27"/>
    </row>
    <row r="811" spans="11:11">
      <c r="K811" s="27"/>
    </row>
    <row r="812" spans="11:11">
      <c r="K812" s="27"/>
    </row>
    <row r="813" spans="11:11">
      <c r="K813" s="27"/>
    </row>
    <row r="814" spans="11:11">
      <c r="K814" s="27"/>
    </row>
    <row r="815" spans="11:11">
      <c r="K815" s="27"/>
    </row>
    <row r="816" spans="11:11">
      <c r="K816" s="27"/>
    </row>
    <row r="817" spans="11:11">
      <c r="K817" s="27"/>
    </row>
    <row r="818" spans="11:11">
      <c r="K818" s="27"/>
    </row>
    <row r="819" spans="11:11">
      <c r="K819" s="27"/>
    </row>
    <row r="820" spans="11:11">
      <c r="K820" s="27"/>
    </row>
    <row r="821" spans="11:11">
      <c r="K821" s="27"/>
    </row>
    <row r="822" spans="11:11">
      <c r="K822" s="27"/>
    </row>
    <row r="823" spans="11:11">
      <c r="K823" s="27"/>
    </row>
    <row r="824" spans="11:11">
      <c r="K824" s="27"/>
    </row>
    <row r="825" spans="11:11">
      <c r="K825" s="27"/>
    </row>
    <row r="826" spans="11:11">
      <c r="K826" s="27"/>
    </row>
    <row r="827" spans="11:11">
      <c r="K827" s="27"/>
    </row>
    <row r="828" spans="11:11">
      <c r="K828" s="27"/>
    </row>
    <row r="829" spans="11:11">
      <c r="K829" s="27"/>
    </row>
    <row r="830" spans="11:11">
      <c r="K830" s="27"/>
    </row>
    <row r="831" spans="11:11">
      <c r="K831" s="27"/>
    </row>
    <row r="832" spans="11:11">
      <c r="K832" s="27"/>
    </row>
    <row r="833" spans="11:11">
      <c r="K833" s="27"/>
    </row>
    <row r="834" spans="11:11">
      <c r="K834" s="27"/>
    </row>
    <row r="835" spans="11:11">
      <c r="K835" s="27"/>
    </row>
    <row r="836" spans="11:11">
      <c r="K836" s="27"/>
    </row>
    <row r="837" spans="11:11">
      <c r="K837" s="27"/>
    </row>
    <row r="838" spans="11:11">
      <c r="K838" s="27"/>
    </row>
    <row r="839" spans="11:11">
      <c r="K839" s="27"/>
    </row>
    <row r="840" spans="11:11">
      <c r="K840" s="27"/>
    </row>
    <row r="841" spans="11:11">
      <c r="K841" s="27"/>
    </row>
    <row r="842" spans="11:11">
      <c r="K842" s="27"/>
    </row>
    <row r="843" spans="11:11">
      <c r="K843" s="27"/>
    </row>
    <row r="844" spans="11:11">
      <c r="K844" s="27"/>
    </row>
    <row r="845" spans="11:11">
      <c r="K845" s="27"/>
    </row>
    <row r="846" spans="11:11">
      <c r="K846" s="27"/>
    </row>
    <row r="847" spans="11:11">
      <c r="K847" s="27"/>
    </row>
    <row r="848" spans="11:11">
      <c r="K848" s="27"/>
    </row>
    <row r="849" spans="11:11">
      <c r="K849" s="27"/>
    </row>
    <row r="850" spans="11:11">
      <c r="K850" s="27"/>
    </row>
    <row r="851" spans="11:11">
      <c r="K851" s="27"/>
    </row>
    <row r="852" spans="11:11">
      <c r="K852" s="27"/>
    </row>
    <row r="853" spans="11:11">
      <c r="K853" s="27"/>
    </row>
    <row r="854" spans="11:11">
      <c r="K854" s="27"/>
    </row>
    <row r="855" spans="11:11">
      <c r="K855" s="27"/>
    </row>
    <row r="856" spans="11:11">
      <c r="K856" s="27"/>
    </row>
    <row r="857" spans="11:11">
      <c r="K857" s="27"/>
    </row>
    <row r="858" spans="11:11">
      <c r="K858" s="27"/>
    </row>
    <row r="859" spans="11:11">
      <c r="K859" s="27"/>
    </row>
    <row r="860" spans="11:11">
      <c r="K860" s="27"/>
    </row>
    <row r="861" spans="11:11">
      <c r="K861" s="27"/>
    </row>
    <row r="862" spans="11:11">
      <c r="K862" s="27"/>
    </row>
    <row r="863" spans="11:11">
      <c r="K863" s="27"/>
    </row>
    <row r="864" spans="11:11">
      <c r="K864" s="27"/>
    </row>
    <row r="865" spans="11:11">
      <c r="K865" s="27"/>
    </row>
    <row r="866" spans="11:11">
      <c r="K866" s="27"/>
    </row>
    <row r="867" spans="11:11">
      <c r="K867" s="27"/>
    </row>
    <row r="868" spans="11:11">
      <c r="K868" s="27"/>
    </row>
    <row r="869" spans="11:11">
      <c r="K869" s="27"/>
    </row>
    <row r="870" spans="11:11">
      <c r="K870" s="27"/>
    </row>
    <row r="871" spans="11:11">
      <c r="K871" s="27"/>
    </row>
    <row r="872" spans="11:11">
      <c r="K872" s="27"/>
    </row>
    <row r="873" spans="11:11">
      <c r="K873" s="27"/>
    </row>
    <row r="874" spans="11:11">
      <c r="K874" s="27"/>
    </row>
    <row r="875" spans="11:11">
      <c r="K875" s="27"/>
    </row>
    <row r="876" spans="11:11">
      <c r="K876" s="27"/>
    </row>
    <row r="877" spans="11:11">
      <c r="K877" s="27"/>
    </row>
    <row r="878" spans="11:11">
      <c r="K878" s="27"/>
    </row>
    <row r="879" spans="11:11">
      <c r="K879" s="27"/>
    </row>
    <row r="880" spans="11:11">
      <c r="K880" s="27"/>
    </row>
    <row r="881" spans="11:11">
      <c r="K881" s="27"/>
    </row>
    <row r="882" spans="11:11">
      <c r="K882" s="27"/>
    </row>
    <row r="883" spans="11:11">
      <c r="K883" s="27"/>
    </row>
    <row r="884" spans="11:11">
      <c r="K884" s="27"/>
    </row>
    <row r="885" spans="11:11">
      <c r="K885" s="27"/>
    </row>
    <row r="886" spans="11:11">
      <c r="K886" s="27"/>
    </row>
    <row r="887" spans="11:11">
      <c r="K887" s="27"/>
    </row>
    <row r="888" spans="11:11">
      <c r="K888" s="27"/>
    </row>
    <row r="889" spans="11:11">
      <c r="K889" s="27"/>
    </row>
    <row r="890" spans="11:11">
      <c r="K890" s="27"/>
    </row>
    <row r="891" spans="11:11">
      <c r="K891" s="27"/>
    </row>
    <row r="892" spans="11:11">
      <c r="K892" s="27"/>
    </row>
    <row r="893" spans="11:11">
      <c r="K893" s="27"/>
    </row>
    <row r="894" spans="11:11">
      <c r="K894" s="27"/>
    </row>
    <row r="895" spans="11:11">
      <c r="K895" s="27"/>
    </row>
    <row r="896" spans="11:11">
      <c r="K896" s="27"/>
    </row>
    <row r="897" spans="11:11">
      <c r="K897" s="27"/>
    </row>
    <row r="898" spans="11:11">
      <c r="K898" s="27"/>
    </row>
    <row r="899" spans="11:11">
      <c r="K899" s="27"/>
    </row>
    <row r="900" spans="11:11">
      <c r="K900" s="27"/>
    </row>
    <row r="901" spans="11:11">
      <c r="K901" s="27"/>
    </row>
    <row r="902" spans="11:11">
      <c r="K902" s="27"/>
    </row>
    <row r="903" spans="11:11">
      <c r="K903" s="27"/>
    </row>
    <row r="904" spans="11:11">
      <c r="K904" s="27"/>
    </row>
    <row r="905" spans="11:11">
      <c r="K905" s="27"/>
    </row>
    <row r="906" spans="11:11">
      <c r="K906" s="27"/>
    </row>
    <row r="907" spans="11:11">
      <c r="K907" s="27"/>
    </row>
    <row r="908" spans="11:11">
      <c r="K908" s="27"/>
    </row>
    <row r="909" spans="11:11">
      <c r="K909" s="27"/>
    </row>
    <row r="910" spans="11:11">
      <c r="K910" s="27"/>
    </row>
    <row r="911" spans="11:11">
      <c r="K911" s="27"/>
    </row>
    <row r="912" spans="11:11">
      <c r="K912" s="27"/>
    </row>
    <row r="913" spans="11:11">
      <c r="K913" s="27"/>
    </row>
    <row r="914" spans="11:11">
      <c r="K914" s="27"/>
    </row>
    <row r="915" spans="11:11">
      <c r="K915" s="27"/>
    </row>
    <row r="916" spans="11:11">
      <c r="K916" s="27"/>
    </row>
    <row r="917" spans="11:11">
      <c r="K917" s="27"/>
    </row>
    <row r="918" spans="11:11">
      <c r="K918" s="27"/>
    </row>
    <row r="919" spans="11:11">
      <c r="K919" s="27"/>
    </row>
    <row r="920" spans="11:11">
      <c r="K920" s="27"/>
    </row>
    <row r="921" spans="11:11">
      <c r="K921" s="27"/>
    </row>
    <row r="922" spans="11:11">
      <c r="K922" s="27"/>
    </row>
    <row r="923" spans="11:11">
      <c r="K923" s="27"/>
    </row>
    <row r="924" spans="11:11">
      <c r="K924" s="27"/>
    </row>
    <row r="925" spans="11:11">
      <c r="K925" s="27"/>
    </row>
    <row r="926" spans="11:11">
      <c r="K926" s="27"/>
    </row>
    <row r="927" spans="11:11">
      <c r="K927" s="27"/>
    </row>
    <row r="928" spans="11:11">
      <c r="K928" s="27"/>
    </row>
    <row r="929" spans="11:11">
      <c r="K929" s="27"/>
    </row>
    <row r="930" spans="11:11">
      <c r="K930" s="27"/>
    </row>
    <row r="931" spans="11:11">
      <c r="K931" s="27"/>
    </row>
    <row r="932" spans="11:11">
      <c r="K932" s="27"/>
    </row>
    <row r="933" spans="11:11">
      <c r="K933" s="27"/>
    </row>
    <row r="934" spans="11:11">
      <c r="K934" s="27"/>
    </row>
    <row r="935" spans="11:11">
      <c r="K935" s="27"/>
    </row>
    <row r="936" spans="11:11">
      <c r="K936" s="27"/>
    </row>
    <row r="937" spans="11:11">
      <c r="K937" s="27"/>
    </row>
    <row r="938" spans="11:11">
      <c r="K938" s="27"/>
    </row>
    <row r="939" spans="11:11">
      <c r="K939" s="27"/>
    </row>
    <row r="940" spans="11:11">
      <c r="K940" s="27"/>
    </row>
    <row r="941" spans="11:11">
      <c r="K941" s="27"/>
    </row>
    <row r="942" spans="11:11">
      <c r="K942" s="27"/>
    </row>
    <row r="943" spans="11:11">
      <c r="K943" s="27"/>
    </row>
    <row r="944" spans="11:11">
      <c r="K944" s="27"/>
    </row>
    <row r="945" spans="11:11">
      <c r="K945" s="27"/>
    </row>
    <row r="946" spans="11:11">
      <c r="K946" s="27"/>
    </row>
    <row r="947" spans="11:11">
      <c r="K947" s="27"/>
    </row>
    <row r="948" spans="11:11">
      <c r="K948" s="27"/>
    </row>
    <row r="949" spans="11:11">
      <c r="K949" s="27"/>
    </row>
    <row r="950" spans="11:11">
      <c r="K950" s="27"/>
    </row>
    <row r="951" spans="11:11">
      <c r="K951" s="27"/>
    </row>
    <row r="952" spans="11:11">
      <c r="K952" s="27"/>
    </row>
    <row r="953" spans="11:11">
      <c r="K953" s="27"/>
    </row>
    <row r="954" spans="11:11">
      <c r="K954" s="27"/>
    </row>
    <row r="955" spans="11:11">
      <c r="K955" s="27"/>
    </row>
    <row r="956" spans="11:11">
      <c r="K956" s="27"/>
    </row>
    <row r="957" spans="11:11">
      <c r="K957" s="27"/>
    </row>
    <row r="958" spans="11:11">
      <c r="K958" s="27"/>
    </row>
    <row r="959" spans="11:11">
      <c r="K959" s="27"/>
    </row>
    <row r="960" spans="11:11">
      <c r="K960" s="27"/>
    </row>
    <row r="961" spans="11:11">
      <c r="K961" s="27"/>
    </row>
    <row r="962" spans="11:11">
      <c r="K962" s="27"/>
    </row>
    <row r="963" spans="11:11">
      <c r="K963" s="27"/>
    </row>
    <row r="964" spans="11:11">
      <c r="K964" s="27"/>
    </row>
    <row r="965" spans="11:11">
      <c r="K965" s="27"/>
    </row>
    <row r="966" spans="11:11">
      <c r="K966" s="27"/>
    </row>
    <row r="967" spans="11:11">
      <c r="K967" s="27"/>
    </row>
    <row r="968" spans="11:11">
      <c r="K968" s="27"/>
    </row>
    <row r="969" spans="11:11">
      <c r="K969" s="27"/>
    </row>
    <row r="970" spans="11:11">
      <c r="K970" s="27"/>
    </row>
    <row r="971" spans="11:11">
      <c r="K971" s="27"/>
    </row>
    <row r="972" spans="11:11">
      <c r="K972" s="27"/>
    </row>
    <row r="973" spans="11:11">
      <c r="K973" s="27"/>
    </row>
    <row r="974" spans="11:11">
      <c r="K974" s="27"/>
    </row>
    <row r="975" spans="11:11">
      <c r="K975" s="27"/>
    </row>
    <row r="976" spans="11:11">
      <c r="K976" s="27"/>
    </row>
    <row r="977" spans="11:11">
      <c r="K977" s="27"/>
    </row>
    <row r="978" spans="11:11">
      <c r="K978" s="27"/>
    </row>
    <row r="979" spans="11:11">
      <c r="K979" s="27"/>
    </row>
    <row r="980" spans="11:11">
      <c r="K980" s="27"/>
    </row>
    <row r="981" spans="11:11">
      <c r="K981" s="27"/>
    </row>
    <row r="982" spans="11:11">
      <c r="K982" s="27"/>
    </row>
    <row r="983" spans="11:11">
      <c r="K983" s="27"/>
    </row>
    <row r="984" spans="11:11">
      <c r="K984" s="27"/>
    </row>
    <row r="985" spans="11:11">
      <c r="K985" s="27"/>
    </row>
    <row r="986" spans="11:11">
      <c r="K986" s="27"/>
    </row>
    <row r="987" spans="11:11">
      <c r="K987" s="27"/>
    </row>
    <row r="988" spans="11:11">
      <c r="K988" s="27"/>
    </row>
    <row r="989" spans="11:11">
      <c r="K989" s="27"/>
    </row>
    <row r="990" spans="11:11">
      <c r="K990" s="27"/>
    </row>
    <row r="991" spans="11:11">
      <c r="K991" s="27"/>
    </row>
    <row r="992" spans="11:11">
      <c r="K992" s="27"/>
    </row>
    <row r="993" spans="11:11">
      <c r="K993" s="27"/>
    </row>
    <row r="994" spans="11:11">
      <c r="K994" s="27"/>
    </row>
    <row r="995" spans="11:11">
      <c r="K995" s="27"/>
    </row>
    <row r="996" spans="11:11">
      <c r="K996" s="27"/>
    </row>
    <row r="997" spans="11:11">
      <c r="K997" s="27"/>
    </row>
    <row r="998" spans="11:11">
      <c r="K998" s="27"/>
    </row>
    <row r="999" spans="11:11">
      <c r="K999" s="27"/>
    </row>
    <row r="1000" spans="11:11">
      <c r="K1000" s="27"/>
    </row>
  </sheetData>
  <mergeCells count="1">
    <mergeCell ref="J1:K1"/>
  </mergeCells>
  <hyperlinks>
    <hyperlink ref="L2" r:id="rId1" xr:uid="{00000000-0004-0000-0100-000000000000}"/>
    <hyperlink ref="L3" r:id="rId2" xr:uid="{00000000-0004-0000-0100-000001000000}"/>
    <hyperlink ref="L4" r:id="rId3" xr:uid="{00000000-0004-0000-0100-000002000000}"/>
    <hyperlink ref="L5" r:id="rId4" xr:uid="{00000000-0004-0000-0100-000003000000}"/>
    <hyperlink ref="L6" r:id="rId5" xr:uid="{00000000-0004-0000-0100-000004000000}"/>
    <hyperlink ref="L7" r:id="rId6" xr:uid="{00000000-0004-0000-0100-000005000000}"/>
    <hyperlink ref="L8" r:id="rId7" xr:uid="{00000000-0004-0000-0100-000006000000}"/>
    <hyperlink ref="L9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baseColWidth="10" defaultColWidth="14.5" defaultRowHeight="15" customHeight="1"/>
  <cols>
    <col min="1" max="1" width="7.6640625" customWidth="1"/>
    <col min="2" max="2" width="11.5" customWidth="1"/>
    <col min="3" max="10" width="9.83203125" customWidth="1"/>
    <col min="11" max="11" width="28.33203125" customWidth="1"/>
    <col min="12" max="26" width="9.83203125" customWidth="1"/>
  </cols>
  <sheetData>
    <row r="1" spans="1:11" ht="14.25" customHeight="1">
      <c r="A1" s="60" t="s">
        <v>1245</v>
      </c>
    </row>
    <row r="2" spans="1:11" ht="14.25" customHeight="1">
      <c r="A2" s="61" t="s">
        <v>0</v>
      </c>
      <c r="B2" s="61" t="s">
        <v>1246</v>
      </c>
      <c r="C2" s="61">
        <v>2017</v>
      </c>
      <c r="D2" s="61">
        <v>2018</v>
      </c>
      <c r="E2" s="61">
        <v>2019</v>
      </c>
      <c r="F2" s="61">
        <v>2020</v>
      </c>
      <c r="G2" s="61">
        <v>2021</v>
      </c>
      <c r="H2" s="61">
        <v>2022</v>
      </c>
      <c r="I2" s="61">
        <v>2023</v>
      </c>
      <c r="J2" s="61">
        <v>2024</v>
      </c>
      <c r="K2" s="62" t="s">
        <v>1247</v>
      </c>
    </row>
    <row r="3" spans="1:11" ht="14.25" customHeight="1">
      <c r="A3" s="63">
        <v>24.001000000000001</v>
      </c>
      <c r="B3" s="63" t="s">
        <v>417</v>
      </c>
      <c r="C3" s="64" t="s">
        <v>1248</v>
      </c>
      <c r="D3" s="64" t="s">
        <v>1248</v>
      </c>
      <c r="E3" s="64" t="s">
        <v>1248</v>
      </c>
      <c r="F3" s="64" t="s">
        <v>1248</v>
      </c>
      <c r="G3" s="64" t="s">
        <v>1248</v>
      </c>
      <c r="H3" s="64" t="s">
        <v>1248</v>
      </c>
      <c r="I3" s="65" t="s">
        <v>1248</v>
      </c>
      <c r="J3" s="65"/>
      <c r="K3" s="66"/>
    </row>
    <row r="4" spans="1:11" ht="14.25" customHeight="1">
      <c r="A4" s="67">
        <v>24.001999999999999</v>
      </c>
      <c r="B4" s="67" t="s">
        <v>421</v>
      </c>
      <c r="C4" s="67" t="s">
        <v>1249</v>
      </c>
      <c r="D4" s="67" t="s">
        <v>1249</v>
      </c>
      <c r="E4" s="67" t="s">
        <v>1249</v>
      </c>
      <c r="F4" s="67" t="s">
        <v>1249</v>
      </c>
      <c r="G4" s="67"/>
      <c r="H4" s="67"/>
      <c r="I4" s="67"/>
      <c r="J4" s="67"/>
      <c r="K4" s="68" t="s">
        <v>1250</v>
      </c>
    </row>
    <row r="5" spans="1:11" ht="14.25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11" ht="14.2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</row>
    <row r="7" spans="1:11" ht="14.2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</row>
    <row r="8" spans="1:11" ht="14.25" customHeight="1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</row>
    <row r="9" spans="1:11" ht="14.25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1:11" ht="14.2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</row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404"/>
  <sheetViews>
    <sheetView tabSelected="1" workbookViewId="0">
      <selection activeCell="H14" sqref="H14"/>
    </sheetView>
  </sheetViews>
  <sheetFormatPr baseColWidth="10" defaultColWidth="14.5" defaultRowHeight="15" customHeight="1"/>
  <cols>
    <col min="1" max="1" width="5.5" customWidth="1"/>
    <col min="6" max="6" width="38.83203125" customWidth="1"/>
  </cols>
  <sheetData>
    <row r="1" spans="1:6">
      <c r="A1" s="69" t="s">
        <v>1251</v>
      </c>
      <c r="B1" s="69" t="s">
        <v>410</v>
      </c>
      <c r="E1" s="48" t="s">
        <v>1252</v>
      </c>
      <c r="F1" s="48"/>
    </row>
    <row r="2" spans="1:6">
      <c r="A2" s="70">
        <v>1</v>
      </c>
      <c r="B2" s="55" t="s">
        <v>417</v>
      </c>
      <c r="E2" s="48" t="s">
        <v>1253</v>
      </c>
      <c r="F2" s="71"/>
    </row>
    <row r="3" spans="1:6">
      <c r="A3" s="70">
        <v>2</v>
      </c>
      <c r="B3" s="55" t="s">
        <v>421</v>
      </c>
    </row>
    <row r="4" spans="1:6">
      <c r="A4" s="70">
        <v>3</v>
      </c>
      <c r="B4" s="55" t="s">
        <v>424</v>
      </c>
    </row>
    <row r="5" spans="1:6">
      <c r="A5" s="70">
        <v>4</v>
      </c>
      <c r="B5" s="55" t="s">
        <v>427</v>
      </c>
    </row>
    <row r="6" spans="1:6">
      <c r="A6" s="70">
        <v>5</v>
      </c>
      <c r="B6" s="55" t="s">
        <v>430</v>
      </c>
    </row>
    <row r="7" spans="1:6">
      <c r="A7" s="70">
        <v>6</v>
      </c>
      <c r="B7" s="55" t="s">
        <v>434</v>
      </c>
    </row>
    <row r="8" spans="1:6">
      <c r="A8" s="70">
        <v>7</v>
      </c>
      <c r="B8" s="55" t="s">
        <v>437</v>
      </c>
    </row>
    <row r="9" spans="1:6">
      <c r="A9" s="70">
        <v>8</v>
      </c>
      <c r="B9" s="55" t="s">
        <v>440</v>
      </c>
    </row>
    <row r="10" spans="1:6">
      <c r="A10" s="70">
        <v>9</v>
      </c>
      <c r="B10" s="55" t="s">
        <v>443</v>
      </c>
    </row>
    <row r="11" spans="1:6">
      <c r="A11" s="70">
        <v>10</v>
      </c>
      <c r="B11" s="55" t="s">
        <v>446</v>
      </c>
    </row>
    <row r="12" spans="1:6">
      <c r="A12" s="70">
        <v>11</v>
      </c>
      <c r="B12" s="55" t="s">
        <v>449</v>
      </c>
    </row>
    <row r="13" spans="1:6">
      <c r="A13" s="70">
        <v>12</v>
      </c>
      <c r="B13" s="55" t="s">
        <v>452</v>
      </c>
    </row>
    <row r="14" spans="1:6">
      <c r="A14" s="70">
        <v>13</v>
      </c>
      <c r="B14" s="55" t="s">
        <v>456</v>
      </c>
    </row>
    <row r="15" spans="1:6">
      <c r="A15" s="70">
        <v>14</v>
      </c>
      <c r="B15" s="55" t="s">
        <v>459</v>
      </c>
    </row>
    <row r="16" spans="1:6">
      <c r="A16" s="70">
        <v>15</v>
      </c>
      <c r="B16" s="55" t="s">
        <v>462</v>
      </c>
    </row>
    <row r="17" spans="1:2">
      <c r="A17" s="70">
        <v>16</v>
      </c>
      <c r="B17" s="55" t="s">
        <v>465</v>
      </c>
    </row>
    <row r="18" spans="1:2">
      <c r="A18" s="70">
        <v>17</v>
      </c>
      <c r="B18" s="55" t="s">
        <v>468</v>
      </c>
    </row>
    <row r="19" spans="1:2">
      <c r="A19" s="70">
        <v>18</v>
      </c>
      <c r="B19" s="55" t="s">
        <v>471</v>
      </c>
    </row>
    <row r="20" spans="1:2">
      <c r="A20" s="70">
        <v>19</v>
      </c>
      <c r="B20" s="55" t="s">
        <v>474</v>
      </c>
    </row>
    <row r="21" spans="1:2">
      <c r="A21" s="70">
        <v>20</v>
      </c>
      <c r="B21" s="55" t="s">
        <v>477</v>
      </c>
    </row>
    <row r="22" spans="1:2">
      <c r="A22" s="70">
        <v>21</v>
      </c>
      <c r="B22" s="55" t="s">
        <v>480</v>
      </c>
    </row>
    <row r="23" spans="1:2">
      <c r="A23" s="70">
        <v>22</v>
      </c>
      <c r="B23" s="55" t="s">
        <v>483</v>
      </c>
    </row>
    <row r="24" spans="1:2">
      <c r="A24" s="70">
        <v>23</v>
      </c>
      <c r="B24" s="55" t="s">
        <v>486</v>
      </c>
    </row>
    <row r="25" spans="1:2">
      <c r="A25" s="70">
        <v>24</v>
      </c>
      <c r="B25" s="55" t="s">
        <v>488</v>
      </c>
    </row>
    <row r="26" spans="1:2">
      <c r="A26" s="70">
        <v>25</v>
      </c>
      <c r="B26" s="55" t="s">
        <v>491</v>
      </c>
    </row>
    <row r="27" spans="1:2">
      <c r="A27" s="70">
        <v>26</v>
      </c>
      <c r="B27" s="55" t="s">
        <v>494</v>
      </c>
    </row>
    <row r="28" spans="1:2">
      <c r="A28" s="70">
        <v>27</v>
      </c>
      <c r="B28" s="55" t="s">
        <v>497</v>
      </c>
    </row>
    <row r="29" spans="1:2">
      <c r="A29" s="70">
        <v>28</v>
      </c>
      <c r="B29" s="55" t="s">
        <v>499</v>
      </c>
    </row>
    <row r="30" spans="1:2">
      <c r="A30" s="70">
        <v>29</v>
      </c>
      <c r="B30" s="55" t="s">
        <v>502</v>
      </c>
    </row>
    <row r="31" spans="1:2">
      <c r="A31" s="70">
        <v>30</v>
      </c>
      <c r="B31" s="55" t="s">
        <v>505</v>
      </c>
    </row>
    <row r="32" spans="1:2">
      <c r="A32" s="70">
        <v>31</v>
      </c>
      <c r="B32" s="55" t="s">
        <v>506</v>
      </c>
    </row>
    <row r="33" spans="1:2">
      <c r="A33" s="70">
        <v>32</v>
      </c>
      <c r="B33" s="55" t="s">
        <v>508</v>
      </c>
    </row>
    <row r="34" spans="1:2">
      <c r="A34" s="70">
        <v>33</v>
      </c>
      <c r="B34" s="55" t="s">
        <v>512</v>
      </c>
    </row>
    <row r="35" spans="1:2">
      <c r="A35" s="70">
        <v>34</v>
      </c>
      <c r="B35" s="55" t="s">
        <v>514</v>
      </c>
    </row>
    <row r="36" spans="1:2">
      <c r="A36" s="70">
        <v>35</v>
      </c>
      <c r="B36" s="55" t="s">
        <v>518</v>
      </c>
    </row>
    <row r="37" spans="1:2">
      <c r="A37" s="70">
        <v>36</v>
      </c>
      <c r="B37" s="55" t="s">
        <v>522</v>
      </c>
    </row>
    <row r="38" spans="1:2">
      <c r="A38" s="70">
        <v>37</v>
      </c>
      <c r="B38" s="55" t="s">
        <v>525</v>
      </c>
    </row>
    <row r="39" spans="1:2">
      <c r="A39" s="70">
        <v>38</v>
      </c>
      <c r="B39" s="55" t="s">
        <v>528</v>
      </c>
    </row>
    <row r="40" spans="1:2">
      <c r="A40" s="70">
        <v>39</v>
      </c>
      <c r="B40" s="55" t="s">
        <v>529</v>
      </c>
    </row>
    <row r="41" spans="1:2">
      <c r="A41" s="70">
        <v>40</v>
      </c>
      <c r="B41" s="55" t="s">
        <v>532</v>
      </c>
    </row>
    <row r="42" spans="1:2">
      <c r="A42" s="70">
        <v>41</v>
      </c>
      <c r="B42" s="55" t="s">
        <v>535</v>
      </c>
    </row>
    <row r="43" spans="1:2">
      <c r="A43" s="70">
        <v>42</v>
      </c>
      <c r="B43" s="55" t="s">
        <v>538</v>
      </c>
    </row>
    <row r="44" spans="1:2">
      <c r="A44" s="70">
        <v>43</v>
      </c>
      <c r="B44" s="55" t="s">
        <v>540</v>
      </c>
    </row>
    <row r="45" spans="1:2">
      <c r="A45" s="70">
        <v>44</v>
      </c>
      <c r="B45" s="55" t="s">
        <v>542</v>
      </c>
    </row>
    <row r="46" spans="1:2">
      <c r="A46" s="70">
        <v>45</v>
      </c>
      <c r="B46" s="55" t="s">
        <v>546</v>
      </c>
    </row>
    <row r="47" spans="1:2">
      <c r="A47" s="70">
        <v>46</v>
      </c>
      <c r="B47" s="55" t="s">
        <v>549</v>
      </c>
    </row>
    <row r="48" spans="1:2">
      <c r="A48" s="70">
        <v>47</v>
      </c>
      <c r="B48" s="55" t="s">
        <v>551</v>
      </c>
    </row>
    <row r="49" spans="1:2">
      <c r="A49" s="70">
        <v>48</v>
      </c>
      <c r="B49" s="55" t="s">
        <v>554</v>
      </c>
    </row>
    <row r="50" spans="1:2">
      <c r="A50" s="70">
        <v>49</v>
      </c>
      <c r="B50" s="55" t="s">
        <v>557</v>
      </c>
    </row>
    <row r="51" spans="1:2">
      <c r="A51" s="70">
        <v>50</v>
      </c>
      <c r="B51" s="55" t="s">
        <v>560</v>
      </c>
    </row>
    <row r="52" spans="1:2">
      <c r="A52" s="70">
        <v>51</v>
      </c>
      <c r="B52" s="55" t="s">
        <v>562</v>
      </c>
    </row>
    <row r="53" spans="1:2">
      <c r="A53" s="70">
        <v>52</v>
      </c>
      <c r="B53" s="55" t="s">
        <v>564</v>
      </c>
    </row>
    <row r="54" spans="1:2">
      <c r="A54" s="70">
        <v>53</v>
      </c>
      <c r="B54" s="55" t="s">
        <v>566</v>
      </c>
    </row>
    <row r="55" spans="1:2">
      <c r="A55" s="70">
        <v>54</v>
      </c>
      <c r="B55" s="55" t="s">
        <v>568</v>
      </c>
    </row>
    <row r="56" spans="1:2">
      <c r="A56" s="70">
        <v>55</v>
      </c>
      <c r="B56" s="55" t="s">
        <v>571</v>
      </c>
    </row>
    <row r="57" spans="1:2">
      <c r="A57" s="70">
        <v>56</v>
      </c>
      <c r="B57" s="55" t="s">
        <v>573</v>
      </c>
    </row>
    <row r="58" spans="1:2">
      <c r="A58" s="70">
        <v>57</v>
      </c>
      <c r="B58" s="55" t="s">
        <v>574</v>
      </c>
    </row>
    <row r="59" spans="1:2">
      <c r="A59" s="70">
        <v>58</v>
      </c>
      <c r="B59" s="55" t="s">
        <v>577</v>
      </c>
    </row>
    <row r="60" spans="1:2">
      <c r="A60" s="70">
        <v>59</v>
      </c>
      <c r="B60" s="55" t="s">
        <v>580</v>
      </c>
    </row>
    <row r="61" spans="1:2">
      <c r="A61" s="70">
        <v>60</v>
      </c>
      <c r="B61" s="55" t="s">
        <v>582</v>
      </c>
    </row>
    <row r="62" spans="1:2">
      <c r="A62" s="70">
        <v>61</v>
      </c>
      <c r="B62" s="55" t="s">
        <v>583</v>
      </c>
    </row>
    <row r="63" spans="1:2">
      <c r="A63" s="70">
        <v>62</v>
      </c>
      <c r="B63" s="55" t="s">
        <v>586</v>
      </c>
    </row>
    <row r="64" spans="1:2">
      <c r="A64" s="70">
        <v>63</v>
      </c>
      <c r="B64" s="55" t="s">
        <v>588</v>
      </c>
    </row>
    <row r="65" spans="1:2">
      <c r="A65" s="70">
        <v>64</v>
      </c>
      <c r="B65" s="55" t="s">
        <v>590</v>
      </c>
    </row>
    <row r="66" spans="1:2">
      <c r="A66" s="70">
        <v>65</v>
      </c>
      <c r="B66" s="55" t="s">
        <v>593</v>
      </c>
    </row>
    <row r="67" spans="1:2">
      <c r="A67" s="70">
        <v>66</v>
      </c>
      <c r="B67" s="55" t="s">
        <v>596</v>
      </c>
    </row>
    <row r="68" spans="1:2">
      <c r="A68" s="70">
        <v>67</v>
      </c>
      <c r="B68" s="55" t="s">
        <v>598</v>
      </c>
    </row>
    <row r="69" spans="1:2">
      <c r="A69" s="70">
        <v>68</v>
      </c>
      <c r="B69" s="55" t="s">
        <v>600</v>
      </c>
    </row>
    <row r="70" spans="1:2">
      <c r="A70" s="70">
        <v>69</v>
      </c>
      <c r="B70" s="55" t="s">
        <v>603</v>
      </c>
    </row>
    <row r="71" spans="1:2">
      <c r="A71" s="70">
        <v>70</v>
      </c>
      <c r="B71" s="55" t="s">
        <v>604</v>
      </c>
    </row>
    <row r="72" spans="1:2">
      <c r="A72" s="70">
        <v>71</v>
      </c>
      <c r="B72" s="55" t="s">
        <v>606</v>
      </c>
    </row>
    <row r="73" spans="1:2">
      <c r="A73" s="70">
        <v>72</v>
      </c>
      <c r="B73" s="55" t="s">
        <v>608</v>
      </c>
    </row>
    <row r="74" spans="1:2">
      <c r="A74" s="70">
        <v>73</v>
      </c>
      <c r="B74" s="55" t="s">
        <v>609</v>
      </c>
    </row>
    <row r="75" spans="1:2">
      <c r="A75" s="70">
        <v>74</v>
      </c>
      <c r="B75" s="55" t="s">
        <v>612</v>
      </c>
    </row>
    <row r="76" spans="1:2">
      <c r="A76" s="70">
        <v>75</v>
      </c>
      <c r="B76" s="55" t="s">
        <v>615</v>
      </c>
    </row>
    <row r="77" spans="1:2">
      <c r="A77" s="70">
        <v>76</v>
      </c>
      <c r="B77" s="55" t="s">
        <v>618</v>
      </c>
    </row>
    <row r="78" spans="1:2">
      <c r="A78" s="70">
        <v>77</v>
      </c>
      <c r="B78" s="55" t="s">
        <v>621</v>
      </c>
    </row>
    <row r="79" spans="1:2">
      <c r="A79" s="70">
        <v>78</v>
      </c>
      <c r="B79" s="55" t="s">
        <v>622</v>
      </c>
    </row>
    <row r="80" spans="1:2">
      <c r="A80" s="70">
        <v>79</v>
      </c>
      <c r="B80" s="55" t="s">
        <v>624</v>
      </c>
    </row>
    <row r="81" spans="1:2">
      <c r="A81" s="70">
        <v>80</v>
      </c>
      <c r="B81" s="55" t="s">
        <v>625</v>
      </c>
    </row>
    <row r="82" spans="1:2">
      <c r="A82" s="70">
        <v>81</v>
      </c>
      <c r="B82" s="55" t="s">
        <v>626</v>
      </c>
    </row>
    <row r="83" spans="1:2">
      <c r="A83" s="70">
        <v>82</v>
      </c>
      <c r="B83" s="55" t="s">
        <v>628</v>
      </c>
    </row>
    <row r="84" spans="1:2">
      <c r="A84" s="70">
        <v>83</v>
      </c>
      <c r="B84" s="55" t="s">
        <v>631</v>
      </c>
    </row>
    <row r="85" spans="1:2">
      <c r="A85" s="70">
        <v>84</v>
      </c>
      <c r="B85" s="55" t="s">
        <v>633</v>
      </c>
    </row>
    <row r="86" spans="1:2">
      <c r="A86" s="70">
        <v>85</v>
      </c>
      <c r="B86" s="55" t="s">
        <v>634</v>
      </c>
    </row>
    <row r="87" spans="1:2">
      <c r="A87" s="70">
        <v>86</v>
      </c>
      <c r="B87" s="55" t="s">
        <v>638</v>
      </c>
    </row>
    <row r="88" spans="1:2">
      <c r="A88" s="70">
        <v>87</v>
      </c>
      <c r="B88" s="55" t="s">
        <v>640</v>
      </c>
    </row>
    <row r="89" spans="1:2">
      <c r="A89" s="70">
        <v>88</v>
      </c>
      <c r="B89" s="55" t="s">
        <v>643</v>
      </c>
    </row>
    <row r="90" spans="1:2">
      <c r="A90" s="70">
        <v>89</v>
      </c>
      <c r="B90" s="55" t="s">
        <v>645</v>
      </c>
    </row>
    <row r="91" spans="1:2">
      <c r="A91" s="70">
        <v>90</v>
      </c>
      <c r="B91" s="55" t="s">
        <v>647</v>
      </c>
    </row>
    <row r="92" spans="1:2">
      <c r="A92" s="70">
        <v>91</v>
      </c>
      <c r="B92" s="55" t="s">
        <v>648</v>
      </c>
    </row>
    <row r="93" spans="1:2">
      <c r="A93" s="70">
        <v>92</v>
      </c>
      <c r="B93" s="55" t="s">
        <v>650</v>
      </c>
    </row>
    <row r="94" spans="1:2">
      <c r="A94" s="70">
        <v>93</v>
      </c>
      <c r="B94" s="55" t="s">
        <v>651</v>
      </c>
    </row>
    <row r="95" spans="1:2">
      <c r="A95" s="70">
        <v>94</v>
      </c>
      <c r="B95" s="55" t="s">
        <v>653</v>
      </c>
    </row>
    <row r="96" spans="1:2">
      <c r="A96" s="70">
        <v>95</v>
      </c>
      <c r="B96" s="55" t="s">
        <v>655</v>
      </c>
    </row>
    <row r="97" spans="1:2">
      <c r="A97" s="70">
        <v>96</v>
      </c>
      <c r="B97" s="55" t="s">
        <v>657</v>
      </c>
    </row>
    <row r="98" spans="1:2">
      <c r="A98" s="70">
        <v>97</v>
      </c>
      <c r="B98" s="55" t="s">
        <v>659</v>
      </c>
    </row>
    <row r="99" spans="1:2">
      <c r="A99" s="70">
        <v>98</v>
      </c>
      <c r="B99" s="55" t="s">
        <v>660</v>
      </c>
    </row>
    <row r="100" spans="1:2">
      <c r="A100" s="70">
        <v>99</v>
      </c>
      <c r="B100" s="55" t="s">
        <v>662</v>
      </c>
    </row>
    <row r="101" spans="1:2">
      <c r="A101" s="70">
        <v>100</v>
      </c>
      <c r="B101" s="55" t="s">
        <v>664</v>
      </c>
    </row>
    <row r="102" spans="1:2">
      <c r="A102" s="70">
        <v>101</v>
      </c>
      <c r="B102" s="55" t="s">
        <v>665</v>
      </c>
    </row>
    <row r="103" spans="1:2">
      <c r="A103" s="70">
        <v>102</v>
      </c>
      <c r="B103" s="55" t="s">
        <v>668</v>
      </c>
    </row>
    <row r="104" spans="1:2">
      <c r="A104" s="70">
        <v>103</v>
      </c>
      <c r="B104" s="55" t="s">
        <v>671</v>
      </c>
    </row>
    <row r="105" spans="1:2">
      <c r="A105" s="70">
        <v>104</v>
      </c>
      <c r="B105" s="55" t="s">
        <v>673</v>
      </c>
    </row>
    <row r="106" spans="1:2">
      <c r="A106" s="70">
        <v>105</v>
      </c>
      <c r="B106" s="55" t="s">
        <v>674</v>
      </c>
    </row>
    <row r="107" spans="1:2">
      <c r="A107" s="70">
        <v>106</v>
      </c>
      <c r="B107" s="55" t="s">
        <v>676</v>
      </c>
    </row>
    <row r="108" spans="1:2">
      <c r="A108" s="70">
        <v>107</v>
      </c>
      <c r="B108" s="55" t="s">
        <v>678</v>
      </c>
    </row>
    <row r="109" spans="1:2">
      <c r="A109" s="70">
        <v>108</v>
      </c>
      <c r="B109" s="55" t="s">
        <v>679</v>
      </c>
    </row>
    <row r="110" spans="1:2">
      <c r="A110" s="70">
        <v>109</v>
      </c>
      <c r="B110" s="55" t="s">
        <v>681</v>
      </c>
    </row>
    <row r="111" spans="1:2">
      <c r="A111" s="70">
        <v>110</v>
      </c>
      <c r="B111" s="55" t="s">
        <v>684</v>
      </c>
    </row>
    <row r="112" spans="1:2">
      <c r="A112" s="70">
        <v>111</v>
      </c>
      <c r="B112" s="55" t="s">
        <v>687</v>
      </c>
    </row>
    <row r="113" spans="1:2">
      <c r="A113" s="70">
        <v>112</v>
      </c>
      <c r="B113" s="55" t="s">
        <v>689</v>
      </c>
    </row>
    <row r="114" spans="1:2">
      <c r="A114" s="70">
        <v>113</v>
      </c>
      <c r="B114" s="55" t="s">
        <v>692</v>
      </c>
    </row>
    <row r="115" spans="1:2">
      <c r="A115" s="70">
        <v>114</v>
      </c>
      <c r="B115" s="55" t="s">
        <v>695</v>
      </c>
    </row>
    <row r="116" spans="1:2">
      <c r="A116" s="70">
        <v>115</v>
      </c>
      <c r="B116" s="55" t="s">
        <v>698</v>
      </c>
    </row>
    <row r="117" spans="1:2">
      <c r="A117" s="70">
        <v>116</v>
      </c>
      <c r="B117" s="55" t="s">
        <v>701</v>
      </c>
    </row>
    <row r="118" spans="1:2">
      <c r="A118" s="70">
        <v>117</v>
      </c>
      <c r="B118" s="55" t="s">
        <v>702</v>
      </c>
    </row>
    <row r="119" spans="1:2">
      <c r="A119" s="70">
        <v>118</v>
      </c>
      <c r="B119" s="55" t="s">
        <v>705</v>
      </c>
    </row>
    <row r="120" spans="1:2">
      <c r="A120" s="70">
        <v>119</v>
      </c>
      <c r="B120" s="55" t="s">
        <v>707</v>
      </c>
    </row>
    <row r="121" spans="1:2">
      <c r="A121" s="70">
        <v>120</v>
      </c>
      <c r="B121" s="55" t="s">
        <v>710</v>
      </c>
    </row>
    <row r="122" spans="1:2">
      <c r="A122" s="70">
        <v>121</v>
      </c>
      <c r="B122" s="55" t="s">
        <v>713</v>
      </c>
    </row>
    <row r="123" spans="1:2">
      <c r="A123" s="70">
        <v>122</v>
      </c>
      <c r="B123" s="55" t="s">
        <v>714</v>
      </c>
    </row>
    <row r="124" spans="1:2">
      <c r="A124" s="70">
        <v>123</v>
      </c>
      <c r="B124" s="55" t="s">
        <v>717</v>
      </c>
    </row>
    <row r="125" spans="1:2">
      <c r="A125" s="70">
        <v>124</v>
      </c>
      <c r="B125" s="55" t="s">
        <v>720</v>
      </c>
    </row>
    <row r="126" spans="1:2">
      <c r="A126" s="70">
        <v>125</v>
      </c>
      <c r="B126" s="55" t="s">
        <v>722</v>
      </c>
    </row>
    <row r="127" spans="1:2">
      <c r="A127" s="70">
        <v>126</v>
      </c>
      <c r="B127" s="55" t="s">
        <v>723</v>
      </c>
    </row>
    <row r="128" spans="1:2">
      <c r="A128" s="70">
        <v>127</v>
      </c>
      <c r="B128" s="55" t="s">
        <v>726</v>
      </c>
    </row>
    <row r="129" spans="1:2">
      <c r="A129" s="70">
        <v>128</v>
      </c>
      <c r="B129" s="55" t="s">
        <v>729</v>
      </c>
    </row>
    <row r="130" spans="1:2">
      <c r="A130" s="70">
        <v>129</v>
      </c>
      <c r="B130" s="55" t="s">
        <v>731</v>
      </c>
    </row>
    <row r="131" spans="1:2">
      <c r="A131" s="70">
        <v>130</v>
      </c>
      <c r="B131" s="55" t="s">
        <v>732</v>
      </c>
    </row>
    <row r="132" spans="1:2">
      <c r="A132" s="70">
        <v>131</v>
      </c>
      <c r="B132" s="55" t="s">
        <v>734</v>
      </c>
    </row>
    <row r="133" spans="1:2">
      <c r="A133" s="70">
        <v>132</v>
      </c>
      <c r="B133" s="55" t="s">
        <v>737</v>
      </c>
    </row>
    <row r="134" spans="1:2">
      <c r="A134" s="70">
        <v>133</v>
      </c>
      <c r="B134" s="55" t="s">
        <v>739</v>
      </c>
    </row>
    <row r="135" spans="1:2">
      <c r="A135" s="70">
        <v>134</v>
      </c>
      <c r="B135" s="55" t="s">
        <v>741</v>
      </c>
    </row>
    <row r="136" spans="1:2">
      <c r="A136" s="70">
        <v>135</v>
      </c>
      <c r="B136" s="55" t="s">
        <v>742</v>
      </c>
    </row>
    <row r="137" spans="1:2">
      <c r="A137" s="70">
        <v>136</v>
      </c>
      <c r="B137" s="55" t="s">
        <v>743</v>
      </c>
    </row>
    <row r="138" spans="1:2">
      <c r="A138" s="70">
        <v>137</v>
      </c>
      <c r="B138" s="55" t="s">
        <v>744</v>
      </c>
    </row>
    <row r="139" spans="1:2">
      <c r="A139" s="70">
        <v>138</v>
      </c>
      <c r="B139" s="55" t="s">
        <v>746</v>
      </c>
    </row>
    <row r="140" spans="1:2">
      <c r="A140" s="70">
        <v>139</v>
      </c>
      <c r="B140" s="55" t="s">
        <v>748</v>
      </c>
    </row>
    <row r="141" spans="1:2">
      <c r="A141" s="70">
        <v>140</v>
      </c>
      <c r="B141" s="55" t="s">
        <v>750</v>
      </c>
    </row>
    <row r="142" spans="1:2">
      <c r="A142" s="70">
        <v>141</v>
      </c>
      <c r="B142" s="55" t="s">
        <v>753</v>
      </c>
    </row>
    <row r="143" spans="1:2">
      <c r="A143" s="70">
        <v>142</v>
      </c>
      <c r="B143" s="55" t="s">
        <v>754</v>
      </c>
    </row>
    <row r="144" spans="1:2">
      <c r="A144" s="70">
        <v>143</v>
      </c>
      <c r="B144" s="55" t="s">
        <v>756</v>
      </c>
    </row>
    <row r="145" spans="1:2">
      <c r="A145" s="70">
        <v>144</v>
      </c>
      <c r="B145" s="55" t="s">
        <v>758</v>
      </c>
    </row>
    <row r="146" spans="1:2">
      <c r="A146" s="70">
        <v>145</v>
      </c>
      <c r="B146" s="55" t="s">
        <v>760</v>
      </c>
    </row>
    <row r="147" spans="1:2">
      <c r="A147" s="70">
        <v>146</v>
      </c>
      <c r="B147" s="55" t="s">
        <v>762</v>
      </c>
    </row>
    <row r="148" spans="1:2">
      <c r="A148" s="70">
        <v>147</v>
      </c>
      <c r="B148" s="55" t="s">
        <v>764</v>
      </c>
    </row>
    <row r="149" spans="1:2">
      <c r="A149" s="70">
        <v>148</v>
      </c>
      <c r="B149" s="55" t="s">
        <v>767</v>
      </c>
    </row>
    <row r="150" spans="1:2">
      <c r="A150" s="70">
        <v>149</v>
      </c>
      <c r="B150" s="55" t="s">
        <v>768</v>
      </c>
    </row>
    <row r="151" spans="1:2">
      <c r="A151" s="70">
        <v>150</v>
      </c>
      <c r="B151" s="55" t="s">
        <v>770</v>
      </c>
    </row>
    <row r="152" spans="1:2">
      <c r="A152" s="70">
        <v>151</v>
      </c>
      <c r="B152" s="55" t="s">
        <v>771</v>
      </c>
    </row>
    <row r="153" spans="1:2">
      <c r="A153" s="70">
        <v>152</v>
      </c>
      <c r="B153" s="55" t="s">
        <v>772</v>
      </c>
    </row>
    <row r="154" spans="1:2">
      <c r="A154" s="70">
        <v>153</v>
      </c>
      <c r="B154" s="55" t="s">
        <v>773</v>
      </c>
    </row>
    <row r="155" spans="1:2">
      <c r="A155" s="70">
        <v>154</v>
      </c>
      <c r="B155" s="55" t="s">
        <v>776</v>
      </c>
    </row>
    <row r="156" spans="1:2">
      <c r="A156" s="70">
        <v>155</v>
      </c>
      <c r="B156" s="55" t="s">
        <v>777</v>
      </c>
    </row>
    <row r="157" spans="1:2">
      <c r="A157" s="70">
        <v>156</v>
      </c>
      <c r="B157" s="55" t="s">
        <v>778</v>
      </c>
    </row>
    <row r="158" spans="1:2">
      <c r="A158" s="70">
        <v>157</v>
      </c>
      <c r="B158" s="55" t="s">
        <v>780</v>
      </c>
    </row>
    <row r="159" spans="1:2">
      <c r="A159" s="70">
        <v>158</v>
      </c>
      <c r="B159" s="55" t="s">
        <v>781</v>
      </c>
    </row>
    <row r="160" spans="1:2">
      <c r="A160" s="70">
        <v>159</v>
      </c>
      <c r="B160" s="55" t="s">
        <v>782</v>
      </c>
    </row>
    <row r="161" spans="1:2">
      <c r="A161" s="70">
        <v>160</v>
      </c>
      <c r="B161" s="55" t="s">
        <v>783</v>
      </c>
    </row>
    <row r="162" spans="1:2">
      <c r="A162" s="70">
        <v>161</v>
      </c>
      <c r="B162" s="55" t="s">
        <v>786</v>
      </c>
    </row>
    <row r="163" spans="1:2">
      <c r="A163" s="70">
        <v>162</v>
      </c>
      <c r="B163" s="55" t="s">
        <v>787</v>
      </c>
    </row>
    <row r="164" spans="1:2">
      <c r="A164" s="70">
        <v>163</v>
      </c>
      <c r="B164" s="55" t="s">
        <v>790</v>
      </c>
    </row>
    <row r="165" spans="1:2">
      <c r="A165" s="70">
        <v>164</v>
      </c>
      <c r="B165" s="55" t="s">
        <v>792</v>
      </c>
    </row>
    <row r="166" spans="1:2">
      <c r="A166" s="70">
        <v>165</v>
      </c>
      <c r="B166" s="55" t="s">
        <v>793</v>
      </c>
    </row>
    <row r="167" spans="1:2">
      <c r="A167" s="70">
        <v>166</v>
      </c>
      <c r="B167" s="55" t="s">
        <v>795</v>
      </c>
    </row>
    <row r="168" spans="1:2">
      <c r="A168" s="70">
        <v>167</v>
      </c>
      <c r="B168" s="55" t="s">
        <v>797</v>
      </c>
    </row>
    <row r="169" spans="1:2">
      <c r="A169" s="70">
        <v>168</v>
      </c>
      <c r="B169" s="55" t="s">
        <v>800</v>
      </c>
    </row>
    <row r="170" spans="1:2">
      <c r="A170" s="70">
        <v>169</v>
      </c>
      <c r="B170" s="55" t="s">
        <v>803</v>
      </c>
    </row>
    <row r="171" spans="1:2">
      <c r="A171" s="70">
        <v>170</v>
      </c>
      <c r="B171" s="55" t="s">
        <v>804</v>
      </c>
    </row>
    <row r="172" spans="1:2">
      <c r="A172" s="70">
        <v>171</v>
      </c>
      <c r="B172" s="55" t="s">
        <v>806</v>
      </c>
    </row>
    <row r="173" spans="1:2">
      <c r="A173" s="70">
        <v>172</v>
      </c>
      <c r="B173" s="55" t="s">
        <v>808</v>
      </c>
    </row>
    <row r="174" spans="1:2">
      <c r="A174" s="70">
        <v>173</v>
      </c>
      <c r="B174" s="55" t="s">
        <v>811</v>
      </c>
    </row>
    <row r="175" spans="1:2">
      <c r="A175" s="70">
        <v>174</v>
      </c>
      <c r="B175" s="55" t="s">
        <v>813</v>
      </c>
    </row>
    <row r="176" spans="1:2">
      <c r="A176" s="70">
        <v>175</v>
      </c>
      <c r="B176" s="55" t="s">
        <v>816</v>
      </c>
    </row>
    <row r="177" spans="1:2">
      <c r="A177" s="70">
        <v>176</v>
      </c>
      <c r="B177" s="55" t="s">
        <v>819</v>
      </c>
    </row>
    <row r="178" spans="1:2">
      <c r="A178" s="70">
        <v>177</v>
      </c>
      <c r="B178" s="55" t="s">
        <v>821</v>
      </c>
    </row>
    <row r="179" spans="1:2">
      <c r="A179" s="70">
        <v>178</v>
      </c>
      <c r="B179" s="55" t="s">
        <v>823</v>
      </c>
    </row>
    <row r="180" spans="1:2">
      <c r="A180" s="70">
        <v>179</v>
      </c>
      <c r="B180" s="55" t="s">
        <v>826</v>
      </c>
    </row>
    <row r="181" spans="1:2">
      <c r="A181" s="70">
        <v>180</v>
      </c>
      <c r="B181" s="55" t="s">
        <v>829</v>
      </c>
    </row>
    <row r="182" spans="1:2">
      <c r="A182" s="70">
        <v>181</v>
      </c>
      <c r="B182" s="55" t="s">
        <v>831</v>
      </c>
    </row>
    <row r="183" spans="1:2">
      <c r="A183" s="70">
        <v>182</v>
      </c>
      <c r="B183" s="55" t="s">
        <v>834</v>
      </c>
    </row>
    <row r="184" spans="1:2">
      <c r="A184" s="70">
        <v>183</v>
      </c>
      <c r="B184" s="55" t="s">
        <v>835</v>
      </c>
    </row>
    <row r="185" spans="1:2">
      <c r="A185" s="70">
        <v>184</v>
      </c>
      <c r="B185" s="55" t="s">
        <v>837</v>
      </c>
    </row>
    <row r="186" spans="1:2">
      <c r="A186" s="70">
        <v>185</v>
      </c>
      <c r="B186" s="55" t="s">
        <v>838</v>
      </c>
    </row>
    <row r="187" spans="1:2">
      <c r="A187" s="70">
        <v>186</v>
      </c>
      <c r="B187" s="55" t="s">
        <v>841</v>
      </c>
    </row>
    <row r="188" spans="1:2">
      <c r="A188" s="70">
        <v>187</v>
      </c>
      <c r="B188" s="55" t="s">
        <v>845</v>
      </c>
    </row>
    <row r="189" spans="1:2">
      <c r="A189" s="70">
        <v>188</v>
      </c>
      <c r="B189" s="55" t="s">
        <v>848</v>
      </c>
    </row>
    <row r="190" spans="1:2">
      <c r="A190" s="70">
        <v>189</v>
      </c>
      <c r="B190" s="55" t="s">
        <v>851</v>
      </c>
    </row>
    <row r="191" spans="1:2">
      <c r="A191" s="70">
        <v>190</v>
      </c>
      <c r="B191" s="55" t="s">
        <v>853</v>
      </c>
    </row>
    <row r="192" spans="1:2">
      <c r="A192" s="70">
        <v>191</v>
      </c>
      <c r="B192" s="55" t="s">
        <v>856</v>
      </c>
    </row>
    <row r="193" spans="1:2">
      <c r="A193" s="70">
        <v>192</v>
      </c>
      <c r="B193" s="55" t="s">
        <v>858</v>
      </c>
    </row>
    <row r="194" spans="1:2">
      <c r="A194" s="70">
        <v>193</v>
      </c>
      <c r="B194" s="55" t="s">
        <v>860</v>
      </c>
    </row>
    <row r="195" spans="1:2">
      <c r="A195" s="70">
        <v>194</v>
      </c>
      <c r="B195" s="55" t="s">
        <v>863</v>
      </c>
    </row>
    <row r="196" spans="1:2">
      <c r="A196" s="70">
        <v>195</v>
      </c>
      <c r="B196" s="55" t="s">
        <v>866</v>
      </c>
    </row>
    <row r="197" spans="1:2">
      <c r="A197" s="70">
        <v>196</v>
      </c>
      <c r="B197" s="55" t="s">
        <v>869</v>
      </c>
    </row>
    <row r="198" spans="1:2">
      <c r="A198" s="70">
        <v>197</v>
      </c>
      <c r="B198" s="55" t="s">
        <v>873</v>
      </c>
    </row>
    <row r="199" spans="1:2">
      <c r="A199" s="70">
        <v>198</v>
      </c>
      <c r="B199" s="55" t="s">
        <v>876</v>
      </c>
    </row>
    <row r="200" spans="1:2">
      <c r="A200" s="70">
        <v>199</v>
      </c>
      <c r="B200" s="55" t="s">
        <v>879</v>
      </c>
    </row>
    <row r="201" spans="1:2">
      <c r="A201" s="70">
        <v>200</v>
      </c>
      <c r="B201" s="55" t="s">
        <v>881</v>
      </c>
    </row>
    <row r="202" spans="1:2">
      <c r="A202" s="70">
        <v>201</v>
      </c>
      <c r="B202" s="55" t="s">
        <v>884</v>
      </c>
    </row>
    <row r="203" spans="1:2">
      <c r="A203" s="70">
        <v>202</v>
      </c>
      <c r="B203" s="55" t="s">
        <v>887</v>
      </c>
    </row>
    <row r="204" spans="1:2">
      <c r="A204" s="70">
        <v>203</v>
      </c>
      <c r="B204" s="55" t="s">
        <v>888</v>
      </c>
    </row>
    <row r="205" spans="1:2">
      <c r="A205" s="70">
        <v>204</v>
      </c>
      <c r="B205" s="55" t="s">
        <v>891</v>
      </c>
    </row>
    <row r="206" spans="1:2">
      <c r="A206" s="70">
        <v>205</v>
      </c>
      <c r="B206" s="55" t="s">
        <v>893</v>
      </c>
    </row>
    <row r="207" spans="1:2">
      <c r="A207" s="70">
        <v>206</v>
      </c>
      <c r="B207" s="55" t="s">
        <v>894</v>
      </c>
    </row>
    <row r="208" spans="1:2">
      <c r="A208" s="70">
        <v>207</v>
      </c>
      <c r="B208" s="55" t="s">
        <v>896</v>
      </c>
    </row>
    <row r="209" spans="1:2">
      <c r="A209" s="70">
        <v>208</v>
      </c>
      <c r="B209" s="55" t="s">
        <v>898</v>
      </c>
    </row>
    <row r="210" spans="1:2">
      <c r="A210" s="70">
        <v>209</v>
      </c>
      <c r="B210" s="55" t="s">
        <v>901</v>
      </c>
    </row>
    <row r="211" spans="1:2">
      <c r="A211" s="70">
        <v>210</v>
      </c>
      <c r="B211" s="55" t="s">
        <v>904</v>
      </c>
    </row>
    <row r="212" spans="1:2">
      <c r="A212" s="70">
        <v>211</v>
      </c>
      <c r="B212" s="55" t="s">
        <v>907</v>
      </c>
    </row>
    <row r="213" spans="1:2">
      <c r="A213" s="70">
        <v>212</v>
      </c>
      <c r="B213" s="55" t="s">
        <v>909</v>
      </c>
    </row>
    <row r="214" spans="1:2">
      <c r="A214" s="70">
        <v>213</v>
      </c>
      <c r="B214" s="55" t="s">
        <v>911</v>
      </c>
    </row>
    <row r="215" spans="1:2">
      <c r="A215" s="70">
        <v>214</v>
      </c>
      <c r="B215" s="55" t="s">
        <v>913</v>
      </c>
    </row>
    <row r="216" spans="1:2">
      <c r="A216" s="70">
        <v>215</v>
      </c>
      <c r="B216" s="55" t="s">
        <v>916</v>
      </c>
    </row>
    <row r="217" spans="1:2">
      <c r="A217" s="70">
        <v>216</v>
      </c>
      <c r="B217" s="55" t="s">
        <v>919</v>
      </c>
    </row>
    <row r="218" spans="1:2">
      <c r="A218" s="70">
        <v>217</v>
      </c>
      <c r="B218" s="55" t="s">
        <v>921</v>
      </c>
    </row>
    <row r="219" spans="1:2">
      <c r="A219" s="70">
        <v>218</v>
      </c>
      <c r="B219" s="55" t="s">
        <v>924</v>
      </c>
    </row>
    <row r="220" spans="1:2">
      <c r="A220" s="70">
        <v>219</v>
      </c>
      <c r="B220" s="55" t="s">
        <v>926</v>
      </c>
    </row>
    <row r="221" spans="1:2">
      <c r="A221" s="70">
        <v>220</v>
      </c>
      <c r="B221" s="55" t="s">
        <v>929</v>
      </c>
    </row>
    <row r="222" spans="1:2">
      <c r="A222" s="70">
        <v>221</v>
      </c>
      <c r="B222" s="55" t="s">
        <v>930</v>
      </c>
    </row>
    <row r="223" spans="1:2">
      <c r="A223" s="70">
        <v>222</v>
      </c>
      <c r="B223" s="55" t="s">
        <v>933</v>
      </c>
    </row>
    <row r="224" spans="1:2">
      <c r="A224" s="70">
        <v>223</v>
      </c>
      <c r="B224" s="55" t="s">
        <v>936</v>
      </c>
    </row>
    <row r="225" spans="1:2">
      <c r="A225" s="70">
        <v>224</v>
      </c>
      <c r="B225" s="55" t="s">
        <v>938</v>
      </c>
    </row>
    <row r="226" spans="1:2">
      <c r="A226" s="70">
        <v>225</v>
      </c>
      <c r="B226" s="55" t="s">
        <v>941</v>
      </c>
    </row>
    <row r="227" spans="1:2">
      <c r="A227" s="70">
        <v>226</v>
      </c>
      <c r="B227" s="55" t="s">
        <v>944</v>
      </c>
    </row>
    <row r="228" spans="1:2">
      <c r="A228" s="70">
        <v>227</v>
      </c>
      <c r="B228" s="55" t="s">
        <v>947</v>
      </c>
    </row>
    <row r="229" spans="1:2">
      <c r="A229" s="70">
        <v>228</v>
      </c>
      <c r="B229" s="55" t="s">
        <v>950</v>
      </c>
    </row>
    <row r="230" spans="1:2">
      <c r="A230" s="70">
        <v>229</v>
      </c>
      <c r="B230" s="55" t="s">
        <v>952</v>
      </c>
    </row>
    <row r="231" spans="1:2">
      <c r="A231" s="70">
        <v>230</v>
      </c>
      <c r="B231" s="55" t="s">
        <v>954</v>
      </c>
    </row>
    <row r="232" spans="1:2">
      <c r="A232" s="70">
        <v>231</v>
      </c>
      <c r="B232" s="55" t="s">
        <v>956</v>
      </c>
    </row>
    <row r="233" spans="1:2">
      <c r="A233" s="70">
        <v>232</v>
      </c>
      <c r="B233" s="55" t="s">
        <v>959</v>
      </c>
    </row>
    <row r="234" spans="1:2">
      <c r="A234" s="70">
        <v>233</v>
      </c>
      <c r="B234" s="55" t="s">
        <v>962</v>
      </c>
    </row>
    <row r="235" spans="1:2">
      <c r="A235" s="70">
        <v>234</v>
      </c>
      <c r="B235" s="55" t="s">
        <v>965</v>
      </c>
    </row>
    <row r="236" spans="1:2">
      <c r="A236" s="70">
        <v>235</v>
      </c>
      <c r="B236" s="55" t="s">
        <v>968</v>
      </c>
    </row>
    <row r="237" spans="1:2">
      <c r="A237" s="70">
        <v>236</v>
      </c>
      <c r="B237" s="55" t="s">
        <v>971</v>
      </c>
    </row>
    <row r="238" spans="1:2">
      <c r="A238" s="70">
        <v>237</v>
      </c>
      <c r="B238" s="55" t="s">
        <v>974</v>
      </c>
    </row>
    <row r="239" spans="1:2">
      <c r="A239" s="70">
        <v>238</v>
      </c>
      <c r="B239" s="55" t="s">
        <v>976</v>
      </c>
    </row>
    <row r="240" spans="1:2">
      <c r="A240" s="70">
        <v>239</v>
      </c>
      <c r="B240" s="55" t="s">
        <v>978</v>
      </c>
    </row>
    <row r="241" spans="1:2">
      <c r="A241" s="70">
        <v>240</v>
      </c>
      <c r="B241" s="55" t="s">
        <v>980</v>
      </c>
    </row>
    <row r="242" spans="1:2">
      <c r="A242" s="70">
        <v>241</v>
      </c>
      <c r="B242" s="55" t="s">
        <v>982</v>
      </c>
    </row>
    <row r="243" spans="1:2">
      <c r="A243" s="70">
        <v>242</v>
      </c>
      <c r="B243" s="55" t="s">
        <v>984</v>
      </c>
    </row>
    <row r="244" spans="1:2">
      <c r="A244" s="70">
        <v>243</v>
      </c>
      <c r="B244" s="55" t="s">
        <v>987</v>
      </c>
    </row>
    <row r="245" spans="1:2">
      <c r="A245" s="70">
        <v>244</v>
      </c>
      <c r="B245" s="55" t="s">
        <v>988</v>
      </c>
    </row>
    <row r="246" spans="1:2">
      <c r="A246" s="70">
        <v>245</v>
      </c>
      <c r="B246" s="55" t="s">
        <v>989</v>
      </c>
    </row>
    <row r="247" spans="1:2">
      <c r="A247" s="70">
        <v>246</v>
      </c>
      <c r="B247" s="55" t="s">
        <v>991</v>
      </c>
    </row>
    <row r="248" spans="1:2">
      <c r="A248" s="70">
        <v>247</v>
      </c>
      <c r="B248" s="55" t="s">
        <v>993</v>
      </c>
    </row>
    <row r="249" spans="1:2">
      <c r="A249" s="70">
        <v>248</v>
      </c>
      <c r="B249" s="55" t="s">
        <v>995</v>
      </c>
    </row>
    <row r="250" spans="1:2">
      <c r="A250" s="70">
        <v>249</v>
      </c>
      <c r="B250" s="55" t="s">
        <v>997</v>
      </c>
    </row>
    <row r="251" spans="1:2">
      <c r="A251" s="70">
        <v>250</v>
      </c>
      <c r="B251" s="55" t="s">
        <v>999</v>
      </c>
    </row>
    <row r="252" spans="1:2">
      <c r="A252" s="70">
        <v>251</v>
      </c>
      <c r="B252" s="55" t="s">
        <v>1001</v>
      </c>
    </row>
    <row r="253" spans="1:2">
      <c r="A253" s="70">
        <v>252</v>
      </c>
      <c r="B253" s="55" t="s">
        <v>1004</v>
      </c>
    </row>
    <row r="254" spans="1:2">
      <c r="A254" s="70">
        <v>253</v>
      </c>
      <c r="B254" s="55" t="s">
        <v>1005</v>
      </c>
    </row>
    <row r="255" spans="1:2">
      <c r="A255" s="70">
        <v>254</v>
      </c>
      <c r="B255" s="55" t="s">
        <v>1008</v>
      </c>
    </row>
    <row r="256" spans="1:2">
      <c r="A256" s="70">
        <v>255</v>
      </c>
      <c r="B256" s="55" t="s">
        <v>1011</v>
      </c>
    </row>
    <row r="257" spans="1:2">
      <c r="A257" s="70">
        <v>256</v>
      </c>
      <c r="B257" s="55" t="s">
        <v>1014</v>
      </c>
    </row>
    <row r="258" spans="1:2">
      <c r="A258" s="70">
        <v>257</v>
      </c>
      <c r="B258" s="55" t="s">
        <v>1015</v>
      </c>
    </row>
    <row r="259" spans="1:2">
      <c r="A259" s="70">
        <v>258</v>
      </c>
      <c r="B259" s="55" t="s">
        <v>1016</v>
      </c>
    </row>
    <row r="260" spans="1:2">
      <c r="A260" s="70">
        <v>259</v>
      </c>
      <c r="B260" s="55" t="s">
        <v>1018</v>
      </c>
    </row>
    <row r="261" spans="1:2">
      <c r="A261" s="70">
        <v>260</v>
      </c>
      <c r="B261" s="55" t="s">
        <v>1019</v>
      </c>
    </row>
    <row r="262" spans="1:2">
      <c r="A262" s="70">
        <v>261</v>
      </c>
      <c r="B262" s="55" t="s">
        <v>1020</v>
      </c>
    </row>
    <row r="263" spans="1:2">
      <c r="A263" s="70">
        <v>262</v>
      </c>
      <c r="B263" s="55" t="s">
        <v>1021</v>
      </c>
    </row>
    <row r="264" spans="1:2">
      <c r="A264" s="70">
        <v>263</v>
      </c>
      <c r="B264" s="55" t="s">
        <v>1024</v>
      </c>
    </row>
    <row r="265" spans="1:2">
      <c r="A265" s="70">
        <v>264</v>
      </c>
      <c r="B265" s="55" t="s">
        <v>1025</v>
      </c>
    </row>
    <row r="266" spans="1:2">
      <c r="A266" s="70">
        <v>265</v>
      </c>
      <c r="B266" s="55" t="s">
        <v>1026</v>
      </c>
    </row>
    <row r="267" spans="1:2">
      <c r="A267" s="70">
        <v>266</v>
      </c>
      <c r="B267" s="55" t="s">
        <v>1027</v>
      </c>
    </row>
    <row r="268" spans="1:2">
      <c r="A268" s="70">
        <v>267</v>
      </c>
      <c r="B268" s="55" t="s">
        <v>1030</v>
      </c>
    </row>
    <row r="269" spans="1:2">
      <c r="A269" s="70">
        <v>268</v>
      </c>
      <c r="B269" s="55" t="s">
        <v>1032</v>
      </c>
    </row>
    <row r="270" spans="1:2">
      <c r="A270" s="70">
        <v>269</v>
      </c>
      <c r="B270" s="55" t="s">
        <v>1035</v>
      </c>
    </row>
    <row r="271" spans="1:2">
      <c r="A271" s="70">
        <v>270</v>
      </c>
      <c r="B271" s="55" t="s">
        <v>1038</v>
      </c>
    </row>
    <row r="272" spans="1:2">
      <c r="A272" s="70">
        <v>271</v>
      </c>
      <c r="B272" s="55" t="s">
        <v>1039</v>
      </c>
    </row>
    <row r="273" spans="1:2">
      <c r="A273" s="70">
        <v>272</v>
      </c>
      <c r="B273" s="55" t="s">
        <v>1041</v>
      </c>
    </row>
    <row r="274" spans="1:2">
      <c r="A274" s="70">
        <v>273</v>
      </c>
      <c r="B274" s="55" t="s">
        <v>1042</v>
      </c>
    </row>
    <row r="275" spans="1:2">
      <c r="A275" s="70">
        <v>274</v>
      </c>
      <c r="B275" s="55" t="s">
        <v>1044</v>
      </c>
    </row>
    <row r="276" spans="1:2">
      <c r="A276" s="70">
        <v>275</v>
      </c>
      <c r="B276" s="55" t="s">
        <v>1046</v>
      </c>
    </row>
    <row r="277" spans="1:2">
      <c r="A277" s="70">
        <v>276</v>
      </c>
      <c r="B277" s="55" t="s">
        <v>1048</v>
      </c>
    </row>
    <row r="278" spans="1:2">
      <c r="A278" s="70">
        <v>277</v>
      </c>
      <c r="B278" s="55" t="s">
        <v>1050</v>
      </c>
    </row>
    <row r="279" spans="1:2">
      <c r="A279" s="70">
        <v>278</v>
      </c>
      <c r="B279" s="55" t="s">
        <v>1052</v>
      </c>
    </row>
    <row r="280" spans="1:2">
      <c r="A280" s="70">
        <v>279</v>
      </c>
      <c r="B280" s="55" t="s">
        <v>1054</v>
      </c>
    </row>
    <row r="281" spans="1:2">
      <c r="A281" s="70">
        <v>280</v>
      </c>
      <c r="B281" s="55" t="s">
        <v>1055</v>
      </c>
    </row>
    <row r="282" spans="1:2">
      <c r="A282" s="70">
        <v>281</v>
      </c>
      <c r="B282" s="55" t="s">
        <v>1056</v>
      </c>
    </row>
    <row r="283" spans="1:2">
      <c r="A283" s="70">
        <v>282</v>
      </c>
      <c r="B283" s="55" t="s">
        <v>1059</v>
      </c>
    </row>
    <row r="284" spans="1:2">
      <c r="A284" s="70">
        <v>283</v>
      </c>
      <c r="B284" s="55" t="s">
        <v>1060</v>
      </c>
    </row>
    <row r="285" spans="1:2">
      <c r="A285" s="70">
        <v>284</v>
      </c>
      <c r="B285" s="55" t="s">
        <v>1063</v>
      </c>
    </row>
    <row r="286" spans="1:2">
      <c r="A286" s="70">
        <v>285</v>
      </c>
      <c r="B286" s="55" t="s">
        <v>1065</v>
      </c>
    </row>
    <row r="287" spans="1:2">
      <c r="A287" s="70">
        <v>286</v>
      </c>
      <c r="B287" s="55" t="s">
        <v>1068</v>
      </c>
    </row>
    <row r="288" spans="1:2">
      <c r="A288" s="70">
        <v>287</v>
      </c>
      <c r="B288" s="55" t="s">
        <v>1070</v>
      </c>
    </row>
    <row r="289" spans="1:2">
      <c r="A289" s="70">
        <v>288</v>
      </c>
      <c r="B289" s="55" t="s">
        <v>1073</v>
      </c>
    </row>
    <row r="290" spans="1:2">
      <c r="A290" s="70">
        <v>289</v>
      </c>
      <c r="B290" s="55" t="s">
        <v>1074</v>
      </c>
    </row>
    <row r="291" spans="1:2">
      <c r="A291" s="70">
        <v>290</v>
      </c>
      <c r="B291" s="55" t="s">
        <v>1075</v>
      </c>
    </row>
    <row r="292" spans="1:2">
      <c r="A292" s="70">
        <v>291</v>
      </c>
      <c r="B292" s="55" t="s">
        <v>1077</v>
      </c>
    </row>
    <row r="293" spans="1:2">
      <c r="A293" s="70">
        <v>292</v>
      </c>
      <c r="B293" s="55" t="s">
        <v>1078</v>
      </c>
    </row>
    <row r="294" spans="1:2">
      <c r="A294" s="70">
        <v>293</v>
      </c>
      <c r="B294" s="55" t="s">
        <v>1080</v>
      </c>
    </row>
    <row r="295" spans="1:2">
      <c r="A295" s="70">
        <v>294</v>
      </c>
      <c r="B295" s="55" t="s">
        <v>1082</v>
      </c>
    </row>
    <row r="296" spans="1:2">
      <c r="A296" s="70">
        <v>295</v>
      </c>
      <c r="B296" s="55" t="s">
        <v>1084</v>
      </c>
    </row>
    <row r="297" spans="1:2">
      <c r="A297" s="70">
        <v>296</v>
      </c>
      <c r="B297" s="55" t="s">
        <v>1087</v>
      </c>
    </row>
    <row r="298" spans="1:2">
      <c r="A298" s="70">
        <v>297</v>
      </c>
      <c r="B298" s="55" t="s">
        <v>1089</v>
      </c>
    </row>
    <row r="299" spans="1:2">
      <c r="A299" s="70">
        <v>298</v>
      </c>
      <c r="B299" s="55" t="s">
        <v>1090</v>
      </c>
    </row>
    <row r="300" spans="1:2">
      <c r="A300" s="70">
        <v>299</v>
      </c>
      <c r="B300" s="55" t="s">
        <v>1092</v>
      </c>
    </row>
    <row r="301" spans="1:2">
      <c r="A301" s="70">
        <v>300</v>
      </c>
      <c r="B301" s="55" t="s">
        <v>1095</v>
      </c>
    </row>
    <row r="302" spans="1:2">
      <c r="A302" s="70">
        <v>301</v>
      </c>
      <c r="B302" s="55" t="s">
        <v>1097</v>
      </c>
    </row>
    <row r="303" spans="1:2">
      <c r="A303" s="70">
        <v>302</v>
      </c>
      <c r="B303" s="55" t="s">
        <v>1099</v>
      </c>
    </row>
    <row r="304" spans="1:2">
      <c r="A304" s="70">
        <v>303</v>
      </c>
      <c r="B304" s="55" t="s">
        <v>1101</v>
      </c>
    </row>
    <row r="305" spans="1:2">
      <c r="A305" s="70">
        <v>304</v>
      </c>
      <c r="B305" s="55" t="s">
        <v>1103</v>
      </c>
    </row>
    <row r="306" spans="1:2">
      <c r="A306" s="70">
        <v>305</v>
      </c>
      <c r="B306" s="55" t="s">
        <v>1106</v>
      </c>
    </row>
    <row r="307" spans="1:2">
      <c r="A307" s="70">
        <v>306</v>
      </c>
      <c r="B307" s="55" t="s">
        <v>1109</v>
      </c>
    </row>
    <row r="308" spans="1:2">
      <c r="A308" s="70">
        <v>307</v>
      </c>
      <c r="B308" s="55" t="s">
        <v>1112</v>
      </c>
    </row>
    <row r="309" spans="1:2">
      <c r="A309" s="70">
        <v>308</v>
      </c>
      <c r="B309" s="55" t="s">
        <v>1115</v>
      </c>
    </row>
    <row r="310" spans="1:2">
      <c r="A310" s="70">
        <v>309</v>
      </c>
      <c r="B310" s="55" t="s">
        <v>1118</v>
      </c>
    </row>
    <row r="311" spans="1:2">
      <c r="A311" s="70">
        <v>310</v>
      </c>
      <c r="B311" s="55" t="s">
        <v>1120</v>
      </c>
    </row>
    <row r="312" spans="1:2">
      <c r="A312" s="70">
        <v>311</v>
      </c>
      <c r="B312" s="55" t="s">
        <v>1122</v>
      </c>
    </row>
    <row r="313" spans="1:2">
      <c r="A313" s="70">
        <v>312</v>
      </c>
      <c r="B313" s="55" t="s">
        <v>1124</v>
      </c>
    </row>
    <row r="314" spans="1:2">
      <c r="A314" s="70">
        <v>313</v>
      </c>
      <c r="B314" s="55" t="s">
        <v>1126</v>
      </c>
    </row>
    <row r="315" spans="1:2">
      <c r="A315" s="70">
        <v>314</v>
      </c>
      <c r="B315" s="55" t="s">
        <v>1127</v>
      </c>
    </row>
    <row r="316" spans="1:2">
      <c r="A316" s="70">
        <v>315</v>
      </c>
      <c r="B316" s="55" t="s">
        <v>1130</v>
      </c>
    </row>
    <row r="317" spans="1:2">
      <c r="A317" s="70">
        <v>316</v>
      </c>
      <c r="B317" s="55" t="s">
        <v>1131</v>
      </c>
    </row>
    <row r="318" spans="1:2">
      <c r="A318" s="70">
        <v>317</v>
      </c>
      <c r="B318" s="55" t="s">
        <v>1132</v>
      </c>
    </row>
    <row r="319" spans="1:2">
      <c r="A319" s="70">
        <v>318</v>
      </c>
      <c r="B319" s="55" t="s">
        <v>1134</v>
      </c>
    </row>
    <row r="320" spans="1:2">
      <c r="A320" s="70">
        <v>319</v>
      </c>
      <c r="B320" s="55" t="s">
        <v>1135</v>
      </c>
    </row>
    <row r="321" spans="1:2">
      <c r="A321" s="70">
        <v>320</v>
      </c>
      <c r="B321" s="55" t="s">
        <v>1136</v>
      </c>
    </row>
    <row r="322" spans="1:2">
      <c r="A322" s="70">
        <v>321</v>
      </c>
      <c r="B322" s="55" t="s">
        <v>1138</v>
      </c>
    </row>
    <row r="323" spans="1:2">
      <c r="A323" s="70">
        <v>322</v>
      </c>
      <c r="B323" s="55" t="s">
        <v>1140</v>
      </c>
    </row>
    <row r="324" spans="1:2">
      <c r="A324" s="70">
        <v>323</v>
      </c>
      <c r="B324" s="55" t="s">
        <v>1141</v>
      </c>
    </row>
    <row r="325" spans="1:2">
      <c r="A325" s="70">
        <v>324</v>
      </c>
      <c r="B325" s="55" t="s">
        <v>1144</v>
      </c>
    </row>
    <row r="326" spans="1:2">
      <c r="A326" s="70">
        <v>325</v>
      </c>
      <c r="B326" s="55" t="s">
        <v>1146</v>
      </c>
    </row>
    <row r="327" spans="1:2">
      <c r="A327" s="70">
        <v>326</v>
      </c>
      <c r="B327" s="55" t="s">
        <v>1147</v>
      </c>
    </row>
    <row r="328" spans="1:2">
      <c r="A328" s="70">
        <v>327</v>
      </c>
      <c r="B328" s="55" t="s">
        <v>1148</v>
      </c>
    </row>
    <row r="329" spans="1:2">
      <c r="A329" s="70">
        <v>328</v>
      </c>
      <c r="B329" s="55" t="s">
        <v>1150</v>
      </c>
    </row>
    <row r="330" spans="1:2">
      <c r="A330" s="70">
        <v>329</v>
      </c>
      <c r="B330" s="55" t="s">
        <v>1152</v>
      </c>
    </row>
    <row r="331" spans="1:2">
      <c r="A331" s="70">
        <v>330</v>
      </c>
      <c r="B331" s="55" t="s">
        <v>1154</v>
      </c>
    </row>
    <row r="332" spans="1:2">
      <c r="A332" s="70">
        <v>331</v>
      </c>
      <c r="B332" s="55" t="s">
        <v>1155</v>
      </c>
    </row>
    <row r="333" spans="1:2">
      <c r="A333" s="70">
        <v>332</v>
      </c>
      <c r="B333" s="55" t="s">
        <v>1156</v>
      </c>
    </row>
    <row r="334" spans="1:2">
      <c r="A334" s="70">
        <v>333</v>
      </c>
      <c r="B334" s="55" t="s">
        <v>1158</v>
      </c>
    </row>
    <row r="335" spans="1:2">
      <c r="A335" s="70">
        <v>334</v>
      </c>
      <c r="B335" s="55" t="s">
        <v>1159</v>
      </c>
    </row>
    <row r="336" spans="1:2">
      <c r="A336" s="70">
        <v>335</v>
      </c>
      <c r="B336" s="55" t="s">
        <v>1162</v>
      </c>
    </row>
    <row r="337" spans="1:2">
      <c r="A337" s="70">
        <v>336</v>
      </c>
      <c r="B337" s="55" t="s">
        <v>1163</v>
      </c>
    </row>
    <row r="338" spans="1:2">
      <c r="A338" s="70">
        <v>337</v>
      </c>
      <c r="B338" s="55" t="s">
        <v>1164</v>
      </c>
    </row>
    <row r="339" spans="1:2">
      <c r="A339" s="70">
        <v>338</v>
      </c>
      <c r="B339" s="55" t="s">
        <v>1165</v>
      </c>
    </row>
    <row r="340" spans="1:2">
      <c r="A340" s="70">
        <v>339</v>
      </c>
      <c r="B340" s="55" t="s">
        <v>1168</v>
      </c>
    </row>
    <row r="341" spans="1:2">
      <c r="A341" s="70">
        <v>340</v>
      </c>
      <c r="B341" s="55" t="s">
        <v>1170</v>
      </c>
    </row>
    <row r="342" spans="1:2">
      <c r="A342" s="70">
        <v>341</v>
      </c>
      <c r="B342" s="55" t="s">
        <v>1171</v>
      </c>
    </row>
    <row r="343" spans="1:2">
      <c r="A343" s="70">
        <v>342</v>
      </c>
      <c r="B343" s="55" t="s">
        <v>1174</v>
      </c>
    </row>
    <row r="344" spans="1:2">
      <c r="A344" s="70">
        <v>343</v>
      </c>
      <c r="B344" s="55" t="s">
        <v>1176</v>
      </c>
    </row>
    <row r="345" spans="1:2">
      <c r="A345" s="70">
        <v>344</v>
      </c>
      <c r="B345" s="55" t="s">
        <v>1179</v>
      </c>
    </row>
    <row r="346" spans="1:2">
      <c r="A346" s="70">
        <v>345</v>
      </c>
      <c r="B346" s="55" t="s">
        <v>1181</v>
      </c>
    </row>
    <row r="347" spans="1:2">
      <c r="A347" s="70">
        <v>346</v>
      </c>
      <c r="B347" s="55" t="s">
        <v>1183</v>
      </c>
    </row>
    <row r="348" spans="1:2">
      <c r="A348" s="70">
        <v>347</v>
      </c>
      <c r="B348" s="55" t="s">
        <v>1184</v>
      </c>
    </row>
    <row r="349" spans="1:2">
      <c r="A349" s="70">
        <v>348</v>
      </c>
      <c r="B349" s="55" t="s">
        <v>1187</v>
      </c>
    </row>
    <row r="350" spans="1:2">
      <c r="A350" s="70">
        <v>349</v>
      </c>
      <c r="B350" s="55" t="s">
        <v>1189</v>
      </c>
    </row>
    <row r="351" spans="1:2">
      <c r="A351" s="70">
        <v>350</v>
      </c>
      <c r="B351" s="55" t="s">
        <v>1191</v>
      </c>
    </row>
    <row r="352" spans="1:2">
      <c r="A352" s="70">
        <v>351</v>
      </c>
      <c r="B352" s="55" t="s">
        <v>1192</v>
      </c>
    </row>
    <row r="353" spans="1:2">
      <c r="A353" s="70">
        <v>352</v>
      </c>
      <c r="B353" s="55" t="s">
        <v>1193</v>
      </c>
    </row>
    <row r="354" spans="1:2">
      <c r="A354" s="70">
        <v>353</v>
      </c>
      <c r="B354" s="55" t="s">
        <v>1194</v>
      </c>
    </row>
    <row r="355" spans="1:2">
      <c r="A355" s="70">
        <v>354</v>
      </c>
      <c r="B355" s="55" t="s">
        <v>1195</v>
      </c>
    </row>
    <row r="356" spans="1:2">
      <c r="A356" s="70">
        <v>355</v>
      </c>
      <c r="B356" s="55" t="s">
        <v>1196</v>
      </c>
    </row>
    <row r="357" spans="1:2">
      <c r="A357" s="70">
        <v>356</v>
      </c>
      <c r="B357" s="55" t="s">
        <v>1197</v>
      </c>
    </row>
    <row r="358" spans="1:2">
      <c r="A358" s="70">
        <v>357</v>
      </c>
      <c r="B358" s="55" t="s">
        <v>1198</v>
      </c>
    </row>
    <row r="359" spans="1:2">
      <c r="A359" s="70">
        <v>358</v>
      </c>
      <c r="B359" s="55" t="s">
        <v>1199</v>
      </c>
    </row>
    <row r="360" spans="1:2">
      <c r="A360" s="70">
        <v>359</v>
      </c>
      <c r="B360" s="55" t="s">
        <v>1200</v>
      </c>
    </row>
    <row r="361" spans="1:2">
      <c r="A361" s="70">
        <v>360</v>
      </c>
      <c r="B361" s="55" t="s">
        <v>1201</v>
      </c>
    </row>
    <row r="362" spans="1:2">
      <c r="A362" s="70">
        <v>361</v>
      </c>
      <c r="B362" s="55" t="s">
        <v>1202</v>
      </c>
    </row>
    <row r="363" spans="1:2">
      <c r="A363" s="70">
        <v>362</v>
      </c>
      <c r="B363" s="55" t="s">
        <v>1203</v>
      </c>
    </row>
    <row r="364" spans="1:2">
      <c r="A364" s="70">
        <v>363</v>
      </c>
      <c r="B364" s="55" t="s">
        <v>1204</v>
      </c>
    </row>
    <row r="365" spans="1:2">
      <c r="A365" s="70">
        <v>364</v>
      </c>
      <c r="B365" s="55" t="s">
        <v>1205</v>
      </c>
    </row>
    <row r="366" spans="1:2">
      <c r="A366" s="70">
        <v>365</v>
      </c>
      <c r="B366" s="55" t="s">
        <v>1206</v>
      </c>
    </row>
    <row r="367" spans="1:2">
      <c r="A367" s="70">
        <v>366</v>
      </c>
      <c r="B367" s="55" t="s">
        <v>1207</v>
      </c>
    </row>
    <row r="368" spans="1:2">
      <c r="A368" s="70">
        <v>367</v>
      </c>
      <c r="B368" s="55" t="s">
        <v>1208</v>
      </c>
    </row>
    <row r="369" spans="1:2">
      <c r="A369" s="70">
        <v>368</v>
      </c>
      <c r="B369" s="55" t="s">
        <v>1209</v>
      </c>
    </row>
    <row r="370" spans="1:2">
      <c r="A370" s="70">
        <v>369</v>
      </c>
      <c r="B370" s="55" t="s">
        <v>1210</v>
      </c>
    </row>
    <row r="371" spans="1:2">
      <c r="A371" s="70">
        <v>370</v>
      </c>
      <c r="B371" s="55" t="s">
        <v>1211</v>
      </c>
    </row>
    <row r="372" spans="1:2">
      <c r="A372" s="70">
        <v>371</v>
      </c>
      <c r="B372" s="55" t="s">
        <v>1212</v>
      </c>
    </row>
    <row r="373" spans="1:2">
      <c r="A373" s="70">
        <v>372</v>
      </c>
      <c r="B373" s="55" t="s">
        <v>1213</v>
      </c>
    </row>
    <row r="374" spans="1:2">
      <c r="A374" s="70">
        <v>373</v>
      </c>
      <c r="B374" s="55" t="s">
        <v>1214</v>
      </c>
    </row>
    <row r="375" spans="1:2">
      <c r="A375" s="70">
        <v>374</v>
      </c>
      <c r="B375" s="55" t="s">
        <v>1215</v>
      </c>
    </row>
    <row r="376" spans="1:2">
      <c r="A376" s="70">
        <v>375</v>
      </c>
      <c r="B376" s="55" t="s">
        <v>1216</v>
      </c>
    </row>
    <row r="377" spans="1:2">
      <c r="A377" s="70">
        <v>376</v>
      </c>
      <c r="B377" s="55" t="s">
        <v>1217</v>
      </c>
    </row>
    <row r="378" spans="1:2">
      <c r="A378" s="70">
        <v>377</v>
      </c>
      <c r="B378" s="55" t="s">
        <v>1218</v>
      </c>
    </row>
    <row r="379" spans="1:2">
      <c r="A379" s="70">
        <v>378</v>
      </c>
      <c r="B379" s="55" t="s">
        <v>1219</v>
      </c>
    </row>
    <row r="380" spans="1:2">
      <c r="A380" s="70">
        <v>379</v>
      </c>
      <c r="B380" s="55" t="s">
        <v>1220</v>
      </c>
    </row>
    <row r="381" spans="1:2">
      <c r="A381" s="70">
        <v>380</v>
      </c>
      <c r="B381" s="55" t="s">
        <v>1221</v>
      </c>
    </row>
    <row r="382" spans="1:2">
      <c r="A382" s="70">
        <v>381</v>
      </c>
      <c r="B382" s="55" t="s">
        <v>1222</v>
      </c>
    </row>
    <row r="383" spans="1:2">
      <c r="A383" s="70">
        <v>382</v>
      </c>
      <c r="B383" s="55" t="s">
        <v>1223</v>
      </c>
    </row>
    <row r="384" spans="1:2">
      <c r="A384" s="70">
        <v>383</v>
      </c>
      <c r="B384" s="55" t="s">
        <v>1224</v>
      </c>
    </row>
    <row r="385" spans="1:2">
      <c r="A385" s="70">
        <v>384</v>
      </c>
      <c r="B385" s="55" t="s">
        <v>1225</v>
      </c>
    </row>
    <row r="386" spans="1:2">
      <c r="A386" s="70">
        <v>385</v>
      </c>
      <c r="B386" s="55" t="s">
        <v>1226</v>
      </c>
    </row>
    <row r="387" spans="1:2">
      <c r="A387" s="70">
        <v>386</v>
      </c>
      <c r="B387" s="55" t="s">
        <v>1227</v>
      </c>
    </row>
    <row r="388" spans="1:2">
      <c r="A388" s="70">
        <v>387</v>
      </c>
      <c r="B388" s="55" t="s">
        <v>1228</v>
      </c>
    </row>
    <row r="389" spans="1:2">
      <c r="A389" s="70">
        <v>388</v>
      </c>
      <c r="B389" s="55" t="s">
        <v>1229</v>
      </c>
    </row>
    <row r="390" spans="1:2">
      <c r="A390" s="70">
        <v>389</v>
      </c>
      <c r="B390" s="55" t="s">
        <v>1230</v>
      </c>
    </row>
    <row r="391" spans="1:2">
      <c r="A391" s="70">
        <v>390</v>
      </c>
      <c r="B391" s="55" t="s">
        <v>1231</v>
      </c>
    </row>
    <row r="392" spans="1:2">
      <c r="A392" s="70">
        <v>391</v>
      </c>
      <c r="B392" s="55" t="s">
        <v>1232</v>
      </c>
    </row>
    <row r="393" spans="1:2">
      <c r="A393" s="70">
        <v>392</v>
      </c>
      <c r="B393" s="55" t="s">
        <v>1233</v>
      </c>
    </row>
    <row r="394" spans="1:2">
      <c r="A394" s="70">
        <v>393</v>
      </c>
      <c r="B394" s="55" t="s">
        <v>1234</v>
      </c>
    </row>
    <row r="395" spans="1:2">
      <c r="A395" s="70">
        <v>394</v>
      </c>
      <c r="B395" s="55" t="s">
        <v>1235</v>
      </c>
    </row>
    <row r="396" spans="1:2">
      <c r="A396" s="70">
        <v>395</v>
      </c>
      <c r="B396" s="55" t="s">
        <v>1236</v>
      </c>
    </row>
    <row r="397" spans="1:2">
      <c r="A397" s="70">
        <v>396</v>
      </c>
      <c r="B397" s="55" t="s">
        <v>1237</v>
      </c>
    </row>
    <row r="398" spans="1:2">
      <c r="A398" s="70">
        <v>397</v>
      </c>
      <c r="B398" s="55" t="s">
        <v>1238</v>
      </c>
    </row>
    <row r="399" spans="1:2">
      <c r="A399" s="70">
        <v>398</v>
      </c>
      <c r="B399" s="55" t="s">
        <v>1239</v>
      </c>
    </row>
    <row r="400" spans="1:2">
      <c r="A400" s="70">
        <v>399</v>
      </c>
      <c r="B400" s="55" t="s">
        <v>1240</v>
      </c>
    </row>
    <row r="401" spans="1:2">
      <c r="A401" s="70">
        <v>400</v>
      </c>
      <c r="B401" s="55" t="s">
        <v>1241</v>
      </c>
    </row>
    <row r="402" spans="1:2">
      <c r="A402" s="70">
        <v>401</v>
      </c>
      <c r="B402" s="55" t="s">
        <v>1242</v>
      </c>
    </row>
    <row r="403" spans="1:2">
      <c r="A403" s="70">
        <v>402</v>
      </c>
      <c r="B403" s="55" t="s">
        <v>1243</v>
      </c>
    </row>
    <row r="404" spans="1:2">
      <c r="A404" s="70">
        <v>403</v>
      </c>
      <c r="B404" s="55" t="s">
        <v>1244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999"/>
  <sheetViews>
    <sheetView workbookViewId="0"/>
  </sheetViews>
  <sheetFormatPr baseColWidth="10" defaultColWidth="14.5" defaultRowHeight="15" customHeight="1"/>
  <cols>
    <col min="1" max="1" width="65.1640625" customWidth="1"/>
    <col min="2" max="2" width="152.6640625" customWidth="1"/>
  </cols>
  <sheetData>
    <row r="1" spans="1:2" ht="22.5" customHeight="1">
      <c r="A1" s="72" t="s">
        <v>1254</v>
      </c>
      <c r="B1" s="73" t="s">
        <v>18</v>
      </c>
    </row>
    <row r="2" spans="1:2" ht="22.5" customHeight="1">
      <c r="A2" s="72" t="s">
        <v>1255</v>
      </c>
      <c r="B2" s="73" t="s">
        <v>19</v>
      </c>
    </row>
    <row r="3" spans="1:2" ht="22.5" customHeight="1">
      <c r="A3" s="72" t="s">
        <v>1256</v>
      </c>
      <c r="B3" s="73" t="s">
        <v>20</v>
      </c>
    </row>
    <row r="4" spans="1:2" ht="22.5" customHeight="1">
      <c r="A4" s="72" t="s">
        <v>1257</v>
      </c>
      <c r="B4" s="73" t="s">
        <v>21</v>
      </c>
    </row>
    <row r="5" spans="1:2" ht="22.5" customHeight="1">
      <c r="A5" s="72" t="s">
        <v>1258</v>
      </c>
      <c r="B5" s="73" t="s">
        <v>22</v>
      </c>
    </row>
    <row r="6" spans="1:2" ht="22.5" customHeight="1">
      <c r="A6" s="72" t="s">
        <v>1259</v>
      </c>
      <c r="B6" s="73" t="s">
        <v>23</v>
      </c>
    </row>
    <row r="7" spans="1:2" ht="22.5" customHeight="1">
      <c r="A7" s="72" t="s">
        <v>1260</v>
      </c>
      <c r="B7" s="73" t="s">
        <v>24</v>
      </c>
    </row>
    <row r="8" spans="1:2" ht="22.5" customHeight="1">
      <c r="A8" s="72" t="s">
        <v>1261</v>
      </c>
      <c r="B8" s="73" t="s">
        <v>25</v>
      </c>
    </row>
    <row r="9" spans="1:2" ht="22.5" customHeight="1">
      <c r="A9" s="72" t="s">
        <v>1262</v>
      </c>
      <c r="B9" s="73" t="s">
        <v>26</v>
      </c>
    </row>
    <row r="10" spans="1:2" ht="22.5" customHeight="1">
      <c r="A10" s="72" t="s">
        <v>1263</v>
      </c>
      <c r="B10" s="73" t="s">
        <v>27</v>
      </c>
    </row>
    <row r="11" spans="1:2" ht="22.5" customHeight="1">
      <c r="A11" s="48" t="s">
        <v>1264</v>
      </c>
      <c r="B11" s="73" t="s">
        <v>28</v>
      </c>
    </row>
    <row r="12" spans="1:2" ht="22.5" customHeight="1">
      <c r="A12" s="72" t="s">
        <v>1265</v>
      </c>
      <c r="B12" s="73" t="s">
        <v>29</v>
      </c>
    </row>
    <row r="13" spans="1:2" ht="22.5" customHeight="1">
      <c r="A13" s="72" t="s">
        <v>1266</v>
      </c>
      <c r="B13" s="73" t="s">
        <v>30</v>
      </c>
    </row>
    <row r="14" spans="1:2" ht="22.5" customHeight="1">
      <c r="A14" s="72" t="s">
        <v>1267</v>
      </c>
      <c r="B14" s="73" t="s">
        <v>31</v>
      </c>
    </row>
    <row r="15" spans="1:2" ht="22.5" customHeight="1">
      <c r="A15" s="72" t="s">
        <v>1268</v>
      </c>
      <c r="B15" s="73" t="s">
        <v>32</v>
      </c>
    </row>
    <row r="16" spans="1:2" ht="22.5" customHeight="1">
      <c r="A16" s="72" t="s">
        <v>1269</v>
      </c>
      <c r="B16" s="73" t="s">
        <v>33</v>
      </c>
    </row>
    <row r="17" spans="1:2" ht="22.5" customHeight="1">
      <c r="A17" s="72" t="s">
        <v>1270</v>
      </c>
      <c r="B17" s="73" t="s">
        <v>34</v>
      </c>
    </row>
    <row r="18" spans="1:2" ht="22.5" customHeight="1">
      <c r="A18" s="72" t="s">
        <v>1271</v>
      </c>
      <c r="B18" s="73" t="s">
        <v>35</v>
      </c>
    </row>
    <row r="19" spans="1:2" ht="22.5" customHeight="1">
      <c r="A19" s="48" t="s">
        <v>1272</v>
      </c>
      <c r="B19" s="73" t="s">
        <v>36</v>
      </c>
    </row>
    <row r="20" spans="1:2" ht="22.5" customHeight="1">
      <c r="A20" s="48" t="s">
        <v>1273</v>
      </c>
      <c r="B20" s="73" t="s">
        <v>37</v>
      </c>
    </row>
    <row r="21" spans="1:2" ht="22.5" customHeight="1">
      <c r="A21" s="72" t="s">
        <v>1274</v>
      </c>
      <c r="B21" s="73" t="s">
        <v>38</v>
      </c>
    </row>
    <row r="22" spans="1:2" ht="22.5" customHeight="1">
      <c r="A22" s="48" t="s">
        <v>1275</v>
      </c>
      <c r="B22" s="73" t="s">
        <v>39</v>
      </c>
    </row>
    <row r="23" spans="1:2" ht="22.5" customHeight="1">
      <c r="A23" s="48" t="s">
        <v>1276</v>
      </c>
      <c r="B23" s="73" t="s">
        <v>40</v>
      </c>
    </row>
    <row r="24" spans="1:2" ht="22.5" customHeight="1">
      <c r="A24" s="48" t="s">
        <v>1277</v>
      </c>
      <c r="B24" s="73" t="s">
        <v>41</v>
      </c>
    </row>
    <row r="25" spans="1:2" ht="22.5" customHeight="1">
      <c r="A25" s="72" t="s">
        <v>1278</v>
      </c>
      <c r="B25" s="73" t="s">
        <v>42</v>
      </c>
    </row>
    <row r="26" spans="1:2" ht="22.5" customHeight="1">
      <c r="A26" s="48" t="s">
        <v>1279</v>
      </c>
      <c r="B26" s="73" t="s">
        <v>43</v>
      </c>
    </row>
    <row r="27" spans="1:2" ht="22.5" customHeight="1">
      <c r="A27" s="48" t="s">
        <v>1280</v>
      </c>
      <c r="B27" s="73" t="s">
        <v>44</v>
      </c>
    </row>
    <row r="28" spans="1:2" ht="22.5" customHeight="1">
      <c r="A28" s="72" t="s">
        <v>1281</v>
      </c>
      <c r="B28" s="73" t="s">
        <v>45</v>
      </c>
    </row>
    <row r="29" spans="1:2" ht="22.5" customHeight="1">
      <c r="A29" s="48" t="s">
        <v>1282</v>
      </c>
      <c r="B29" s="73" t="s">
        <v>46</v>
      </c>
    </row>
    <row r="30" spans="1:2" ht="22.5" customHeight="1">
      <c r="A30" s="48" t="s">
        <v>1283</v>
      </c>
      <c r="B30" s="73" t="s">
        <v>47</v>
      </c>
    </row>
    <row r="31" spans="1:2" ht="22.5" customHeight="1">
      <c r="A31" s="48" t="s">
        <v>1284</v>
      </c>
      <c r="B31" s="73" t="s">
        <v>48</v>
      </c>
    </row>
    <row r="32" spans="1:2" ht="22.5" customHeight="1">
      <c r="A32" s="48" t="s">
        <v>1285</v>
      </c>
      <c r="B32" s="73" t="s">
        <v>49</v>
      </c>
    </row>
    <row r="33" spans="1:2" ht="22.5" customHeight="1">
      <c r="A33" s="48" t="s">
        <v>1286</v>
      </c>
      <c r="B33" s="73" t="s">
        <v>50</v>
      </c>
    </row>
    <row r="34" spans="1:2" ht="22.5" customHeight="1">
      <c r="A34" s="48" t="s">
        <v>1287</v>
      </c>
      <c r="B34" s="73" t="s">
        <v>51</v>
      </c>
    </row>
    <row r="35" spans="1:2" ht="22.5" customHeight="1">
      <c r="A35" s="48" t="s">
        <v>1288</v>
      </c>
      <c r="B35" s="73" t="s">
        <v>52</v>
      </c>
    </row>
    <row r="36" spans="1:2" ht="22.5" customHeight="1">
      <c r="A36" s="48" t="s">
        <v>1289</v>
      </c>
      <c r="B36" s="73" t="s">
        <v>53</v>
      </c>
    </row>
    <row r="37" spans="1:2" ht="22.5" customHeight="1">
      <c r="A37" s="48" t="s">
        <v>1290</v>
      </c>
      <c r="B37" s="73" t="s">
        <v>54</v>
      </c>
    </row>
    <row r="38" spans="1:2" ht="22.5" customHeight="1">
      <c r="A38" s="48" t="s">
        <v>1291</v>
      </c>
      <c r="B38" s="73" t="s">
        <v>55</v>
      </c>
    </row>
    <row r="39" spans="1:2" ht="22.5" customHeight="1">
      <c r="A39" s="48" t="s">
        <v>1292</v>
      </c>
      <c r="B39" s="73" t="s">
        <v>56</v>
      </c>
    </row>
    <row r="40" spans="1:2" ht="22.5" customHeight="1">
      <c r="A40" s="48" t="s">
        <v>1293</v>
      </c>
      <c r="B40" s="73" t="s">
        <v>57</v>
      </c>
    </row>
    <row r="41" spans="1:2" ht="22.5" customHeight="1">
      <c r="A41" s="48" t="s">
        <v>1294</v>
      </c>
      <c r="B41" s="73" t="s">
        <v>58</v>
      </c>
    </row>
    <row r="42" spans="1:2" ht="22.5" customHeight="1">
      <c r="A42" s="48" t="s">
        <v>1295</v>
      </c>
      <c r="B42" s="73" t="s">
        <v>59</v>
      </c>
    </row>
    <row r="43" spans="1:2" ht="22.5" customHeight="1">
      <c r="A43" s="72" t="s">
        <v>1296</v>
      </c>
      <c r="B43" s="73" t="s">
        <v>60</v>
      </c>
    </row>
    <row r="44" spans="1:2" ht="22.5" customHeight="1">
      <c r="A44" s="48" t="s">
        <v>1297</v>
      </c>
      <c r="B44" s="73" t="s">
        <v>61</v>
      </c>
    </row>
    <row r="45" spans="1:2" ht="22.5" customHeight="1">
      <c r="A45" s="48" t="s">
        <v>1298</v>
      </c>
      <c r="B45" s="73" t="s">
        <v>62</v>
      </c>
    </row>
    <row r="46" spans="1:2" ht="22.5" customHeight="1">
      <c r="A46" s="48" t="s">
        <v>1299</v>
      </c>
      <c r="B46" s="73" t="s">
        <v>63</v>
      </c>
    </row>
    <row r="47" spans="1:2" ht="22.5" customHeight="1">
      <c r="A47" s="48" t="s">
        <v>1300</v>
      </c>
      <c r="B47" s="73" t="s">
        <v>64</v>
      </c>
    </row>
    <row r="48" spans="1:2" ht="22.5" customHeight="1">
      <c r="A48" s="48" t="s">
        <v>1301</v>
      </c>
      <c r="B48" s="73" t="s">
        <v>65</v>
      </c>
    </row>
    <row r="49" spans="1:2" ht="22.5" customHeight="1">
      <c r="A49" s="48" t="s">
        <v>1302</v>
      </c>
      <c r="B49" s="73" t="s">
        <v>66</v>
      </c>
    </row>
    <row r="50" spans="1:2" ht="22.5" customHeight="1">
      <c r="A50" s="48" t="s">
        <v>1303</v>
      </c>
      <c r="B50" s="73" t="s">
        <v>67</v>
      </c>
    </row>
    <row r="51" spans="1:2" ht="22.5" customHeight="1">
      <c r="A51" s="48" t="s">
        <v>1304</v>
      </c>
      <c r="B51" s="73" t="s">
        <v>68</v>
      </c>
    </row>
    <row r="52" spans="1:2" ht="22.5" customHeight="1">
      <c r="A52" s="48" t="s">
        <v>1305</v>
      </c>
      <c r="B52" s="73" t="s">
        <v>69</v>
      </c>
    </row>
    <row r="53" spans="1:2" ht="22.5" customHeight="1">
      <c r="A53" s="48" t="s">
        <v>1306</v>
      </c>
      <c r="B53" s="73" t="s">
        <v>70</v>
      </c>
    </row>
    <row r="54" spans="1:2" ht="22.5" customHeight="1">
      <c r="A54" s="48" t="s">
        <v>1307</v>
      </c>
      <c r="B54" s="73" t="s">
        <v>71</v>
      </c>
    </row>
    <row r="55" spans="1:2" ht="22.5" customHeight="1">
      <c r="A55" s="48" t="s">
        <v>1308</v>
      </c>
      <c r="B55" s="73" t="s">
        <v>72</v>
      </c>
    </row>
    <row r="56" spans="1:2" ht="22.5" customHeight="1">
      <c r="A56" s="48" t="s">
        <v>1309</v>
      </c>
      <c r="B56" s="73" t="s">
        <v>73</v>
      </c>
    </row>
    <row r="57" spans="1:2" ht="22.5" customHeight="1">
      <c r="A57" s="72" t="s">
        <v>1310</v>
      </c>
      <c r="B57" s="73" t="s">
        <v>74</v>
      </c>
    </row>
    <row r="58" spans="1:2" ht="22.5" customHeight="1">
      <c r="A58" s="48" t="s">
        <v>1311</v>
      </c>
      <c r="B58" s="73" t="s">
        <v>75</v>
      </c>
    </row>
    <row r="59" spans="1:2" ht="22.5" customHeight="1">
      <c r="A59" s="48" t="s">
        <v>1312</v>
      </c>
      <c r="B59" s="73" t="s">
        <v>76</v>
      </c>
    </row>
    <row r="60" spans="1:2" ht="22.5" customHeight="1">
      <c r="A60" s="48" t="s">
        <v>1313</v>
      </c>
      <c r="B60" s="73" t="s">
        <v>77</v>
      </c>
    </row>
    <row r="61" spans="1:2" ht="22.5" customHeight="1">
      <c r="A61" s="48" t="s">
        <v>1314</v>
      </c>
      <c r="B61" s="73" t="s">
        <v>78</v>
      </c>
    </row>
    <row r="62" spans="1:2" ht="22.5" customHeight="1">
      <c r="A62" s="48" t="s">
        <v>1315</v>
      </c>
      <c r="B62" s="73" t="s">
        <v>79</v>
      </c>
    </row>
    <row r="63" spans="1:2" ht="22.5" customHeight="1">
      <c r="A63" s="48" t="s">
        <v>1316</v>
      </c>
      <c r="B63" s="73" t="s">
        <v>80</v>
      </c>
    </row>
    <row r="64" spans="1:2" ht="22.5" customHeight="1">
      <c r="A64" s="48" t="s">
        <v>1317</v>
      </c>
      <c r="B64" s="73" t="s">
        <v>81</v>
      </c>
    </row>
    <row r="65" spans="1:2" ht="22.5" customHeight="1">
      <c r="A65" s="48" t="s">
        <v>1318</v>
      </c>
      <c r="B65" s="73" t="s">
        <v>82</v>
      </c>
    </row>
    <row r="66" spans="1:2" ht="22.5" customHeight="1">
      <c r="A66" s="48" t="s">
        <v>1319</v>
      </c>
      <c r="B66" s="73" t="s">
        <v>83</v>
      </c>
    </row>
    <row r="67" spans="1:2" ht="22.5" customHeight="1">
      <c r="A67" s="48" t="s">
        <v>1320</v>
      </c>
      <c r="B67" s="73" t="s">
        <v>84</v>
      </c>
    </row>
    <row r="68" spans="1:2" ht="22.5" customHeight="1">
      <c r="A68" s="72" t="s">
        <v>1321</v>
      </c>
      <c r="B68" s="73" t="s">
        <v>85</v>
      </c>
    </row>
    <row r="69" spans="1:2" ht="22.5" customHeight="1">
      <c r="A69" s="48" t="s">
        <v>1322</v>
      </c>
      <c r="B69" s="73" t="s">
        <v>86</v>
      </c>
    </row>
    <row r="70" spans="1:2" ht="22.5" customHeight="1">
      <c r="A70" s="48" t="s">
        <v>1323</v>
      </c>
      <c r="B70" s="73" t="s">
        <v>87</v>
      </c>
    </row>
    <row r="71" spans="1:2" ht="22.5" customHeight="1">
      <c r="A71" s="48" t="s">
        <v>1324</v>
      </c>
      <c r="B71" s="73" t="s">
        <v>88</v>
      </c>
    </row>
    <row r="72" spans="1:2" ht="22.5" customHeight="1">
      <c r="A72" s="48" t="s">
        <v>1325</v>
      </c>
      <c r="B72" s="73" t="s">
        <v>89</v>
      </c>
    </row>
    <row r="73" spans="1:2" ht="22.5" customHeight="1">
      <c r="A73" s="48" t="s">
        <v>1326</v>
      </c>
      <c r="B73" s="73" t="s">
        <v>90</v>
      </c>
    </row>
    <row r="74" spans="1:2" ht="22.5" customHeight="1">
      <c r="A74" s="48" t="s">
        <v>1327</v>
      </c>
      <c r="B74" s="73" t="s">
        <v>91</v>
      </c>
    </row>
    <row r="75" spans="1:2" ht="22.5" customHeight="1">
      <c r="A75" s="72" t="s">
        <v>1328</v>
      </c>
      <c r="B75" s="73" t="s">
        <v>92</v>
      </c>
    </row>
    <row r="76" spans="1:2" ht="22.5" customHeight="1">
      <c r="A76" s="72" t="s">
        <v>1329</v>
      </c>
      <c r="B76" s="73" t="s">
        <v>93</v>
      </c>
    </row>
    <row r="77" spans="1:2" ht="22.5" customHeight="1">
      <c r="A77" s="48" t="s">
        <v>1330</v>
      </c>
      <c r="B77" s="73" t="s">
        <v>94</v>
      </c>
    </row>
    <row r="78" spans="1:2" ht="22.5" customHeight="1">
      <c r="A78" s="48" t="s">
        <v>1331</v>
      </c>
      <c r="B78" s="73" t="s">
        <v>95</v>
      </c>
    </row>
    <row r="79" spans="1:2" ht="22.5" customHeight="1">
      <c r="A79" s="48" t="s">
        <v>1332</v>
      </c>
      <c r="B79" s="73" t="s">
        <v>96</v>
      </c>
    </row>
    <row r="80" spans="1:2" ht="22.5" customHeight="1">
      <c r="A80" s="48" t="s">
        <v>1333</v>
      </c>
      <c r="B80" s="73" t="s">
        <v>97</v>
      </c>
    </row>
    <row r="81" spans="1:2" ht="22.5" customHeight="1">
      <c r="A81" s="48" t="s">
        <v>1334</v>
      </c>
      <c r="B81" s="73" t="s">
        <v>98</v>
      </c>
    </row>
    <row r="82" spans="1:2" ht="22.5" customHeight="1">
      <c r="A82" s="48" t="s">
        <v>1335</v>
      </c>
      <c r="B82" s="73" t="s">
        <v>99</v>
      </c>
    </row>
    <row r="83" spans="1:2" ht="22.5" customHeight="1">
      <c r="A83" s="48" t="s">
        <v>1336</v>
      </c>
      <c r="B83" s="73" t="s">
        <v>100</v>
      </c>
    </row>
    <row r="84" spans="1:2" ht="22.5" customHeight="1">
      <c r="A84" s="48" t="s">
        <v>1337</v>
      </c>
      <c r="B84" s="74"/>
    </row>
    <row r="85" spans="1:2" ht="22.5" customHeight="1">
      <c r="A85" s="48" t="s">
        <v>1338</v>
      </c>
      <c r="B85" s="73" t="s">
        <v>101</v>
      </c>
    </row>
    <row r="86" spans="1:2" ht="22.5" customHeight="1">
      <c r="A86" s="48" t="s">
        <v>1339</v>
      </c>
      <c r="B86" s="73" t="s">
        <v>102</v>
      </c>
    </row>
    <row r="87" spans="1:2" ht="22.5" customHeight="1">
      <c r="A87" s="48" t="s">
        <v>1340</v>
      </c>
      <c r="B87" s="73" t="s">
        <v>103</v>
      </c>
    </row>
    <row r="88" spans="1:2" ht="22.5" customHeight="1">
      <c r="A88" s="48" t="s">
        <v>1341</v>
      </c>
      <c r="B88" s="73" t="s">
        <v>104</v>
      </c>
    </row>
    <row r="89" spans="1:2" ht="22.5" customHeight="1">
      <c r="A89" s="72" t="s">
        <v>1342</v>
      </c>
      <c r="B89" s="73" t="s">
        <v>105</v>
      </c>
    </row>
    <row r="90" spans="1:2" ht="22.5" customHeight="1">
      <c r="A90" s="48" t="s">
        <v>1343</v>
      </c>
      <c r="B90" s="73" t="s">
        <v>106</v>
      </c>
    </row>
    <row r="91" spans="1:2" ht="22.5" customHeight="1">
      <c r="A91" s="72" t="s">
        <v>1344</v>
      </c>
      <c r="B91" s="73" t="s">
        <v>107</v>
      </c>
    </row>
    <row r="92" spans="1:2" ht="22.5" customHeight="1">
      <c r="A92" s="48" t="s">
        <v>1345</v>
      </c>
      <c r="B92" s="73" t="s">
        <v>108</v>
      </c>
    </row>
    <row r="93" spans="1:2" ht="22.5" customHeight="1">
      <c r="A93" s="48" t="s">
        <v>1346</v>
      </c>
      <c r="B93" s="73" t="s">
        <v>109</v>
      </c>
    </row>
    <row r="94" spans="1:2" ht="22.5" customHeight="1">
      <c r="A94" s="48" t="s">
        <v>1347</v>
      </c>
      <c r="B94" s="73" t="s">
        <v>110</v>
      </c>
    </row>
    <row r="95" spans="1:2" ht="22.5" customHeight="1">
      <c r="A95" s="72" t="s">
        <v>1348</v>
      </c>
      <c r="B95" s="73" t="s">
        <v>111</v>
      </c>
    </row>
    <row r="96" spans="1:2" ht="22.5" customHeight="1">
      <c r="A96" s="48" t="s">
        <v>1349</v>
      </c>
      <c r="B96" s="73" t="s">
        <v>112</v>
      </c>
    </row>
    <row r="97" spans="1:2" ht="22.5" customHeight="1">
      <c r="A97" s="48" t="s">
        <v>1350</v>
      </c>
      <c r="B97" s="73" t="s">
        <v>113</v>
      </c>
    </row>
    <row r="98" spans="1:2" ht="22.5" customHeight="1">
      <c r="A98" s="48" t="s">
        <v>1351</v>
      </c>
      <c r="B98" s="73" t="s">
        <v>114</v>
      </c>
    </row>
    <row r="99" spans="1:2" ht="22.5" customHeight="1">
      <c r="A99" s="48" t="s">
        <v>1352</v>
      </c>
      <c r="B99" s="73" t="s">
        <v>115</v>
      </c>
    </row>
    <row r="100" spans="1:2" ht="22.5" customHeight="1">
      <c r="A100" s="48" t="s">
        <v>1353</v>
      </c>
      <c r="B100" s="73" t="s">
        <v>116</v>
      </c>
    </row>
    <row r="101" spans="1:2" ht="22.5" customHeight="1">
      <c r="A101" s="48" t="s">
        <v>1354</v>
      </c>
      <c r="B101" s="73" t="s">
        <v>117</v>
      </c>
    </row>
    <row r="102" spans="1:2" ht="22.5" customHeight="1">
      <c r="A102" s="48" t="s">
        <v>1355</v>
      </c>
      <c r="B102" s="73" t="s">
        <v>118</v>
      </c>
    </row>
    <row r="103" spans="1:2" ht="22.5" customHeight="1">
      <c r="A103" s="48" t="s">
        <v>1356</v>
      </c>
      <c r="B103" s="73" t="s">
        <v>119</v>
      </c>
    </row>
    <row r="104" spans="1:2" ht="22.5" customHeight="1">
      <c r="A104" s="48" t="s">
        <v>1357</v>
      </c>
      <c r="B104" s="73" t="s">
        <v>120</v>
      </c>
    </row>
    <row r="105" spans="1:2" ht="22.5" customHeight="1">
      <c r="A105" s="48" t="s">
        <v>1358</v>
      </c>
      <c r="B105" s="73" t="s">
        <v>121</v>
      </c>
    </row>
    <row r="106" spans="1:2" ht="22.5" customHeight="1">
      <c r="A106" s="48" t="s">
        <v>1359</v>
      </c>
      <c r="B106" s="73" t="s">
        <v>122</v>
      </c>
    </row>
    <row r="107" spans="1:2" ht="22.5" customHeight="1">
      <c r="A107" s="48" t="s">
        <v>1360</v>
      </c>
      <c r="B107" s="73" t="s">
        <v>123</v>
      </c>
    </row>
    <row r="108" spans="1:2" ht="22.5" customHeight="1">
      <c r="A108" s="48" t="s">
        <v>1361</v>
      </c>
      <c r="B108" s="73" t="s">
        <v>124</v>
      </c>
    </row>
    <row r="109" spans="1:2" ht="22.5" customHeight="1">
      <c r="A109" s="48" t="s">
        <v>1362</v>
      </c>
      <c r="B109" s="73" t="s">
        <v>125</v>
      </c>
    </row>
    <row r="110" spans="1:2" ht="22.5" customHeight="1">
      <c r="A110" s="48" t="s">
        <v>1363</v>
      </c>
      <c r="B110" s="73" t="s">
        <v>126</v>
      </c>
    </row>
    <row r="111" spans="1:2" ht="22.5" customHeight="1">
      <c r="A111" s="48" t="s">
        <v>1364</v>
      </c>
      <c r="B111" s="73" t="s">
        <v>127</v>
      </c>
    </row>
    <row r="112" spans="1:2" ht="22.5" customHeight="1">
      <c r="A112" s="48" t="s">
        <v>1365</v>
      </c>
      <c r="B112" s="73" t="s">
        <v>128</v>
      </c>
    </row>
    <row r="113" spans="1:2" ht="22.5" customHeight="1">
      <c r="A113" s="48" t="s">
        <v>1366</v>
      </c>
      <c r="B113" s="73" t="s">
        <v>129</v>
      </c>
    </row>
    <row r="114" spans="1:2" ht="22.5" customHeight="1">
      <c r="A114" s="48" t="s">
        <v>1367</v>
      </c>
      <c r="B114" s="73" t="s">
        <v>130</v>
      </c>
    </row>
    <row r="115" spans="1:2" ht="22.5" customHeight="1">
      <c r="A115" s="48" t="s">
        <v>1368</v>
      </c>
      <c r="B115" s="73" t="s">
        <v>131</v>
      </c>
    </row>
    <row r="116" spans="1:2" ht="22.5" customHeight="1">
      <c r="A116" s="48" t="s">
        <v>1369</v>
      </c>
      <c r="B116" s="73" t="s">
        <v>132</v>
      </c>
    </row>
    <row r="117" spans="1:2" ht="22.5" customHeight="1">
      <c r="A117" s="48" t="s">
        <v>1370</v>
      </c>
      <c r="B117" s="73" t="s">
        <v>133</v>
      </c>
    </row>
    <row r="118" spans="1:2" ht="22.5" customHeight="1">
      <c r="A118" s="48" t="s">
        <v>1371</v>
      </c>
      <c r="B118" s="73" t="s">
        <v>134</v>
      </c>
    </row>
    <row r="119" spans="1:2" ht="22.5" customHeight="1">
      <c r="A119" s="48" t="s">
        <v>1372</v>
      </c>
      <c r="B119" s="73" t="s">
        <v>135</v>
      </c>
    </row>
    <row r="120" spans="1:2" ht="22.5" customHeight="1">
      <c r="A120" s="48" t="s">
        <v>1373</v>
      </c>
      <c r="B120" s="73" t="s">
        <v>136</v>
      </c>
    </row>
    <row r="121" spans="1:2" ht="22.5" customHeight="1">
      <c r="A121" s="48" t="s">
        <v>1374</v>
      </c>
      <c r="B121" s="73" t="s">
        <v>137</v>
      </c>
    </row>
    <row r="122" spans="1:2" ht="22.5" customHeight="1">
      <c r="A122" s="48" t="s">
        <v>1375</v>
      </c>
      <c r="B122" s="73" t="s">
        <v>138</v>
      </c>
    </row>
    <row r="123" spans="1:2" ht="22.5" customHeight="1">
      <c r="A123" s="48" t="s">
        <v>1376</v>
      </c>
      <c r="B123" s="73" t="s">
        <v>139</v>
      </c>
    </row>
    <row r="124" spans="1:2" ht="22.5" customHeight="1">
      <c r="A124" s="48" t="s">
        <v>1377</v>
      </c>
      <c r="B124" s="73" t="s">
        <v>140</v>
      </c>
    </row>
    <row r="125" spans="1:2" ht="22.5" customHeight="1">
      <c r="A125" s="48" t="s">
        <v>1378</v>
      </c>
      <c r="B125" s="73" t="s">
        <v>141</v>
      </c>
    </row>
    <row r="126" spans="1:2" ht="22.5" customHeight="1">
      <c r="A126" s="48" t="s">
        <v>1379</v>
      </c>
      <c r="B126" s="73" t="s">
        <v>142</v>
      </c>
    </row>
    <row r="127" spans="1:2" ht="22.5" customHeight="1">
      <c r="A127" s="48" t="s">
        <v>1380</v>
      </c>
      <c r="B127" s="73" t="s">
        <v>143</v>
      </c>
    </row>
    <row r="128" spans="1:2" ht="22.5" customHeight="1">
      <c r="A128" s="48" t="s">
        <v>1381</v>
      </c>
      <c r="B128" s="73" t="s">
        <v>144</v>
      </c>
    </row>
    <row r="129" spans="1:2" ht="22.5" customHeight="1">
      <c r="A129" s="48" t="s">
        <v>1382</v>
      </c>
      <c r="B129" s="73" t="s">
        <v>145</v>
      </c>
    </row>
    <row r="130" spans="1:2" ht="22.5" customHeight="1">
      <c r="A130" s="48" t="s">
        <v>1383</v>
      </c>
      <c r="B130" s="73" t="s">
        <v>146</v>
      </c>
    </row>
    <row r="131" spans="1:2" ht="22.5" customHeight="1">
      <c r="A131" s="48" t="s">
        <v>1384</v>
      </c>
      <c r="B131" s="73" t="s">
        <v>147</v>
      </c>
    </row>
    <row r="132" spans="1:2" ht="22.5" customHeight="1">
      <c r="A132" s="48" t="s">
        <v>1385</v>
      </c>
      <c r="B132" s="73" t="s">
        <v>148</v>
      </c>
    </row>
    <row r="133" spans="1:2" ht="22.5" customHeight="1">
      <c r="A133" s="48" t="s">
        <v>1386</v>
      </c>
      <c r="B133" s="73" t="s">
        <v>149</v>
      </c>
    </row>
    <row r="134" spans="1:2" ht="22.5" customHeight="1">
      <c r="A134" s="48" t="s">
        <v>1387</v>
      </c>
      <c r="B134" s="73" t="s">
        <v>150</v>
      </c>
    </row>
    <row r="135" spans="1:2" ht="22.5" customHeight="1">
      <c r="A135" s="48" t="s">
        <v>1388</v>
      </c>
      <c r="B135" s="73" t="s">
        <v>151</v>
      </c>
    </row>
    <row r="136" spans="1:2" ht="22.5" customHeight="1">
      <c r="A136" s="48" t="s">
        <v>1389</v>
      </c>
      <c r="B136" s="73" t="s">
        <v>152</v>
      </c>
    </row>
    <row r="137" spans="1:2" ht="22.5" customHeight="1">
      <c r="A137" s="48" t="s">
        <v>1390</v>
      </c>
      <c r="B137" s="73" t="s">
        <v>153</v>
      </c>
    </row>
    <row r="138" spans="1:2" ht="22.5" customHeight="1">
      <c r="A138" s="48" t="s">
        <v>1391</v>
      </c>
      <c r="B138" s="73" t="s">
        <v>154</v>
      </c>
    </row>
    <row r="139" spans="1:2" ht="22.5" customHeight="1">
      <c r="A139" s="48" t="s">
        <v>1392</v>
      </c>
      <c r="B139" s="73" t="s">
        <v>155</v>
      </c>
    </row>
    <row r="140" spans="1:2" ht="22.5" customHeight="1">
      <c r="A140" s="48" t="s">
        <v>1393</v>
      </c>
      <c r="B140" s="73" t="s">
        <v>156</v>
      </c>
    </row>
    <row r="141" spans="1:2" ht="22.5" customHeight="1">
      <c r="A141" s="48" t="s">
        <v>1394</v>
      </c>
      <c r="B141" s="73" t="s">
        <v>157</v>
      </c>
    </row>
    <row r="142" spans="1:2" ht="22.5" customHeight="1">
      <c r="A142" s="48" t="s">
        <v>1395</v>
      </c>
      <c r="B142" s="73" t="s">
        <v>158</v>
      </c>
    </row>
    <row r="143" spans="1:2" ht="22.5" customHeight="1">
      <c r="A143" s="48" t="s">
        <v>1396</v>
      </c>
      <c r="B143" s="73" t="s">
        <v>159</v>
      </c>
    </row>
    <row r="144" spans="1:2" ht="22.5" customHeight="1">
      <c r="A144" s="48" t="s">
        <v>1397</v>
      </c>
      <c r="B144" s="73" t="s">
        <v>160</v>
      </c>
    </row>
    <row r="145" spans="1:2" ht="22.5" customHeight="1">
      <c r="A145" s="48" t="s">
        <v>1398</v>
      </c>
      <c r="B145" s="73" t="s">
        <v>161</v>
      </c>
    </row>
    <row r="146" spans="1:2" ht="22.5" customHeight="1">
      <c r="A146" s="48" t="s">
        <v>1399</v>
      </c>
      <c r="B146" s="73" t="s">
        <v>162</v>
      </c>
    </row>
    <row r="147" spans="1:2" ht="22.5" customHeight="1">
      <c r="A147" s="48" t="s">
        <v>1400</v>
      </c>
      <c r="B147" s="73" t="s">
        <v>163</v>
      </c>
    </row>
    <row r="148" spans="1:2" ht="22.5" customHeight="1">
      <c r="A148" s="48" t="s">
        <v>1401</v>
      </c>
      <c r="B148" s="73" t="s">
        <v>164</v>
      </c>
    </row>
    <row r="149" spans="1:2" ht="22.5" customHeight="1">
      <c r="A149" s="48" t="s">
        <v>1402</v>
      </c>
      <c r="B149" s="73" t="s">
        <v>165</v>
      </c>
    </row>
    <row r="150" spans="1:2" ht="22.5" customHeight="1">
      <c r="A150" s="48" t="s">
        <v>1403</v>
      </c>
      <c r="B150" s="73" t="s">
        <v>166</v>
      </c>
    </row>
    <row r="151" spans="1:2" ht="22.5" customHeight="1">
      <c r="A151" s="48" t="s">
        <v>1404</v>
      </c>
      <c r="B151" s="73" t="s">
        <v>167</v>
      </c>
    </row>
    <row r="152" spans="1:2" ht="22.5" customHeight="1">
      <c r="A152" s="48" t="s">
        <v>1405</v>
      </c>
      <c r="B152" s="73" t="s">
        <v>168</v>
      </c>
    </row>
    <row r="153" spans="1:2" ht="22.5" customHeight="1">
      <c r="A153" s="48" t="s">
        <v>1406</v>
      </c>
      <c r="B153" s="73" t="s">
        <v>58</v>
      </c>
    </row>
    <row r="154" spans="1:2" ht="22.5" customHeight="1">
      <c r="A154" s="48" t="s">
        <v>1407</v>
      </c>
      <c r="B154" s="73" t="s">
        <v>169</v>
      </c>
    </row>
    <row r="155" spans="1:2" ht="22.5" customHeight="1">
      <c r="A155" s="48" t="s">
        <v>1408</v>
      </c>
      <c r="B155" s="73" t="s">
        <v>170</v>
      </c>
    </row>
    <row r="156" spans="1:2" ht="22.5" customHeight="1">
      <c r="A156" s="48" t="s">
        <v>1409</v>
      </c>
      <c r="B156" s="73" t="s">
        <v>113</v>
      </c>
    </row>
    <row r="157" spans="1:2" ht="22.5" customHeight="1">
      <c r="A157" s="48" t="s">
        <v>1410</v>
      </c>
      <c r="B157" s="73" t="s">
        <v>171</v>
      </c>
    </row>
    <row r="158" spans="1:2" ht="22.5" customHeight="1">
      <c r="A158" s="48" t="s">
        <v>1411</v>
      </c>
      <c r="B158" s="73" t="s">
        <v>172</v>
      </c>
    </row>
    <row r="159" spans="1:2" ht="22.5" customHeight="1">
      <c r="A159" s="48" t="s">
        <v>1412</v>
      </c>
      <c r="B159" s="73" t="s">
        <v>173</v>
      </c>
    </row>
    <row r="160" spans="1:2" ht="22.5" customHeight="1">
      <c r="A160" s="48" t="s">
        <v>1413</v>
      </c>
      <c r="B160" s="73" t="s">
        <v>174</v>
      </c>
    </row>
    <row r="161" spans="1:2" ht="22.5" customHeight="1">
      <c r="A161" s="48" t="s">
        <v>1414</v>
      </c>
      <c r="B161" s="73" t="s">
        <v>175</v>
      </c>
    </row>
    <row r="162" spans="1:2" ht="22.5" customHeight="1">
      <c r="A162" s="48" t="s">
        <v>1415</v>
      </c>
      <c r="B162" s="73" t="s">
        <v>176</v>
      </c>
    </row>
    <row r="163" spans="1:2" ht="22.5" customHeight="1">
      <c r="A163" s="48" t="s">
        <v>1416</v>
      </c>
      <c r="B163" s="73" t="s">
        <v>177</v>
      </c>
    </row>
    <row r="164" spans="1:2" ht="22.5" customHeight="1">
      <c r="A164" s="48" t="s">
        <v>1417</v>
      </c>
      <c r="B164" s="73" t="s">
        <v>178</v>
      </c>
    </row>
    <row r="165" spans="1:2" ht="22.5" customHeight="1">
      <c r="A165" s="48" t="s">
        <v>1418</v>
      </c>
      <c r="B165" s="73" t="s">
        <v>179</v>
      </c>
    </row>
    <row r="166" spans="1:2" ht="22.5" customHeight="1">
      <c r="A166" s="48" t="s">
        <v>1419</v>
      </c>
      <c r="B166" s="73" t="s">
        <v>180</v>
      </c>
    </row>
    <row r="167" spans="1:2" ht="22.5" customHeight="1">
      <c r="A167" s="48" t="s">
        <v>1420</v>
      </c>
      <c r="B167" s="73" t="s">
        <v>181</v>
      </c>
    </row>
    <row r="168" spans="1:2" ht="22.5" customHeight="1">
      <c r="A168" s="48" t="s">
        <v>1421</v>
      </c>
      <c r="B168" s="73" t="s">
        <v>182</v>
      </c>
    </row>
    <row r="169" spans="1:2" ht="22.5" customHeight="1">
      <c r="A169" s="48" t="s">
        <v>1422</v>
      </c>
      <c r="B169" s="73" t="s">
        <v>183</v>
      </c>
    </row>
    <row r="170" spans="1:2" ht="22.5" customHeight="1">
      <c r="A170" s="48" t="s">
        <v>1423</v>
      </c>
      <c r="B170" s="73" t="s">
        <v>184</v>
      </c>
    </row>
    <row r="171" spans="1:2" ht="22.5" customHeight="1">
      <c r="A171" s="48" t="s">
        <v>1424</v>
      </c>
      <c r="B171" s="73" t="s">
        <v>185</v>
      </c>
    </row>
    <row r="172" spans="1:2" ht="22.5" customHeight="1">
      <c r="A172" s="48" t="s">
        <v>1425</v>
      </c>
      <c r="B172" s="73" t="s">
        <v>186</v>
      </c>
    </row>
    <row r="173" spans="1:2" ht="22.5" customHeight="1">
      <c r="A173" s="48" t="s">
        <v>1426</v>
      </c>
      <c r="B173" s="73" t="s">
        <v>96</v>
      </c>
    </row>
    <row r="174" spans="1:2" ht="22.5" customHeight="1">
      <c r="A174" s="48" t="s">
        <v>1427</v>
      </c>
      <c r="B174" s="73" t="s">
        <v>187</v>
      </c>
    </row>
    <row r="175" spans="1:2" ht="22.5" customHeight="1">
      <c r="A175" s="48" t="s">
        <v>1428</v>
      </c>
      <c r="B175" s="73" t="s">
        <v>188</v>
      </c>
    </row>
    <row r="176" spans="1:2" ht="22.5" customHeight="1">
      <c r="A176" s="48" t="s">
        <v>1429</v>
      </c>
      <c r="B176" s="73" t="s">
        <v>189</v>
      </c>
    </row>
    <row r="177" spans="1:2" ht="22.5" customHeight="1">
      <c r="A177" s="48" t="s">
        <v>1430</v>
      </c>
      <c r="B177" s="73" t="s">
        <v>184</v>
      </c>
    </row>
    <row r="178" spans="1:2" ht="22.5" customHeight="1">
      <c r="A178" s="48" t="s">
        <v>1431</v>
      </c>
      <c r="B178" s="73" t="s">
        <v>190</v>
      </c>
    </row>
    <row r="179" spans="1:2" ht="22.5" customHeight="1">
      <c r="A179" s="48" t="s">
        <v>1432</v>
      </c>
      <c r="B179" s="73" t="s">
        <v>191</v>
      </c>
    </row>
    <row r="180" spans="1:2" ht="22.5" customHeight="1">
      <c r="A180" s="48" t="s">
        <v>1433</v>
      </c>
      <c r="B180" s="73" t="s">
        <v>192</v>
      </c>
    </row>
    <row r="181" spans="1:2" ht="22.5" customHeight="1">
      <c r="A181" s="48" t="s">
        <v>1434</v>
      </c>
      <c r="B181" s="73" t="s">
        <v>193</v>
      </c>
    </row>
    <row r="182" spans="1:2" ht="22.5" customHeight="1">
      <c r="A182" s="48" t="s">
        <v>1435</v>
      </c>
      <c r="B182" s="73" t="s">
        <v>194</v>
      </c>
    </row>
    <row r="183" spans="1:2" ht="22.5" customHeight="1">
      <c r="A183" s="48" t="s">
        <v>1436</v>
      </c>
      <c r="B183" s="73" t="s">
        <v>195</v>
      </c>
    </row>
    <row r="184" spans="1:2" ht="22.5" customHeight="1">
      <c r="A184" s="48" t="s">
        <v>1437</v>
      </c>
      <c r="B184" s="73" t="s">
        <v>196</v>
      </c>
    </row>
    <row r="185" spans="1:2" ht="22.5" customHeight="1">
      <c r="A185" s="48" t="s">
        <v>1438</v>
      </c>
      <c r="B185" s="73" t="s">
        <v>197</v>
      </c>
    </row>
    <row r="186" spans="1:2" ht="22.5" customHeight="1">
      <c r="A186" s="48" t="s">
        <v>1439</v>
      </c>
      <c r="B186" s="73" t="s">
        <v>198</v>
      </c>
    </row>
    <row r="187" spans="1:2" ht="22.5" customHeight="1">
      <c r="A187" s="48" t="s">
        <v>1440</v>
      </c>
      <c r="B187" s="73" t="s">
        <v>199</v>
      </c>
    </row>
    <row r="188" spans="1:2" ht="22.5" customHeight="1">
      <c r="A188" s="48" t="s">
        <v>1441</v>
      </c>
      <c r="B188" s="73" t="s">
        <v>200</v>
      </c>
    </row>
    <row r="189" spans="1:2" ht="22.5" customHeight="1">
      <c r="A189" s="48" t="s">
        <v>1442</v>
      </c>
      <c r="B189" s="73" t="s">
        <v>201</v>
      </c>
    </row>
    <row r="190" spans="1:2" ht="22.5" customHeight="1">
      <c r="A190" s="48" t="s">
        <v>1443</v>
      </c>
      <c r="B190" s="73" t="s">
        <v>202</v>
      </c>
    </row>
    <row r="191" spans="1:2" ht="22.5" customHeight="1">
      <c r="A191" s="48" t="s">
        <v>1444</v>
      </c>
      <c r="B191" s="73" t="s">
        <v>203</v>
      </c>
    </row>
    <row r="192" spans="1:2" ht="22.5" customHeight="1">
      <c r="A192" s="48" t="s">
        <v>1445</v>
      </c>
      <c r="B192" s="73" t="s">
        <v>204</v>
      </c>
    </row>
    <row r="193" spans="1:2" ht="22.5" customHeight="1">
      <c r="A193" s="48" t="s">
        <v>1446</v>
      </c>
      <c r="B193" s="73" t="s">
        <v>205</v>
      </c>
    </row>
    <row r="194" spans="1:2" ht="22.5" customHeight="1">
      <c r="A194" s="48" t="s">
        <v>1447</v>
      </c>
      <c r="B194" s="73" t="s">
        <v>206</v>
      </c>
    </row>
    <row r="195" spans="1:2" ht="22.5" customHeight="1">
      <c r="A195" s="48" t="s">
        <v>1448</v>
      </c>
      <c r="B195" s="73" t="s">
        <v>207</v>
      </c>
    </row>
    <row r="196" spans="1:2" ht="22.5" customHeight="1">
      <c r="A196" s="48" t="s">
        <v>1449</v>
      </c>
      <c r="B196" s="73" t="s">
        <v>208</v>
      </c>
    </row>
    <row r="197" spans="1:2" ht="22.5" customHeight="1">
      <c r="A197" s="48" t="s">
        <v>1450</v>
      </c>
      <c r="B197" s="73" t="s">
        <v>209</v>
      </c>
    </row>
    <row r="198" spans="1:2" ht="22.5" customHeight="1">
      <c r="A198" s="48" t="s">
        <v>1451</v>
      </c>
      <c r="B198" s="73" t="s">
        <v>210</v>
      </c>
    </row>
    <row r="199" spans="1:2" ht="22.5" customHeight="1">
      <c r="A199" s="48" t="s">
        <v>1452</v>
      </c>
      <c r="B199" s="73" t="s">
        <v>211</v>
      </c>
    </row>
    <row r="200" spans="1:2" ht="22.5" customHeight="1">
      <c r="A200" s="48" t="s">
        <v>1453</v>
      </c>
      <c r="B200" s="73" t="s">
        <v>212</v>
      </c>
    </row>
    <row r="201" spans="1:2" ht="22.5" customHeight="1">
      <c r="A201" s="48" t="s">
        <v>1454</v>
      </c>
      <c r="B201" s="73" t="s">
        <v>213</v>
      </c>
    </row>
    <row r="202" spans="1:2" ht="22.5" customHeight="1">
      <c r="A202" s="48" t="s">
        <v>1455</v>
      </c>
      <c r="B202" s="73" t="s">
        <v>214</v>
      </c>
    </row>
    <row r="203" spans="1:2" ht="22.5" customHeight="1">
      <c r="A203" s="48" t="s">
        <v>1456</v>
      </c>
      <c r="B203" s="73" t="s">
        <v>215</v>
      </c>
    </row>
    <row r="204" spans="1:2" ht="22.5" customHeight="1">
      <c r="A204" s="48" t="s">
        <v>1457</v>
      </c>
      <c r="B204" s="73" t="s">
        <v>216</v>
      </c>
    </row>
    <row r="205" spans="1:2" ht="22.5" customHeight="1">
      <c r="A205" s="48" t="s">
        <v>1458</v>
      </c>
      <c r="B205" s="73" t="s">
        <v>217</v>
      </c>
    </row>
    <row r="206" spans="1:2" ht="22.5" customHeight="1">
      <c r="A206" s="48" t="s">
        <v>1459</v>
      </c>
      <c r="B206" s="73" t="s">
        <v>218</v>
      </c>
    </row>
    <row r="207" spans="1:2" ht="22.5" customHeight="1">
      <c r="A207" s="48" t="s">
        <v>1460</v>
      </c>
      <c r="B207" s="73" t="s">
        <v>219</v>
      </c>
    </row>
    <row r="208" spans="1:2" ht="22.5" customHeight="1">
      <c r="A208" s="48" t="s">
        <v>1461</v>
      </c>
      <c r="B208" s="73" t="s">
        <v>220</v>
      </c>
    </row>
    <row r="209" spans="1:2" ht="22.5" customHeight="1">
      <c r="A209" s="48" t="s">
        <v>1462</v>
      </c>
      <c r="B209" s="73" t="s">
        <v>221</v>
      </c>
    </row>
    <row r="210" spans="1:2" ht="22.5" customHeight="1">
      <c r="A210" s="48" t="s">
        <v>1463</v>
      </c>
      <c r="B210" s="73" t="s">
        <v>222</v>
      </c>
    </row>
    <row r="211" spans="1:2" ht="22.5" customHeight="1">
      <c r="A211" s="48" t="s">
        <v>1464</v>
      </c>
      <c r="B211" s="73" t="s">
        <v>223</v>
      </c>
    </row>
    <row r="212" spans="1:2" ht="22.5" customHeight="1">
      <c r="A212" s="48" t="s">
        <v>1465</v>
      </c>
      <c r="B212" s="73" t="s">
        <v>224</v>
      </c>
    </row>
    <row r="213" spans="1:2" ht="22.5" customHeight="1">
      <c r="A213" s="48" t="s">
        <v>1466</v>
      </c>
      <c r="B213" s="73" t="s">
        <v>225</v>
      </c>
    </row>
    <row r="214" spans="1:2" ht="22.5" customHeight="1">
      <c r="A214" s="48" t="s">
        <v>1467</v>
      </c>
      <c r="B214" s="73" t="s">
        <v>226</v>
      </c>
    </row>
    <row r="215" spans="1:2" ht="22.5" customHeight="1">
      <c r="A215" s="48" t="s">
        <v>1468</v>
      </c>
      <c r="B215" s="73" t="s">
        <v>227</v>
      </c>
    </row>
    <row r="216" spans="1:2" ht="22.5" customHeight="1">
      <c r="A216" s="48" t="s">
        <v>1469</v>
      </c>
      <c r="B216" s="73" t="s">
        <v>228</v>
      </c>
    </row>
    <row r="217" spans="1:2" ht="22.5" customHeight="1">
      <c r="A217" s="48" t="s">
        <v>1470</v>
      </c>
      <c r="B217" s="73" t="s">
        <v>229</v>
      </c>
    </row>
    <row r="218" spans="1:2" ht="22.5" customHeight="1">
      <c r="A218" s="48" t="s">
        <v>1471</v>
      </c>
      <c r="B218" s="73" t="s">
        <v>230</v>
      </c>
    </row>
    <row r="219" spans="1:2" ht="22.5" customHeight="1">
      <c r="A219" s="48" t="s">
        <v>1472</v>
      </c>
      <c r="B219" s="73" t="s">
        <v>231</v>
      </c>
    </row>
    <row r="220" spans="1:2" ht="22.5" customHeight="1">
      <c r="A220" s="48" t="s">
        <v>1473</v>
      </c>
      <c r="B220" s="73" t="s">
        <v>208</v>
      </c>
    </row>
    <row r="221" spans="1:2" ht="22.5" customHeight="1">
      <c r="A221" s="48" t="s">
        <v>1474</v>
      </c>
      <c r="B221" s="73" t="s">
        <v>232</v>
      </c>
    </row>
    <row r="222" spans="1:2" ht="22.5" customHeight="1">
      <c r="A222" s="48" t="s">
        <v>1475</v>
      </c>
      <c r="B222" s="73" t="s">
        <v>233</v>
      </c>
    </row>
    <row r="223" spans="1:2" ht="22.5" customHeight="1">
      <c r="A223" s="48" t="s">
        <v>1476</v>
      </c>
      <c r="B223" s="73" t="s">
        <v>234</v>
      </c>
    </row>
    <row r="224" spans="1:2" ht="22.5" customHeight="1">
      <c r="A224" s="48" t="s">
        <v>1477</v>
      </c>
      <c r="B224" s="73" t="s">
        <v>235</v>
      </c>
    </row>
    <row r="225" spans="1:2" ht="22.5" customHeight="1">
      <c r="A225" s="48" t="s">
        <v>1478</v>
      </c>
      <c r="B225" s="73" t="s">
        <v>122</v>
      </c>
    </row>
    <row r="226" spans="1:2" ht="22.5" customHeight="1">
      <c r="A226" s="48" t="s">
        <v>1479</v>
      </c>
      <c r="B226" s="73" t="s">
        <v>236</v>
      </c>
    </row>
    <row r="227" spans="1:2" ht="22.5" customHeight="1">
      <c r="A227" s="48" t="s">
        <v>1480</v>
      </c>
      <c r="B227" s="73" t="s">
        <v>237</v>
      </c>
    </row>
    <row r="228" spans="1:2" ht="22.5" customHeight="1">
      <c r="A228" s="48" t="s">
        <v>1481</v>
      </c>
      <c r="B228" s="73" t="s">
        <v>238</v>
      </c>
    </row>
    <row r="229" spans="1:2" ht="22.5" customHeight="1">
      <c r="A229" s="48" t="s">
        <v>1482</v>
      </c>
      <c r="B229" s="73" t="s">
        <v>239</v>
      </c>
    </row>
    <row r="230" spans="1:2" ht="22.5" customHeight="1">
      <c r="A230" s="48" t="s">
        <v>1483</v>
      </c>
      <c r="B230" s="73" t="s">
        <v>240</v>
      </c>
    </row>
    <row r="231" spans="1:2" ht="22.5" customHeight="1">
      <c r="A231" s="48" t="s">
        <v>1484</v>
      </c>
      <c r="B231" s="73" t="s">
        <v>241</v>
      </c>
    </row>
    <row r="232" spans="1:2" ht="22.5" customHeight="1">
      <c r="A232" s="48" t="s">
        <v>1485</v>
      </c>
      <c r="B232" s="73" t="s">
        <v>242</v>
      </c>
    </row>
    <row r="233" spans="1:2" ht="22.5" customHeight="1">
      <c r="A233" s="48" t="s">
        <v>1486</v>
      </c>
      <c r="B233" s="73" t="s">
        <v>243</v>
      </c>
    </row>
    <row r="234" spans="1:2" ht="22.5" customHeight="1">
      <c r="A234" s="48" t="s">
        <v>1487</v>
      </c>
      <c r="B234" s="73" t="s">
        <v>244</v>
      </c>
    </row>
    <row r="235" spans="1:2" ht="22.5" customHeight="1">
      <c r="A235" s="48" t="s">
        <v>1488</v>
      </c>
      <c r="B235" s="73" t="s">
        <v>245</v>
      </c>
    </row>
    <row r="236" spans="1:2" ht="22.5" customHeight="1">
      <c r="A236" s="48" t="s">
        <v>1489</v>
      </c>
      <c r="B236" s="73" t="s">
        <v>246</v>
      </c>
    </row>
    <row r="237" spans="1:2" ht="22.5" customHeight="1">
      <c r="A237" s="48" t="s">
        <v>1490</v>
      </c>
      <c r="B237" s="73" t="s">
        <v>118</v>
      </c>
    </row>
    <row r="238" spans="1:2" ht="22.5" customHeight="1">
      <c r="A238" s="48" t="s">
        <v>1491</v>
      </c>
      <c r="B238" s="73" t="s">
        <v>110</v>
      </c>
    </row>
    <row r="239" spans="1:2" ht="22.5" customHeight="1">
      <c r="A239" s="48" t="s">
        <v>1492</v>
      </c>
      <c r="B239" s="73" t="s">
        <v>247</v>
      </c>
    </row>
    <row r="240" spans="1:2" ht="22.5" customHeight="1">
      <c r="A240" s="48" t="s">
        <v>1493</v>
      </c>
      <c r="B240" s="73" t="s">
        <v>248</v>
      </c>
    </row>
    <row r="241" spans="1:2" ht="22.5" customHeight="1">
      <c r="A241" s="48" t="s">
        <v>1494</v>
      </c>
      <c r="B241" s="73" t="s">
        <v>249</v>
      </c>
    </row>
    <row r="242" spans="1:2" ht="22.5" customHeight="1">
      <c r="A242" s="48" t="s">
        <v>1495</v>
      </c>
      <c r="B242" s="73" t="s">
        <v>250</v>
      </c>
    </row>
    <row r="243" spans="1:2" ht="22.5" customHeight="1">
      <c r="A243" s="48" t="s">
        <v>1496</v>
      </c>
      <c r="B243" s="73" t="s">
        <v>251</v>
      </c>
    </row>
    <row r="244" spans="1:2" ht="22.5" customHeight="1">
      <c r="A244" s="48" t="s">
        <v>1497</v>
      </c>
      <c r="B244" s="73" t="s">
        <v>252</v>
      </c>
    </row>
    <row r="245" spans="1:2" ht="22.5" customHeight="1">
      <c r="A245" s="48" t="s">
        <v>1498</v>
      </c>
      <c r="B245" s="73" t="s">
        <v>253</v>
      </c>
    </row>
    <row r="246" spans="1:2" ht="22.5" customHeight="1">
      <c r="A246" s="48" t="s">
        <v>1499</v>
      </c>
      <c r="B246" s="73" t="s">
        <v>254</v>
      </c>
    </row>
    <row r="247" spans="1:2" ht="22.5" customHeight="1">
      <c r="A247" s="48" t="s">
        <v>1500</v>
      </c>
      <c r="B247" s="73" t="s">
        <v>255</v>
      </c>
    </row>
    <row r="248" spans="1:2" ht="22.5" customHeight="1">
      <c r="A248" s="48" t="s">
        <v>1501</v>
      </c>
      <c r="B248" s="73" t="s">
        <v>256</v>
      </c>
    </row>
    <row r="249" spans="1:2" ht="22.5" customHeight="1">
      <c r="A249" s="48" t="s">
        <v>1502</v>
      </c>
      <c r="B249" s="73" t="s">
        <v>257</v>
      </c>
    </row>
    <row r="250" spans="1:2" ht="22.5" customHeight="1">
      <c r="A250" s="48" t="s">
        <v>1503</v>
      </c>
      <c r="B250" s="73" t="s">
        <v>258</v>
      </c>
    </row>
    <row r="251" spans="1:2" ht="22.5" customHeight="1">
      <c r="A251" s="48" t="s">
        <v>1504</v>
      </c>
      <c r="B251" s="73" t="s">
        <v>259</v>
      </c>
    </row>
    <row r="252" spans="1:2" ht="22.5" customHeight="1">
      <c r="A252" s="48" t="s">
        <v>1505</v>
      </c>
      <c r="B252" s="73" t="s">
        <v>260</v>
      </c>
    </row>
    <row r="253" spans="1:2" ht="22.5" customHeight="1">
      <c r="A253" s="48" t="s">
        <v>1506</v>
      </c>
      <c r="B253" s="73" t="s">
        <v>261</v>
      </c>
    </row>
    <row r="254" spans="1:2" ht="22.5" customHeight="1">
      <c r="A254" s="48" t="s">
        <v>1507</v>
      </c>
      <c r="B254" s="73" t="s">
        <v>262</v>
      </c>
    </row>
    <row r="255" spans="1:2" ht="22.5" customHeight="1">
      <c r="A255" s="48" t="s">
        <v>1508</v>
      </c>
      <c r="B255" s="73" t="s">
        <v>263</v>
      </c>
    </row>
    <row r="256" spans="1:2" ht="22.5" customHeight="1">
      <c r="A256" s="48" t="s">
        <v>1509</v>
      </c>
      <c r="B256" s="73" t="s">
        <v>264</v>
      </c>
    </row>
    <row r="257" spans="1:2" ht="22.5" customHeight="1">
      <c r="A257" s="48" t="s">
        <v>1510</v>
      </c>
      <c r="B257" s="73" t="s">
        <v>265</v>
      </c>
    </row>
    <row r="258" spans="1:2" ht="22.5" customHeight="1">
      <c r="A258" s="48" t="s">
        <v>1511</v>
      </c>
      <c r="B258" s="73" t="s">
        <v>266</v>
      </c>
    </row>
    <row r="259" spans="1:2" ht="22.5" customHeight="1">
      <c r="A259" s="48" t="s">
        <v>1512</v>
      </c>
      <c r="B259" s="73" t="s">
        <v>267</v>
      </c>
    </row>
    <row r="260" spans="1:2" ht="22.5" customHeight="1">
      <c r="A260" s="48" t="s">
        <v>1513</v>
      </c>
      <c r="B260" s="75" t="s">
        <v>268</v>
      </c>
    </row>
    <row r="261" spans="1:2" ht="22.5" customHeight="1">
      <c r="A261" s="48" t="s">
        <v>1514</v>
      </c>
      <c r="B261" s="73" t="s">
        <v>269</v>
      </c>
    </row>
    <row r="262" spans="1:2" ht="22.5" customHeight="1">
      <c r="A262" s="48" t="s">
        <v>1515</v>
      </c>
      <c r="B262" s="73" t="s">
        <v>270</v>
      </c>
    </row>
    <row r="263" spans="1:2" ht="22.5" customHeight="1">
      <c r="A263" s="48" t="s">
        <v>1516</v>
      </c>
      <c r="B263" s="73" t="s">
        <v>271</v>
      </c>
    </row>
    <row r="264" spans="1:2" ht="22.5" customHeight="1">
      <c r="A264" s="48" t="s">
        <v>1517</v>
      </c>
      <c r="B264" s="73" t="s">
        <v>272</v>
      </c>
    </row>
    <row r="265" spans="1:2" ht="22.5" customHeight="1">
      <c r="A265" s="48" t="s">
        <v>1518</v>
      </c>
      <c r="B265" s="73" t="s">
        <v>273</v>
      </c>
    </row>
    <row r="266" spans="1:2" ht="22.5" customHeight="1">
      <c r="A266" s="48" t="s">
        <v>1519</v>
      </c>
      <c r="B266" s="73" t="s">
        <v>274</v>
      </c>
    </row>
    <row r="267" spans="1:2" ht="22.5" customHeight="1">
      <c r="A267" s="48" t="s">
        <v>1520</v>
      </c>
      <c r="B267" s="73" t="s">
        <v>275</v>
      </c>
    </row>
    <row r="268" spans="1:2" ht="22.5" customHeight="1">
      <c r="A268" s="48" t="s">
        <v>1521</v>
      </c>
      <c r="B268" s="75" t="s">
        <v>276</v>
      </c>
    </row>
    <row r="269" spans="1:2" ht="22.5" customHeight="1">
      <c r="A269" s="48" t="s">
        <v>1522</v>
      </c>
      <c r="B269" s="73" t="s">
        <v>277</v>
      </c>
    </row>
    <row r="270" spans="1:2" ht="22.5" customHeight="1">
      <c r="A270" s="48" t="s">
        <v>1523</v>
      </c>
      <c r="B270" s="73" t="s">
        <v>278</v>
      </c>
    </row>
    <row r="271" spans="1:2" ht="22.5" customHeight="1">
      <c r="A271" s="48" t="s">
        <v>1524</v>
      </c>
      <c r="B271" s="73" t="s">
        <v>279</v>
      </c>
    </row>
    <row r="272" spans="1:2" ht="22.5" customHeight="1">
      <c r="A272" s="48" t="s">
        <v>1525</v>
      </c>
      <c r="B272" s="73" t="s">
        <v>158</v>
      </c>
    </row>
    <row r="273" spans="1:2" ht="22.5" customHeight="1">
      <c r="A273" s="48" t="s">
        <v>1526</v>
      </c>
      <c r="B273" s="73" t="s">
        <v>280</v>
      </c>
    </row>
    <row r="274" spans="1:2" ht="22.5" customHeight="1">
      <c r="A274" s="48" t="s">
        <v>1527</v>
      </c>
      <c r="B274" s="73" t="s">
        <v>281</v>
      </c>
    </row>
    <row r="275" spans="1:2" ht="22.5" customHeight="1">
      <c r="A275" s="48" t="s">
        <v>1528</v>
      </c>
      <c r="B275" s="73" t="s">
        <v>282</v>
      </c>
    </row>
    <row r="276" spans="1:2" ht="22.5" customHeight="1">
      <c r="A276" s="48" t="s">
        <v>1529</v>
      </c>
      <c r="B276" s="73" t="s">
        <v>283</v>
      </c>
    </row>
    <row r="277" spans="1:2" ht="22.5" customHeight="1">
      <c r="A277" s="48" t="s">
        <v>1530</v>
      </c>
      <c r="B277" s="73" t="s">
        <v>284</v>
      </c>
    </row>
    <row r="278" spans="1:2" ht="22.5" customHeight="1">
      <c r="A278" s="48" t="s">
        <v>1531</v>
      </c>
      <c r="B278" s="73" t="s">
        <v>285</v>
      </c>
    </row>
    <row r="279" spans="1:2" ht="22.5" customHeight="1">
      <c r="A279" s="48" t="s">
        <v>1532</v>
      </c>
      <c r="B279" s="73" t="s">
        <v>286</v>
      </c>
    </row>
    <row r="280" spans="1:2" ht="22.5" customHeight="1">
      <c r="A280" s="48" t="s">
        <v>1533</v>
      </c>
      <c r="B280" s="73" t="s">
        <v>287</v>
      </c>
    </row>
    <row r="281" spans="1:2" ht="22.5" customHeight="1">
      <c r="A281" s="48" t="s">
        <v>1534</v>
      </c>
      <c r="B281" s="73" t="s">
        <v>288</v>
      </c>
    </row>
    <row r="282" spans="1:2" ht="22.5" customHeight="1">
      <c r="A282" s="48" t="s">
        <v>1535</v>
      </c>
      <c r="B282" s="73" t="s">
        <v>289</v>
      </c>
    </row>
    <row r="283" spans="1:2" ht="22.5" customHeight="1">
      <c r="A283" s="48" t="s">
        <v>1536</v>
      </c>
      <c r="B283" s="73" t="s">
        <v>290</v>
      </c>
    </row>
    <row r="284" spans="1:2" ht="22.5" customHeight="1">
      <c r="A284" s="48" t="s">
        <v>1537</v>
      </c>
      <c r="B284" s="73" t="s">
        <v>291</v>
      </c>
    </row>
    <row r="285" spans="1:2" ht="22.5" customHeight="1">
      <c r="A285" s="48" t="s">
        <v>1538</v>
      </c>
      <c r="B285" s="73" t="s">
        <v>292</v>
      </c>
    </row>
    <row r="286" spans="1:2" ht="22.5" customHeight="1">
      <c r="A286" s="48" t="s">
        <v>1539</v>
      </c>
      <c r="B286" s="73" t="s">
        <v>293</v>
      </c>
    </row>
    <row r="287" spans="1:2" ht="22.5" customHeight="1">
      <c r="A287" s="48" t="s">
        <v>1540</v>
      </c>
      <c r="B287" s="73" t="s">
        <v>294</v>
      </c>
    </row>
    <row r="288" spans="1:2" ht="22.5" customHeight="1">
      <c r="A288" s="48" t="s">
        <v>1541</v>
      </c>
      <c r="B288" s="73" t="s">
        <v>295</v>
      </c>
    </row>
    <row r="289" spans="1:2" ht="22.5" customHeight="1">
      <c r="A289" s="48" t="s">
        <v>1542</v>
      </c>
      <c r="B289" s="73" t="s">
        <v>296</v>
      </c>
    </row>
    <row r="290" spans="1:2" ht="22.5" customHeight="1">
      <c r="A290" s="48" t="s">
        <v>1543</v>
      </c>
      <c r="B290" s="73" t="s">
        <v>297</v>
      </c>
    </row>
    <row r="291" spans="1:2" ht="22.5" customHeight="1">
      <c r="A291" s="48" t="s">
        <v>1544</v>
      </c>
      <c r="B291" s="73" t="s">
        <v>298</v>
      </c>
    </row>
    <row r="292" spans="1:2" ht="22.5" customHeight="1">
      <c r="A292" s="48" t="s">
        <v>1545</v>
      </c>
      <c r="B292" s="73" t="s">
        <v>299</v>
      </c>
    </row>
    <row r="293" spans="1:2" ht="22.5" customHeight="1">
      <c r="A293" s="48" t="s">
        <v>1546</v>
      </c>
      <c r="B293" s="73" t="s">
        <v>300</v>
      </c>
    </row>
    <row r="294" spans="1:2" ht="22.5" customHeight="1">
      <c r="A294" s="48" t="s">
        <v>1547</v>
      </c>
      <c r="B294" s="73" t="s">
        <v>301</v>
      </c>
    </row>
    <row r="295" spans="1:2" ht="22.5" customHeight="1">
      <c r="A295" s="48" t="s">
        <v>1548</v>
      </c>
      <c r="B295" s="73" t="s">
        <v>302</v>
      </c>
    </row>
    <row r="296" spans="1:2" ht="22.5" customHeight="1">
      <c r="A296" s="48" t="s">
        <v>1549</v>
      </c>
      <c r="B296" s="73" t="s">
        <v>303</v>
      </c>
    </row>
    <row r="297" spans="1:2" ht="22.5" customHeight="1">
      <c r="A297" s="48" t="s">
        <v>1550</v>
      </c>
      <c r="B297" s="73" t="s">
        <v>304</v>
      </c>
    </row>
    <row r="298" spans="1:2" ht="22.5" customHeight="1">
      <c r="A298" s="48" t="s">
        <v>1551</v>
      </c>
      <c r="B298" s="73" t="s">
        <v>305</v>
      </c>
    </row>
    <row r="299" spans="1:2" ht="22.5" customHeight="1">
      <c r="A299" s="48" t="s">
        <v>1552</v>
      </c>
      <c r="B299" s="73" t="s">
        <v>306</v>
      </c>
    </row>
    <row r="300" spans="1:2" ht="22.5" customHeight="1">
      <c r="A300" s="48" t="s">
        <v>1553</v>
      </c>
      <c r="B300" s="73" t="s">
        <v>307</v>
      </c>
    </row>
    <row r="301" spans="1:2" ht="22.5" customHeight="1">
      <c r="A301" s="48" t="s">
        <v>1554</v>
      </c>
      <c r="B301" s="73" t="s">
        <v>308</v>
      </c>
    </row>
    <row r="302" spans="1:2" ht="22.5" customHeight="1">
      <c r="A302" s="48" t="s">
        <v>1555</v>
      </c>
      <c r="B302" s="73" t="s">
        <v>309</v>
      </c>
    </row>
    <row r="303" spans="1:2" ht="22.5" customHeight="1">
      <c r="A303" s="48" t="s">
        <v>1556</v>
      </c>
      <c r="B303" s="73" t="s">
        <v>310</v>
      </c>
    </row>
    <row r="304" spans="1:2" ht="22.5" customHeight="1">
      <c r="A304" s="48" t="s">
        <v>1557</v>
      </c>
      <c r="B304" s="73" t="s">
        <v>311</v>
      </c>
    </row>
    <row r="305" spans="1:2" ht="22.5" customHeight="1">
      <c r="A305" s="48" t="s">
        <v>1558</v>
      </c>
      <c r="B305" s="73" t="s">
        <v>312</v>
      </c>
    </row>
    <row r="306" spans="1:2" ht="22.5" customHeight="1">
      <c r="A306" s="48" t="s">
        <v>1559</v>
      </c>
      <c r="B306" s="73" t="s">
        <v>313</v>
      </c>
    </row>
    <row r="307" spans="1:2" ht="22.5" customHeight="1">
      <c r="A307" s="48" t="s">
        <v>1560</v>
      </c>
      <c r="B307" s="73" t="s">
        <v>314</v>
      </c>
    </row>
    <row r="308" spans="1:2" ht="22.5" customHeight="1">
      <c r="A308" s="48" t="s">
        <v>1561</v>
      </c>
      <c r="B308" s="73" t="s">
        <v>315</v>
      </c>
    </row>
    <row r="309" spans="1:2" ht="22.5" customHeight="1">
      <c r="A309" s="48" t="s">
        <v>1562</v>
      </c>
      <c r="B309" s="73" t="s">
        <v>316</v>
      </c>
    </row>
    <row r="310" spans="1:2" ht="22.5" customHeight="1">
      <c r="A310" s="48" t="s">
        <v>1563</v>
      </c>
      <c r="B310" s="73" t="s">
        <v>317</v>
      </c>
    </row>
    <row r="311" spans="1:2" ht="22.5" customHeight="1">
      <c r="A311" s="48" t="s">
        <v>1564</v>
      </c>
      <c r="B311" s="73" t="s">
        <v>318</v>
      </c>
    </row>
    <row r="312" spans="1:2" ht="22.5" customHeight="1">
      <c r="A312" s="48" t="s">
        <v>1565</v>
      </c>
      <c r="B312" s="73" t="s">
        <v>319</v>
      </c>
    </row>
    <row r="313" spans="1:2" ht="22.5" customHeight="1">
      <c r="A313" s="48" t="s">
        <v>1566</v>
      </c>
      <c r="B313" s="73" t="s">
        <v>320</v>
      </c>
    </row>
    <row r="314" spans="1:2" ht="22.5" customHeight="1">
      <c r="A314" s="48" t="s">
        <v>1567</v>
      </c>
      <c r="B314" s="46" t="s">
        <v>321</v>
      </c>
    </row>
    <row r="315" spans="1:2" ht="22.5" customHeight="1">
      <c r="A315" s="48" t="s">
        <v>1568</v>
      </c>
      <c r="B315" s="73" t="s">
        <v>322</v>
      </c>
    </row>
    <row r="316" spans="1:2" ht="22.5" customHeight="1">
      <c r="A316" s="48" t="s">
        <v>1569</v>
      </c>
      <c r="B316" s="73" t="s">
        <v>323</v>
      </c>
    </row>
    <row r="317" spans="1:2" ht="22.5" customHeight="1">
      <c r="A317" s="48" t="s">
        <v>1570</v>
      </c>
      <c r="B317" s="73" t="s">
        <v>324</v>
      </c>
    </row>
    <row r="318" spans="1:2" ht="22.5" customHeight="1">
      <c r="A318" s="48" t="s">
        <v>1571</v>
      </c>
      <c r="B318" s="73" t="s">
        <v>325</v>
      </c>
    </row>
    <row r="319" spans="1:2" ht="22.5" customHeight="1">
      <c r="A319" s="48" t="s">
        <v>1572</v>
      </c>
      <c r="B319" s="73" t="s">
        <v>326</v>
      </c>
    </row>
    <row r="320" spans="1:2" ht="22.5" customHeight="1">
      <c r="A320" s="48" t="s">
        <v>1573</v>
      </c>
      <c r="B320" s="73" t="s">
        <v>327</v>
      </c>
    </row>
    <row r="321" spans="1:2" ht="22.5" customHeight="1">
      <c r="A321" s="48" t="s">
        <v>1574</v>
      </c>
      <c r="B321" s="73" t="s">
        <v>328</v>
      </c>
    </row>
    <row r="322" spans="1:2" ht="22.5" customHeight="1">
      <c r="A322" s="48" t="s">
        <v>1575</v>
      </c>
      <c r="B322" s="73" t="s">
        <v>329</v>
      </c>
    </row>
    <row r="323" spans="1:2" ht="22.5" customHeight="1">
      <c r="A323" s="48" t="s">
        <v>1576</v>
      </c>
      <c r="B323" s="73" t="s">
        <v>330</v>
      </c>
    </row>
    <row r="324" spans="1:2" ht="22.5" customHeight="1">
      <c r="A324" s="48" t="s">
        <v>1577</v>
      </c>
      <c r="B324" s="73" t="s">
        <v>331</v>
      </c>
    </row>
    <row r="325" spans="1:2" ht="22.5" customHeight="1">
      <c r="A325" s="48" t="s">
        <v>1578</v>
      </c>
      <c r="B325" s="73" t="s">
        <v>332</v>
      </c>
    </row>
    <row r="326" spans="1:2" ht="22.5" customHeight="1">
      <c r="A326" s="48" t="s">
        <v>1579</v>
      </c>
      <c r="B326" s="73" t="s">
        <v>333</v>
      </c>
    </row>
    <row r="327" spans="1:2" ht="22.5" customHeight="1">
      <c r="A327" s="48" t="s">
        <v>1580</v>
      </c>
      <c r="B327" s="73" t="s">
        <v>334</v>
      </c>
    </row>
    <row r="328" spans="1:2" ht="22.5" customHeight="1">
      <c r="A328" s="48" t="s">
        <v>1581</v>
      </c>
      <c r="B328" s="73" t="s">
        <v>335</v>
      </c>
    </row>
    <row r="329" spans="1:2" ht="22.5" customHeight="1">
      <c r="A329" s="48" t="s">
        <v>1582</v>
      </c>
      <c r="B329" s="73" t="s">
        <v>336</v>
      </c>
    </row>
    <row r="330" spans="1:2" ht="22.5" customHeight="1">
      <c r="A330" s="48" t="s">
        <v>1583</v>
      </c>
      <c r="B330" s="73" t="s">
        <v>337</v>
      </c>
    </row>
    <row r="331" spans="1:2" ht="22.5" customHeight="1">
      <c r="A331" s="48" t="s">
        <v>1584</v>
      </c>
      <c r="B331" s="73" t="s">
        <v>338</v>
      </c>
    </row>
    <row r="332" spans="1:2" ht="22.5" customHeight="1">
      <c r="A332" s="48" t="s">
        <v>1585</v>
      </c>
      <c r="B332" s="73" t="s">
        <v>339</v>
      </c>
    </row>
    <row r="333" spans="1:2" ht="22.5" customHeight="1">
      <c r="A333" s="48" t="s">
        <v>1586</v>
      </c>
      <c r="B333" s="73" t="s">
        <v>340</v>
      </c>
    </row>
    <row r="334" spans="1:2" ht="22.5" customHeight="1">
      <c r="A334" s="48" t="s">
        <v>1587</v>
      </c>
      <c r="B334" s="73" t="s">
        <v>341</v>
      </c>
    </row>
    <row r="335" spans="1:2" ht="22.5" customHeight="1">
      <c r="A335" s="48" t="s">
        <v>1588</v>
      </c>
      <c r="B335" s="73" t="s">
        <v>342</v>
      </c>
    </row>
    <row r="336" spans="1:2" ht="22.5" customHeight="1">
      <c r="A336" s="48" t="s">
        <v>1589</v>
      </c>
      <c r="B336" s="73" t="s">
        <v>343</v>
      </c>
    </row>
    <row r="337" spans="1:2" ht="22.5" customHeight="1">
      <c r="A337" s="48" t="s">
        <v>1590</v>
      </c>
      <c r="B337" s="73" t="s">
        <v>344</v>
      </c>
    </row>
    <row r="338" spans="1:2" ht="22.5" customHeight="1">
      <c r="A338" s="48" t="s">
        <v>1591</v>
      </c>
      <c r="B338" s="73" t="s">
        <v>345</v>
      </c>
    </row>
    <row r="339" spans="1:2" ht="22.5" customHeight="1">
      <c r="A339" s="48" t="s">
        <v>1592</v>
      </c>
      <c r="B339" s="73" t="s">
        <v>346</v>
      </c>
    </row>
    <row r="340" spans="1:2" ht="22.5" customHeight="1">
      <c r="A340" s="48" t="s">
        <v>1593</v>
      </c>
      <c r="B340" s="73" t="s">
        <v>347</v>
      </c>
    </row>
    <row r="341" spans="1:2" ht="22.5" customHeight="1">
      <c r="A341" s="48" t="s">
        <v>1594</v>
      </c>
      <c r="B341" s="73" t="s">
        <v>348</v>
      </c>
    </row>
    <row r="342" spans="1:2" ht="22.5" customHeight="1">
      <c r="A342" s="48" t="s">
        <v>1595</v>
      </c>
      <c r="B342" s="73" t="s">
        <v>349</v>
      </c>
    </row>
    <row r="343" spans="1:2" ht="22.5" customHeight="1">
      <c r="A343" s="48" t="s">
        <v>1596</v>
      </c>
      <c r="B343" s="73" t="s">
        <v>350</v>
      </c>
    </row>
    <row r="344" spans="1:2" ht="22.5" customHeight="1">
      <c r="A344" s="48" t="s">
        <v>1597</v>
      </c>
      <c r="B344" s="73" t="s">
        <v>351</v>
      </c>
    </row>
    <row r="345" spans="1:2" ht="22.5" customHeight="1">
      <c r="A345" s="48" t="s">
        <v>1598</v>
      </c>
      <c r="B345" s="73" t="s">
        <v>352</v>
      </c>
    </row>
    <row r="346" spans="1:2" ht="22.5" customHeight="1">
      <c r="A346" s="48" t="s">
        <v>1599</v>
      </c>
      <c r="B346" s="73" t="s">
        <v>353</v>
      </c>
    </row>
    <row r="347" spans="1:2" ht="22.5" customHeight="1">
      <c r="A347" s="48" t="s">
        <v>1600</v>
      </c>
      <c r="B347" s="73" t="s">
        <v>354</v>
      </c>
    </row>
    <row r="348" spans="1:2" ht="22.5" customHeight="1">
      <c r="A348" s="48" t="s">
        <v>1601</v>
      </c>
      <c r="B348" s="73" t="s">
        <v>355</v>
      </c>
    </row>
    <row r="349" spans="1:2" ht="22.5" customHeight="1">
      <c r="A349" s="48" t="s">
        <v>1602</v>
      </c>
      <c r="B349" s="73" t="s">
        <v>356</v>
      </c>
    </row>
    <row r="350" spans="1:2" ht="22.5" customHeight="1">
      <c r="A350" s="48" t="s">
        <v>1603</v>
      </c>
      <c r="B350" s="73" t="s">
        <v>357</v>
      </c>
    </row>
    <row r="351" spans="1:2" ht="22.5" customHeight="1">
      <c r="A351" s="48" t="s">
        <v>1604</v>
      </c>
      <c r="B351" s="73" t="s">
        <v>358</v>
      </c>
    </row>
    <row r="352" spans="1:2" ht="22.5" customHeight="1">
      <c r="A352" s="48" t="s">
        <v>1605</v>
      </c>
      <c r="B352" s="73" t="s">
        <v>359</v>
      </c>
    </row>
    <row r="353" spans="1:2" ht="22.5" customHeight="1">
      <c r="A353" s="48" t="s">
        <v>1606</v>
      </c>
      <c r="B353" s="73" t="s">
        <v>360</v>
      </c>
    </row>
    <row r="354" spans="1:2" ht="22.5" customHeight="1">
      <c r="A354" s="48" t="s">
        <v>1607</v>
      </c>
      <c r="B354" s="73" t="s">
        <v>361</v>
      </c>
    </row>
    <row r="355" spans="1:2" ht="22.5" customHeight="1">
      <c r="A355" s="48" t="s">
        <v>1608</v>
      </c>
      <c r="B355" s="73" t="s">
        <v>362</v>
      </c>
    </row>
    <row r="356" spans="1:2" ht="22.5" customHeight="1">
      <c r="A356" s="48" t="s">
        <v>1609</v>
      </c>
      <c r="B356" s="73" t="s">
        <v>363</v>
      </c>
    </row>
    <row r="357" spans="1:2" ht="22.5" customHeight="1">
      <c r="A357" s="48" t="s">
        <v>1610</v>
      </c>
      <c r="B357" s="73" t="s">
        <v>364</v>
      </c>
    </row>
    <row r="358" spans="1:2" ht="22.5" customHeight="1">
      <c r="A358" s="48" t="s">
        <v>1611</v>
      </c>
      <c r="B358" s="73" t="s">
        <v>365</v>
      </c>
    </row>
    <row r="359" spans="1:2" ht="22.5" customHeight="1">
      <c r="A359" s="48" t="s">
        <v>1612</v>
      </c>
      <c r="B359" s="73" t="s">
        <v>366</v>
      </c>
    </row>
    <row r="360" spans="1:2" ht="22.5" customHeight="1">
      <c r="A360" s="48" t="s">
        <v>1613</v>
      </c>
      <c r="B360" s="73" t="s">
        <v>367</v>
      </c>
    </row>
    <row r="361" spans="1:2" ht="22.5" customHeight="1">
      <c r="A361" s="48" t="s">
        <v>1614</v>
      </c>
      <c r="B361" s="73" t="s">
        <v>368</v>
      </c>
    </row>
    <row r="362" spans="1:2" ht="22.5" customHeight="1">
      <c r="A362" s="48" t="s">
        <v>1615</v>
      </c>
      <c r="B362" s="73" t="s">
        <v>369</v>
      </c>
    </row>
    <row r="363" spans="1:2" ht="22.5" customHeight="1">
      <c r="A363" s="48" t="s">
        <v>1616</v>
      </c>
      <c r="B363" s="73" t="s">
        <v>370</v>
      </c>
    </row>
    <row r="364" spans="1:2" ht="22.5" customHeight="1">
      <c r="A364" s="48" t="s">
        <v>1617</v>
      </c>
      <c r="B364" s="73" t="s">
        <v>371</v>
      </c>
    </row>
    <row r="365" spans="1:2" ht="22.5" customHeight="1">
      <c r="A365" s="48" t="s">
        <v>1618</v>
      </c>
      <c r="B365" s="73" t="s">
        <v>372</v>
      </c>
    </row>
    <row r="366" spans="1:2" ht="22.5" customHeight="1">
      <c r="A366" s="48" t="s">
        <v>1619</v>
      </c>
      <c r="B366" s="73" t="s">
        <v>373</v>
      </c>
    </row>
    <row r="367" spans="1:2" ht="22.5" customHeight="1">
      <c r="A367" s="48" t="s">
        <v>1620</v>
      </c>
      <c r="B367" s="73" t="s">
        <v>374</v>
      </c>
    </row>
    <row r="368" spans="1:2" ht="22.5" customHeight="1">
      <c r="A368" s="48" t="s">
        <v>1621</v>
      </c>
      <c r="B368" s="73" t="s">
        <v>375</v>
      </c>
    </row>
    <row r="369" spans="1:2" ht="22.5" customHeight="1">
      <c r="A369" s="48" t="s">
        <v>1622</v>
      </c>
      <c r="B369" s="73" t="s">
        <v>376</v>
      </c>
    </row>
    <row r="370" spans="1:2" ht="22.5" customHeight="1">
      <c r="A370" s="48" t="s">
        <v>1623</v>
      </c>
      <c r="B370" s="73" t="s">
        <v>377</v>
      </c>
    </row>
    <row r="371" spans="1:2" ht="22.5" customHeight="1">
      <c r="A371" s="48" t="s">
        <v>1624</v>
      </c>
      <c r="B371" s="73" t="s">
        <v>378</v>
      </c>
    </row>
    <row r="372" spans="1:2" ht="22.5" customHeight="1">
      <c r="A372" s="48" t="s">
        <v>1625</v>
      </c>
      <c r="B372" s="73" t="s">
        <v>379</v>
      </c>
    </row>
    <row r="373" spans="1:2" ht="22.5" customHeight="1">
      <c r="A373" s="48" t="s">
        <v>1626</v>
      </c>
      <c r="B373" s="73" t="s">
        <v>380</v>
      </c>
    </row>
    <row r="374" spans="1:2" ht="22.5" customHeight="1">
      <c r="A374" s="48" t="s">
        <v>1627</v>
      </c>
      <c r="B374" s="73" t="s">
        <v>381</v>
      </c>
    </row>
    <row r="375" spans="1:2" ht="22.5" customHeight="1">
      <c r="A375" s="48" t="s">
        <v>1628</v>
      </c>
      <c r="B375" s="73" t="s">
        <v>382</v>
      </c>
    </row>
    <row r="376" spans="1:2" ht="22.5" customHeight="1">
      <c r="A376" s="48" t="s">
        <v>1629</v>
      </c>
      <c r="B376" s="73" t="s">
        <v>383</v>
      </c>
    </row>
    <row r="377" spans="1:2" ht="22.5" customHeight="1">
      <c r="A377" s="48" t="s">
        <v>1630</v>
      </c>
      <c r="B377" s="73" t="s">
        <v>384</v>
      </c>
    </row>
    <row r="378" spans="1:2" ht="22.5" customHeight="1">
      <c r="A378" s="48" t="s">
        <v>1631</v>
      </c>
      <c r="B378" s="73" t="s">
        <v>385</v>
      </c>
    </row>
    <row r="379" spans="1:2" ht="22.5" customHeight="1">
      <c r="A379" s="48" t="s">
        <v>1632</v>
      </c>
      <c r="B379" s="73" t="s">
        <v>386</v>
      </c>
    </row>
    <row r="380" spans="1:2" ht="22.5" customHeight="1">
      <c r="A380" s="48" t="s">
        <v>1633</v>
      </c>
      <c r="B380" s="73" t="s">
        <v>387</v>
      </c>
    </row>
    <row r="381" spans="1:2" ht="22.5" customHeight="1">
      <c r="A381" s="48" t="s">
        <v>1634</v>
      </c>
      <c r="B381" s="73" t="s">
        <v>388</v>
      </c>
    </row>
    <row r="382" spans="1:2" ht="22.5" customHeight="1">
      <c r="A382" s="48" t="s">
        <v>1635</v>
      </c>
      <c r="B382" s="73" t="s">
        <v>389</v>
      </c>
    </row>
    <row r="383" spans="1:2" ht="22.5" customHeight="1">
      <c r="A383" s="48" t="s">
        <v>1636</v>
      </c>
      <c r="B383" s="73" t="s">
        <v>390</v>
      </c>
    </row>
    <row r="384" spans="1:2" ht="22.5" customHeight="1">
      <c r="A384" s="48" t="s">
        <v>1637</v>
      </c>
      <c r="B384" s="73" t="s">
        <v>391</v>
      </c>
    </row>
    <row r="385" spans="1:2" ht="22.5" customHeight="1">
      <c r="A385" s="48" t="s">
        <v>1638</v>
      </c>
      <c r="B385" s="73" t="s">
        <v>392</v>
      </c>
    </row>
    <row r="386" spans="1:2" ht="22.5" customHeight="1">
      <c r="A386" s="48" t="s">
        <v>1639</v>
      </c>
      <c r="B386" s="73" t="s">
        <v>393</v>
      </c>
    </row>
    <row r="387" spans="1:2" ht="22.5" customHeight="1">
      <c r="A387" s="48" t="s">
        <v>1640</v>
      </c>
      <c r="B387" s="73" t="s">
        <v>394</v>
      </c>
    </row>
    <row r="388" spans="1:2" ht="22.5" customHeight="1">
      <c r="A388" s="48" t="s">
        <v>1641</v>
      </c>
      <c r="B388" s="73" t="s">
        <v>395</v>
      </c>
    </row>
    <row r="389" spans="1:2" ht="22.5" customHeight="1">
      <c r="A389" s="48" t="s">
        <v>1642</v>
      </c>
      <c r="B389" s="73" t="s">
        <v>396</v>
      </c>
    </row>
    <row r="390" spans="1:2" ht="22.5" customHeight="1">
      <c r="A390" s="48" t="s">
        <v>1643</v>
      </c>
      <c r="B390" s="73" t="s">
        <v>304</v>
      </c>
    </row>
    <row r="391" spans="1:2" ht="22.5" customHeight="1">
      <c r="A391" s="48" t="s">
        <v>1644</v>
      </c>
      <c r="B391" s="73" t="s">
        <v>397</v>
      </c>
    </row>
    <row r="392" spans="1:2" ht="22.5" customHeight="1">
      <c r="A392" s="48" t="s">
        <v>1645</v>
      </c>
      <c r="B392" s="73" t="s">
        <v>398</v>
      </c>
    </row>
    <row r="393" spans="1:2" ht="22.5" customHeight="1">
      <c r="A393" s="48" t="s">
        <v>1646</v>
      </c>
      <c r="B393" s="73" t="s">
        <v>399</v>
      </c>
    </row>
    <row r="394" spans="1:2" ht="22.5" customHeight="1">
      <c r="A394" s="48" t="s">
        <v>1647</v>
      </c>
      <c r="B394" s="73" t="s">
        <v>400</v>
      </c>
    </row>
    <row r="395" spans="1:2" ht="22.5" customHeight="1">
      <c r="A395" s="48" t="s">
        <v>1648</v>
      </c>
      <c r="B395" s="73" t="s">
        <v>401</v>
      </c>
    </row>
    <row r="396" spans="1:2" ht="22.5" customHeight="1">
      <c r="A396" s="48" t="s">
        <v>1649</v>
      </c>
      <c r="B396" s="73" t="s">
        <v>402</v>
      </c>
    </row>
    <row r="397" spans="1:2" ht="22.5" customHeight="1">
      <c r="A397" s="48" t="s">
        <v>1650</v>
      </c>
      <c r="B397" s="73" t="s">
        <v>403</v>
      </c>
    </row>
    <row r="398" spans="1:2" ht="22.5" customHeight="1">
      <c r="A398" s="48" t="s">
        <v>1651</v>
      </c>
      <c r="B398" s="73" t="s">
        <v>404</v>
      </c>
    </row>
    <row r="399" spans="1:2" ht="22.5" customHeight="1">
      <c r="A399" s="48" t="s">
        <v>1652</v>
      </c>
      <c r="B399" s="73" t="s">
        <v>405</v>
      </c>
    </row>
    <row r="400" spans="1:2" ht="22.5" customHeight="1">
      <c r="A400" s="48" t="s">
        <v>1653</v>
      </c>
      <c r="B400" s="73" t="s">
        <v>406</v>
      </c>
    </row>
    <row r="401" spans="1:2" ht="22.5" customHeight="1">
      <c r="A401" s="48"/>
      <c r="B401" s="74"/>
    </row>
    <row r="402" spans="1:2" ht="22.5" customHeight="1">
      <c r="B402" s="74"/>
    </row>
    <row r="403" spans="1:2" ht="22.5" customHeight="1">
      <c r="A403" s="48"/>
      <c r="B403" s="74"/>
    </row>
    <row r="404" spans="1:2" ht="22.5" customHeight="1">
      <c r="A404" s="48"/>
    </row>
    <row r="405" spans="1:2" ht="22.5" customHeight="1">
      <c r="A405" s="48"/>
    </row>
    <row r="406" spans="1:2" ht="22.5" customHeight="1">
      <c r="A406" s="48"/>
    </row>
    <row r="407" spans="1:2" ht="22.5" customHeight="1">
      <c r="A407" s="48"/>
    </row>
    <row r="408" spans="1:2" ht="22.5" customHeight="1">
      <c r="A408" s="48"/>
    </row>
    <row r="409" spans="1:2" ht="22.5" customHeight="1">
      <c r="A409" s="48"/>
    </row>
    <row r="410" spans="1:2" ht="22.5" customHeight="1">
      <c r="A410" s="48"/>
    </row>
    <row r="411" spans="1:2" ht="22.5" customHeight="1">
      <c r="A411" s="48"/>
    </row>
    <row r="412" spans="1:2" ht="22.5" customHeight="1">
      <c r="A412" s="48"/>
    </row>
    <row r="413" spans="1:2" ht="22.5" customHeight="1">
      <c r="A413" s="48"/>
    </row>
    <row r="414" spans="1:2" ht="22.5" customHeight="1">
      <c r="A414" s="48"/>
    </row>
    <row r="415" spans="1:2" ht="22.5" customHeight="1">
      <c r="A415" s="48"/>
    </row>
    <row r="416" spans="1:2" ht="22.5" customHeight="1">
      <c r="A416" s="48"/>
    </row>
    <row r="417" spans="1:1" ht="22.5" customHeight="1">
      <c r="A417" s="48"/>
    </row>
    <row r="418" spans="1:1" ht="22.5" customHeight="1">
      <c r="A418" s="48"/>
    </row>
    <row r="419" spans="1:1" ht="22.5" customHeight="1">
      <c r="A419" s="48"/>
    </row>
    <row r="420" spans="1:1" ht="22.5" customHeight="1">
      <c r="A420" s="48"/>
    </row>
    <row r="421" spans="1:1" ht="22.5" customHeight="1">
      <c r="A421" s="48"/>
    </row>
    <row r="422" spans="1:1" ht="22.5" customHeight="1">
      <c r="A422" s="48"/>
    </row>
    <row r="423" spans="1:1" ht="22.5" customHeight="1">
      <c r="A423" s="48"/>
    </row>
    <row r="424" spans="1:1" ht="22.5" customHeight="1">
      <c r="A424" s="48"/>
    </row>
    <row r="425" spans="1:1" ht="22.5" customHeight="1">
      <c r="A425" s="48"/>
    </row>
    <row r="426" spans="1:1" ht="22.5" customHeight="1">
      <c r="A426" s="48"/>
    </row>
    <row r="427" spans="1:1" ht="22.5" customHeight="1">
      <c r="A427" s="48"/>
    </row>
    <row r="428" spans="1:1" ht="22.5" customHeight="1">
      <c r="A428" s="48"/>
    </row>
    <row r="429" spans="1:1" ht="22.5" customHeight="1">
      <c r="A429" s="48"/>
    </row>
    <row r="430" spans="1:1" ht="22.5" customHeight="1">
      <c r="A430" s="48"/>
    </row>
    <row r="431" spans="1:1" ht="22.5" customHeight="1">
      <c r="A431" s="48"/>
    </row>
    <row r="432" spans="1:1" ht="22.5" customHeight="1">
      <c r="A432" s="48"/>
    </row>
    <row r="433" spans="1:1" ht="22.5" customHeight="1">
      <c r="A433" s="48"/>
    </row>
    <row r="434" spans="1:1" ht="22.5" customHeight="1">
      <c r="A434" s="48"/>
    </row>
    <row r="435" spans="1:1" ht="22.5" customHeight="1">
      <c r="A435" s="48"/>
    </row>
    <row r="436" spans="1:1" ht="22.5" customHeight="1">
      <c r="A436" s="48"/>
    </row>
    <row r="437" spans="1:1" ht="22.5" customHeight="1">
      <c r="A437" s="48"/>
    </row>
    <row r="438" spans="1:1" ht="22.5" customHeight="1">
      <c r="A438" s="48"/>
    </row>
    <row r="439" spans="1:1" ht="22.5" customHeight="1">
      <c r="A439" s="48"/>
    </row>
    <row r="440" spans="1:1" ht="22.5" customHeight="1">
      <c r="A440" s="48"/>
    </row>
    <row r="441" spans="1:1" ht="22.5" customHeight="1">
      <c r="A441" s="48"/>
    </row>
    <row r="442" spans="1:1" ht="22.5" customHeight="1">
      <c r="A442" s="48"/>
    </row>
    <row r="443" spans="1:1" ht="22.5" customHeight="1">
      <c r="A443" s="48"/>
    </row>
    <row r="444" spans="1:1" ht="22.5" customHeight="1">
      <c r="A444" s="48"/>
    </row>
    <row r="445" spans="1:1" ht="22.5" customHeight="1">
      <c r="A445" s="48"/>
    </row>
    <row r="446" spans="1:1" ht="22.5" customHeight="1">
      <c r="A446" s="48"/>
    </row>
    <row r="447" spans="1:1" ht="22.5" customHeight="1">
      <c r="A447" s="48"/>
    </row>
    <row r="448" spans="1:1" ht="22.5" customHeight="1">
      <c r="A448" s="48"/>
    </row>
    <row r="449" spans="1:1" ht="22.5" customHeight="1">
      <c r="A449" s="48"/>
    </row>
    <row r="450" spans="1:1" ht="22.5" customHeight="1">
      <c r="A450" s="48"/>
    </row>
    <row r="451" spans="1:1" ht="22.5" customHeight="1">
      <c r="A451" s="48"/>
    </row>
    <row r="452" spans="1:1" ht="22.5" customHeight="1">
      <c r="A452" s="48"/>
    </row>
    <row r="453" spans="1:1" ht="22.5" customHeight="1">
      <c r="A453" s="48"/>
    </row>
    <row r="454" spans="1:1" ht="22.5" customHeight="1">
      <c r="A454" s="48"/>
    </row>
    <row r="455" spans="1:1" ht="22.5" customHeight="1">
      <c r="A455" s="48"/>
    </row>
    <row r="456" spans="1:1" ht="22.5" customHeight="1">
      <c r="A456" s="48"/>
    </row>
    <row r="457" spans="1:1" ht="22.5" customHeight="1">
      <c r="A457" s="48"/>
    </row>
    <row r="458" spans="1:1" ht="22.5" customHeight="1">
      <c r="A458" s="48"/>
    </row>
    <row r="459" spans="1:1" ht="22.5" customHeight="1">
      <c r="A459" s="48"/>
    </row>
    <row r="460" spans="1:1" ht="22.5" customHeight="1">
      <c r="A460" s="48"/>
    </row>
    <row r="461" spans="1:1" ht="22.5" customHeight="1">
      <c r="A461" s="48"/>
    </row>
    <row r="462" spans="1:1" ht="22.5" customHeight="1">
      <c r="A462" s="48"/>
    </row>
    <row r="463" spans="1:1" ht="22.5" customHeight="1">
      <c r="A463" s="48"/>
    </row>
    <row r="464" spans="1:1" ht="22.5" customHeight="1">
      <c r="A464" s="48"/>
    </row>
    <row r="465" spans="1:1" ht="22.5" customHeight="1">
      <c r="A465" s="48"/>
    </row>
    <row r="466" spans="1:1" ht="22.5" customHeight="1">
      <c r="A466" s="48"/>
    </row>
    <row r="467" spans="1:1" ht="22.5" customHeight="1">
      <c r="A467" s="48"/>
    </row>
    <row r="468" spans="1:1" ht="22.5" customHeight="1">
      <c r="A468" s="48"/>
    </row>
    <row r="469" spans="1:1" ht="22.5" customHeight="1">
      <c r="A469" s="48"/>
    </row>
    <row r="470" spans="1:1" ht="22.5" customHeight="1">
      <c r="A470" s="48"/>
    </row>
    <row r="471" spans="1:1" ht="22.5" customHeight="1">
      <c r="A471" s="48"/>
    </row>
    <row r="472" spans="1:1" ht="22.5" customHeight="1">
      <c r="A472" s="48"/>
    </row>
    <row r="473" spans="1:1" ht="22.5" customHeight="1">
      <c r="A473" s="48"/>
    </row>
    <row r="474" spans="1:1" ht="22.5" customHeight="1">
      <c r="A474" s="48"/>
    </row>
    <row r="475" spans="1:1" ht="22.5" customHeight="1">
      <c r="A475" s="48"/>
    </row>
    <row r="476" spans="1:1" ht="22.5" customHeight="1">
      <c r="A476" s="48"/>
    </row>
    <row r="477" spans="1:1" ht="22.5" customHeight="1">
      <c r="A477" s="48"/>
    </row>
    <row r="478" spans="1:1" ht="22.5" customHeight="1">
      <c r="A478" s="48"/>
    </row>
    <row r="479" spans="1:1" ht="22.5" customHeight="1">
      <c r="A479" s="48"/>
    </row>
    <row r="480" spans="1:1" ht="22.5" customHeight="1">
      <c r="A480" s="48"/>
    </row>
    <row r="481" spans="1:1" ht="22.5" customHeight="1">
      <c r="A481" s="48"/>
    </row>
    <row r="482" spans="1:1" ht="22.5" customHeight="1">
      <c r="A482" s="48"/>
    </row>
    <row r="483" spans="1:1" ht="22.5" customHeight="1">
      <c r="A483" s="48"/>
    </row>
    <row r="484" spans="1:1" ht="22.5" customHeight="1">
      <c r="A484" s="48"/>
    </row>
    <row r="485" spans="1:1" ht="22.5" customHeight="1">
      <c r="A485" s="48"/>
    </row>
    <row r="486" spans="1:1" ht="22.5" customHeight="1">
      <c r="A486" s="48"/>
    </row>
    <row r="487" spans="1:1" ht="22.5" customHeight="1">
      <c r="A487" s="48"/>
    </row>
    <row r="488" spans="1:1" ht="22.5" customHeight="1">
      <c r="A488" s="48"/>
    </row>
    <row r="489" spans="1:1" ht="22.5" customHeight="1">
      <c r="A489" s="48"/>
    </row>
    <row r="490" spans="1:1" ht="22.5" customHeight="1">
      <c r="A490" s="48"/>
    </row>
    <row r="491" spans="1:1" ht="22.5" customHeight="1">
      <c r="A491" s="48"/>
    </row>
    <row r="492" spans="1:1" ht="22.5" customHeight="1">
      <c r="A492" s="48"/>
    </row>
    <row r="493" spans="1:1" ht="22.5" customHeight="1">
      <c r="A493" s="48"/>
    </row>
    <row r="494" spans="1:1" ht="22.5" customHeight="1">
      <c r="A494" s="48"/>
    </row>
    <row r="495" spans="1:1" ht="22.5" customHeight="1">
      <c r="A495" s="48"/>
    </row>
    <row r="496" spans="1:1" ht="22.5" customHeight="1">
      <c r="A496" s="48"/>
    </row>
    <row r="497" spans="1:1" ht="22.5" customHeight="1">
      <c r="A497" s="48"/>
    </row>
    <row r="498" spans="1:1" ht="22.5" customHeight="1">
      <c r="A498" s="48"/>
    </row>
    <row r="499" spans="1:1" ht="22.5" customHeight="1">
      <c r="A499" s="48"/>
    </row>
    <row r="500" spans="1:1" ht="22.5" customHeight="1">
      <c r="A500" s="48"/>
    </row>
    <row r="501" spans="1:1" ht="22.5" customHeight="1">
      <c r="A501" s="48"/>
    </row>
    <row r="502" spans="1:1" ht="22.5" customHeight="1">
      <c r="A502" s="48"/>
    </row>
    <row r="503" spans="1:1" ht="22.5" customHeight="1">
      <c r="A503" s="48"/>
    </row>
    <row r="504" spans="1:1" ht="22.5" customHeight="1">
      <c r="A504" s="48"/>
    </row>
    <row r="505" spans="1:1" ht="22.5" customHeight="1">
      <c r="A505" s="48"/>
    </row>
    <row r="506" spans="1:1" ht="22.5" customHeight="1">
      <c r="A506" s="48"/>
    </row>
    <row r="507" spans="1:1" ht="22.5" customHeight="1">
      <c r="A507" s="48"/>
    </row>
    <row r="508" spans="1:1" ht="22.5" customHeight="1">
      <c r="A508" s="48"/>
    </row>
    <row r="509" spans="1:1" ht="22.5" customHeight="1">
      <c r="A509" s="48"/>
    </row>
    <row r="510" spans="1:1" ht="22.5" customHeight="1">
      <c r="A510" s="48"/>
    </row>
    <row r="511" spans="1:1" ht="22.5" customHeight="1">
      <c r="A511" s="48"/>
    </row>
    <row r="512" spans="1:1" ht="22.5" customHeight="1">
      <c r="A512" s="48"/>
    </row>
    <row r="513" spans="1:1" ht="22.5" customHeight="1">
      <c r="A513" s="48"/>
    </row>
    <row r="514" spans="1:1" ht="22.5" customHeight="1">
      <c r="A514" s="48"/>
    </row>
    <row r="515" spans="1:1" ht="22.5" customHeight="1">
      <c r="A515" s="48"/>
    </row>
    <row r="516" spans="1:1" ht="22.5" customHeight="1">
      <c r="A516" s="48"/>
    </row>
    <row r="517" spans="1:1" ht="22.5" customHeight="1">
      <c r="A517" s="48"/>
    </row>
    <row r="518" spans="1:1" ht="22.5" customHeight="1">
      <c r="A518" s="48"/>
    </row>
    <row r="519" spans="1:1" ht="22.5" customHeight="1">
      <c r="A519" s="48"/>
    </row>
    <row r="520" spans="1:1" ht="22.5" customHeight="1">
      <c r="A520" s="48"/>
    </row>
    <row r="521" spans="1:1" ht="22.5" customHeight="1">
      <c r="A521" s="48"/>
    </row>
    <row r="522" spans="1:1" ht="22.5" customHeight="1">
      <c r="A522" s="48"/>
    </row>
    <row r="523" spans="1:1" ht="22.5" customHeight="1">
      <c r="A523" s="48"/>
    </row>
    <row r="524" spans="1:1" ht="22.5" customHeight="1">
      <c r="A524" s="48"/>
    </row>
    <row r="525" spans="1:1" ht="22.5" customHeight="1">
      <c r="A525" s="48"/>
    </row>
    <row r="526" spans="1:1" ht="22.5" customHeight="1">
      <c r="A526" s="48"/>
    </row>
    <row r="527" spans="1:1" ht="22.5" customHeight="1">
      <c r="A527" s="48"/>
    </row>
    <row r="528" spans="1:1" ht="22.5" customHeight="1">
      <c r="A528" s="48"/>
    </row>
    <row r="529" spans="1:1" ht="22.5" customHeight="1">
      <c r="A529" s="48"/>
    </row>
    <row r="530" spans="1:1" ht="22.5" customHeight="1">
      <c r="A530" s="48"/>
    </row>
    <row r="531" spans="1:1" ht="22.5" customHeight="1">
      <c r="A531" s="48"/>
    </row>
    <row r="532" spans="1:1" ht="22.5" customHeight="1">
      <c r="A532" s="48"/>
    </row>
    <row r="533" spans="1:1" ht="22.5" customHeight="1">
      <c r="A533" s="48"/>
    </row>
    <row r="534" spans="1:1" ht="22.5" customHeight="1">
      <c r="A534" s="48"/>
    </row>
    <row r="535" spans="1:1" ht="22.5" customHeight="1">
      <c r="A535" s="48"/>
    </row>
    <row r="536" spans="1:1" ht="22.5" customHeight="1">
      <c r="A536" s="48"/>
    </row>
    <row r="537" spans="1:1" ht="22.5" customHeight="1">
      <c r="A537" s="48"/>
    </row>
    <row r="538" spans="1:1" ht="22.5" customHeight="1">
      <c r="A538" s="48"/>
    </row>
    <row r="539" spans="1:1" ht="22.5" customHeight="1">
      <c r="A539" s="48"/>
    </row>
    <row r="540" spans="1:1" ht="22.5" customHeight="1">
      <c r="A540" s="48"/>
    </row>
    <row r="541" spans="1:1" ht="22.5" customHeight="1">
      <c r="A541" s="48"/>
    </row>
    <row r="542" spans="1:1" ht="22.5" customHeight="1">
      <c r="A542" s="48"/>
    </row>
    <row r="543" spans="1:1" ht="22.5" customHeight="1">
      <c r="A543" s="48"/>
    </row>
    <row r="544" spans="1:1" ht="22.5" customHeight="1">
      <c r="A544" s="48"/>
    </row>
    <row r="545" spans="1:1" ht="22.5" customHeight="1">
      <c r="A545" s="48"/>
    </row>
    <row r="546" spans="1:1" ht="22.5" customHeight="1">
      <c r="A546" s="48"/>
    </row>
    <row r="547" spans="1:1" ht="22.5" customHeight="1">
      <c r="A547" s="48"/>
    </row>
    <row r="548" spans="1:1" ht="22.5" customHeight="1">
      <c r="A548" s="48"/>
    </row>
    <row r="549" spans="1:1" ht="22.5" customHeight="1">
      <c r="A549" s="48"/>
    </row>
    <row r="550" spans="1:1" ht="22.5" customHeight="1">
      <c r="A550" s="48"/>
    </row>
    <row r="551" spans="1:1" ht="22.5" customHeight="1">
      <c r="A551" s="48"/>
    </row>
    <row r="552" spans="1:1" ht="22.5" customHeight="1">
      <c r="A552" s="48"/>
    </row>
    <row r="553" spans="1:1" ht="22.5" customHeight="1">
      <c r="A553" s="48"/>
    </row>
    <row r="554" spans="1:1" ht="22.5" customHeight="1">
      <c r="A554" s="48"/>
    </row>
    <row r="555" spans="1:1" ht="22.5" customHeight="1">
      <c r="A555" s="48"/>
    </row>
    <row r="556" spans="1:1" ht="22.5" customHeight="1">
      <c r="A556" s="48"/>
    </row>
    <row r="557" spans="1:1" ht="22.5" customHeight="1">
      <c r="A557" s="48"/>
    </row>
    <row r="558" spans="1:1" ht="22.5" customHeight="1">
      <c r="A558" s="48"/>
    </row>
    <row r="559" spans="1:1" ht="22.5" customHeight="1">
      <c r="A559" s="48"/>
    </row>
    <row r="560" spans="1:1" ht="22.5" customHeight="1">
      <c r="A560" s="48"/>
    </row>
    <row r="561" spans="1:1" ht="22.5" customHeight="1">
      <c r="A561" s="48"/>
    </row>
    <row r="562" spans="1:1" ht="22.5" customHeight="1">
      <c r="A562" s="48"/>
    </row>
    <row r="563" spans="1:1" ht="22.5" customHeight="1">
      <c r="A563" s="48"/>
    </row>
    <row r="564" spans="1:1" ht="22.5" customHeight="1">
      <c r="A564" s="48"/>
    </row>
    <row r="565" spans="1:1" ht="22.5" customHeight="1">
      <c r="A565" s="48"/>
    </row>
    <row r="566" spans="1:1" ht="22.5" customHeight="1">
      <c r="A566" s="48"/>
    </row>
    <row r="567" spans="1:1" ht="22.5" customHeight="1">
      <c r="A567" s="48"/>
    </row>
    <row r="568" spans="1:1" ht="22.5" customHeight="1">
      <c r="A568" s="48"/>
    </row>
    <row r="569" spans="1:1" ht="22.5" customHeight="1">
      <c r="A569" s="48"/>
    </row>
    <row r="570" spans="1:1" ht="22.5" customHeight="1">
      <c r="A570" s="48"/>
    </row>
    <row r="571" spans="1:1" ht="22.5" customHeight="1">
      <c r="A571" s="48"/>
    </row>
    <row r="572" spans="1:1" ht="22.5" customHeight="1">
      <c r="A572" s="48"/>
    </row>
    <row r="573" spans="1:1" ht="22.5" customHeight="1">
      <c r="A573" s="48"/>
    </row>
    <row r="574" spans="1:1" ht="22.5" customHeight="1">
      <c r="A574" s="48"/>
    </row>
    <row r="575" spans="1:1" ht="22.5" customHeight="1">
      <c r="A575" s="48"/>
    </row>
    <row r="576" spans="1:1" ht="22.5" customHeight="1">
      <c r="A576" s="48"/>
    </row>
    <row r="577" spans="1:1" ht="22.5" customHeight="1">
      <c r="A577" s="48"/>
    </row>
    <row r="578" spans="1:1" ht="22.5" customHeight="1">
      <c r="A578" s="48"/>
    </row>
    <row r="579" spans="1:1" ht="22.5" customHeight="1">
      <c r="A579" s="48"/>
    </row>
    <row r="580" spans="1:1" ht="22.5" customHeight="1">
      <c r="A580" s="48"/>
    </row>
    <row r="581" spans="1:1" ht="22.5" customHeight="1">
      <c r="A581" s="48"/>
    </row>
    <row r="582" spans="1:1" ht="22.5" customHeight="1">
      <c r="A582" s="48"/>
    </row>
    <row r="583" spans="1:1" ht="22.5" customHeight="1">
      <c r="A583" s="48"/>
    </row>
    <row r="584" spans="1:1" ht="22.5" customHeight="1">
      <c r="A584" s="48"/>
    </row>
    <row r="585" spans="1:1" ht="22.5" customHeight="1">
      <c r="A585" s="48"/>
    </row>
    <row r="586" spans="1:1" ht="22.5" customHeight="1">
      <c r="A586" s="48"/>
    </row>
    <row r="587" spans="1:1" ht="22.5" customHeight="1">
      <c r="A587" s="48"/>
    </row>
    <row r="588" spans="1:1" ht="22.5" customHeight="1">
      <c r="A588" s="48"/>
    </row>
    <row r="589" spans="1:1" ht="22.5" customHeight="1">
      <c r="A589" s="48"/>
    </row>
    <row r="590" spans="1:1" ht="22.5" customHeight="1">
      <c r="A590" s="48"/>
    </row>
    <row r="591" spans="1:1" ht="22.5" customHeight="1">
      <c r="A591" s="48"/>
    </row>
    <row r="592" spans="1:1" ht="22.5" customHeight="1">
      <c r="A592" s="48"/>
    </row>
    <row r="593" spans="1:1" ht="22.5" customHeight="1">
      <c r="A593" s="48"/>
    </row>
    <row r="594" spans="1:1" ht="22.5" customHeight="1">
      <c r="A594" s="48"/>
    </row>
    <row r="595" spans="1:1" ht="22.5" customHeight="1">
      <c r="A595" s="48"/>
    </row>
    <row r="596" spans="1:1" ht="22.5" customHeight="1">
      <c r="A596" s="48"/>
    </row>
    <row r="597" spans="1:1" ht="22.5" customHeight="1">
      <c r="A597" s="48"/>
    </row>
    <row r="598" spans="1:1" ht="22.5" customHeight="1">
      <c r="A598" s="48"/>
    </row>
    <row r="599" spans="1:1" ht="22.5" customHeight="1">
      <c r="A599" s="48"/>
    </row>
    <row r="600" spans="1:1" ht="22.5" customHeight="1">
      <c r="A600" s="48"/>
    </row>
    <row r="601" spans="1:1" ht="22.5" customHeight="1">
      <c r="A601" s="48"/>
    </row>
    <row r="602" spans="1:1" ht="22.5" customHeight="1">
      <c r="A602" s="48"/>
    </row>
    <row r="603" spans="1:1" ht="22.5" customHeight="1">
      <c r="A603" s="48"/>
    </row>
    <row r="604" spans="1:1" ht="22.5" customHeight="1">
      <c r="A604" s="48"/>
    </row>
    <row r="605" spans="1:1" ht="22.5" customHeight="1">
      <c r="A605" s="48"/>
    </row>
    <row r="606" spans="1:1" ht="22.5" customHeight="1">
      <c r="A606" s="48"/>
    </row>
    <row r="607" spans="1:1" ht="22.5" customHeight="1">
      <c r="A607" s="48"/>
    </row>
    <row r="608" spans="1:1" ht="22.5" customHeight="1">
      <c r="A608" s="48"/>
    </row>
    <row r="609" spans="1:1" ht="22.5" customHeight="1">
      <c r="A609" s="48"/>
    </row>
    <row r="610" spans="1:1" ht="22.5" customHeight="1">
      <c r="A610" s="48"/>
    </row>
    <row r="611" spans="1:1" ht="22.5" customHeight="1">
      <c r="A611" s="48"/>
    </row>
    <row r="612" spans="1:1" ht="22.5" customHeight="1">
      <c r="A612" s="48"/>
    </row>
    <row r="613" spans="1:1" ht="22.5" customHeight="1">
      <c r="A613" s="48"/>
    </row>
    <row r="614" spans="1:1" ht="22.5" customHeight="1">
      <c r="A614" s="48"/>
    </row>
    <row r="615" spans="1:1" ht="22.5" customHeight="1">
      <c r="A615" s="48"/>
    </row>
    <row r="616" spans="1:1" ht="22.5" customHeight="1">
      <c r="A616" s="48"/>
    </row>
    <row r="617" spans="1:1" ht="22.5" customHeight="1">
      <c r="A617" s="48"/>
    </row>
    <row r="618" spans="1:1" ht="22.5" customHeight="1">
      <c r="A618" s="48"/>
    </row>
    <row r="619" spans="1:1" ht="22.5" customHeight="1">
      <c r="A619" s="48"/>
    </row>
    <row r="620" spans="1:1" ht="22.5" customHeight="1">
      <c r="A620" s="48"/>
    </row>
    <row r="621" spans="1:1" ht="22.5" customHeight="1">
      <c r="A621" s="48"/>
    </row>
    <row r="622" spans="1:1" ht="22.5" customHeight="1">
      <c r="A622" s="48"/>
    </row>
    <row r="623" spans="1:1" ht="22.5" customHeight="1">
      <c r="A623" s="48"/>
    </row>
    <row r="624" spans="1:1" ht="22.5" customHeight="1">
      <c r="A624" s="48"/>
    </row>
    <row r="625" spans="1:1" ht="22.5" customHeight="1">
      <c r="A625" s="48"/>
    </row>
    <row r="626" spans="1:1" ht="22.5" customHeight="1">
      <c r="A626" s="48"/>
    </row>
    <row r="627" spans="1:1" ht="22.5" customHeight="1">
      <c r="A627" s="48"/>
    </row>
    <row r="628" spans="1:1" ht="22.5" customHeight="1">
      <c r="A628" s="48"/>
    </row>
    <row r="629" spans="1:1" ht="22.5" customHeight="1">
      <c r="A629" s="48"/>
    </row>
    <row r="630" spans="1:1" ht="22.5" customHeight="1">
      <c r="A630" s="48"/>
    </row>
    <row r="631" spans="1:1" ht="22.5" customHeight="1">
      <c r="A631" s="48"/>
    </row>
    <row r="632" spans="1:1" ht="22.5" customHeight="1">
      <c r="A632" s="48"/>
    </row>
    <row r="633" spans="1:1" ht="22.5" customHeight="1">
      <c r="A633" s="48"/>
    </row>
    <row r="634" spans="1:1" ht="22.5" customHeight="1">
      <c r="A634" s="48"/>
    </row>
    <row r="635" spans="1:1" ht="22.5" customHeight="1">
      <c r="A635" s="48"/>
    </row>
    <row r="636" spans="1:1" ht="22.5" customHeight="1">
      <c r="A636" s="48"/>
    </row>
    <row r="637" spans="1:1" ht="22.5" customHeight="1">
      <c r="A637" s="48"/>
    </row>
    <row r="638" spans="1:1" ht="22.5" customHeight="1">
      <c r="A638" s="48"/>
    </row>
    <row r="639" spans="1:1" ht="22.5" customHeight="1">
      <c r="A639" s="48"/>
    </row>
    <row r="640" spans="1:1" ht="22.5" customHeight="1">
      <c r="A640" s="48"/>
    </row>
    <row r="641" spans="1:1" ht="22.5" customHeight="1">
      <c r="A641" s="48"/>
    </row>
    <row r="642" spans="1:1" ht="22.5" customHeight="1">
      <c r="A642" s="48"/>
    </row>
    <row r="643" spans="1:1" ht="22.5" customHeight="1">
      <c r="A643" s="48"/>
    </row>
    <row r="644" spans="1:1" ht="22.5" customHeight="1">
      <c r="A644" s="48"/>
    </row>
    <row r="645" spans="1:1" ht="22.5" customHeight="1">
      <c r="A645" s="48"/>
    </row>
    <row r="646" spans="1:1" ht="22.5" customHeight="1">
      <c r="A646" s="48"/>
    </row>
    <row r="647" spans="1:1" ht="22.5" customHeight="1">
      <c r="A647" s="48"/>
    </row>
    <row r="648" spans="1:1" ht="22.5" customHeight="1">
      <c r="A648" s="48"/>
    </row>
    <row r="649" spans="1:1" ht="22.5" customHeight="1">
      <c r="A649" s="48"/>
    </row>
    <row r="650" spans="1:1" ht="22.5" customHeight="1">
      <c r="A650" s="48"/>
    </row>
    <row r="651" spans="1:1" ht="22.5" customHeight="1">
      <c r="A651" s="48"/>
    </row>
    <row r="652" spans="1:1" ht="22.5" customHeight="1">
      <c r="A652" s="48"/>
    </row>
    <row r="653" spans="1:1" ht="22.5" customHeight="1">
      <c r="A653" s="48"/>
    </row>
    <row r="654" spans="1:1" ht="22.5" customHeight="1">
      <c r="A654" s="48"/>
    </row>
    <row r="655" spans="1:1" ht="22.5" customHeight="1">
      <c r="A655" s="48"/>
    </row>
    <row r="656" spans="1:1" ht="22.5" customHeight="1">
      <c r="A656" s="48"/>
    </row>
    <row r="657" spans="1:1" ht="22.5" customHeight="1">
      <c r="A657" s="48"/>
    </row>
    <row r="658" spans="1:1" ht="22.5" customHeight="1">
      <c r="A658" s="48"/>
    </row>
    <row r="659" spans="1:1" ht="22.5" customHeight="1">
      <c r="A659" s="48"/>
    </row>
    <row r="660" spans="1:1" ht="22.5" customHeight="1">
      <c r="A660" s="48"/>
    </row>
    <row r="661" spans="1:1" ht="22.5" customHeight="1">
      <c r="A661" s="48"/>
    </row>
    <row r="662" spans="1:1" ht="22.5" customHeight="1">
      <c r="A662" s="48"/>
    </row>
    <row r="663" spans="1:1" ht="22.5" customHeight="1">
      <c r="A663" s="48"/>
    </row>
    <row r="664" spans="1:1" ht="22.5" customHeight="1">
      <c r="A664" s="48"/>
    </row>
    <row r="665" spans="1:1" ht="22.5" customHeight="1">
      <c r="A665" s="48"/>
    </row>
    <row r="666" spans="1:1" ht="22.5" customHeight="1">
      <c r="A666" s="48"/>
    </row>
    <row r="667" spans="1:1" ht="22.5" customHeight="1">
      <c r="A667" s="48"/>
    </row>
    <row r="668" spans="1:1" ht="22.5" customHeight="1">
      <c r="A668" s="48"/>
    </row>
    <row r="669" spans="1:1" ht="22.5" customHeight="1">
      <c r="A669" s="48"/>
    </row>
    <row r="670" spans="1:1" ht="22.5" customHeight="1">
      <c r="A670" s="48"/>
    </row>
    <row r="671" spans="1:1" ht="22.5" customHeight="1">
      <c r="A671" s="48"/>
    </row>
    <row r="672" spans="1:1" ht="22.5" customHeight="1">
      <c r="A672" s="48"/>
    </row>
    <row r="673" spans="1:1" ht="22.5" customHeight="1">
      <c r="A673" s="48"/>
    </row>
    <row r="674" spans="1:1" ht="22.5" customHeight="1">
      <c r="A674" s="48"/>
    </row>
    <row r="675" spans="1:1" ht="22.5" customHeight="1">
      <c r="A675" s="48"/>
    </row>
    <row r="676" spans="1:1" ht="22.5" customHeight="1">
      <c r="A676" s="48"/>
    </row>
    <row r="677" spans="1:1" ht="22.5" customHeight="1">
      <c r="A677" s="48"/>
    </row>
    <row r="678" spans="1:1" ht="22.5" customHeight="1">
      <c r="A678" s="48"/>
    </row>
    <row r="679" spans="1:1" ht="22.5" customHeight="1">
      <c r="A679" s="48"/>
    </row>
    <row r="680" spans="1:1" ht="22.5" customHeight="1">
      <c r="A680" s="48"/>
    </row>
    <row r="681" spans="1:1" ht="22.5" customHeight="1">
      <c r="A681" s="48"/>
    </row>
    <row r="682" spans="1:1" ht="22.5" customHeight="1">
      <c r="A682" s="48"/>
    </row>
    <row r="683" spans="1:1" ht="22.5" customHeight="1">
      <c r="A683" s="48"/>
    </row>
    <row r="684" spans="1:1" ht="22.5" customHeight="1">
      <c r="A684" s="48"/>
    </row>
    <row r="685" spans="1:1" ht="22.5" customHeight="1">
      <c r="A685" s="48"/>
    </row>
    <row r="686" spans="1:1" ht="22.5" customHeight="1">
      <c r="A686" s="48"/>
    </row>
    <row r="687" spans="1:1" ht="22.5" customHeight="1">
      <c r="A687" s="48"/>
    </row>
    <row r="688" spans="1:1" ht="22.5" customHeight="1">
      <c r="A688" s="48"/>
    </row>
    <row r="689" spans="1:1" ht="22.5" customHeight="1">
      <c r="A689" s="48"/>
    </row>
    <row r="690" spans="1:1" ht="22.5" customHeight="1">
      <c r="A690" s="48"/>
    </row>
    <row r="691" spans="1:1" ht="22.5" customHeight="1">
      <c r="A691" s="48"/>
    </row>
    <row r="692" spans="1:1" ht="22.5" customHeight="1">
      <c r="A692" s="48"/>
    </row>
    <row r="693" spans="1:1" ht="22.5" customHeight="1">
      <c r="A693" s="48"/>
    </row>
    <row r="694" spans="1:1" ht="22.5" customHeight="1">
      <c r="A694" s="48"/>
    </row>
    <row r="695" spans="1:1" ht="22.5" customHeight="1">
      <c r="A695" s="48"/>
    </row>
    <row r="696" spans="1:1" ht="22.5" customHeight="1">
      <c r="A696" s="48"/>
    </row>
    <row r="697" spans="1:1" ht="22.5" customHeight="1">
      <c r="A697" s="48"/>
    </row>
    <row r="698" spans="1:1" ht="22.5" customHeight="1">
      <c r="A698" s="48"/>
    </row>
    <row r="699" spans="1:1" ht="22.5" customHeight="1">
      <c r="A699" s="48"/>
    </row>
    <row r="700" spans="1:1" ht="22.5" customHeight="1">
      <c r="A700" s="48"/>
    </row>
    <row r="701" spans="1:1" ht="22.5" customHeight="1">
      <c r="A701" s="48"/>
    </row>
    <row r="702" spans="1:1" ht="22.5" customHeight="1">
      <c r="A702" s="48"/>
    </row>
    <row r="703" spans="1:1" ht="22.5" customHeight="1">
      <c r="A703" s="48"/>
    </row>
    <row r="704" spans="1:1" ht="22.5" customHeight="1">
      <c r="A704" s="48"/>
    </row>
    <row r="705" spans="1:1" ht="22.5" customHeight="1">
      <c r="A705" s="48"/>
    </row>
    <row r="706" spans="1:1" ht="22.5" customHeight="1">
      <c r="A706" s="48"/>
    </row>
    <row r="707" spans="1:1" ht="22.5" customHeight="1">
      <c r="A707" s="48"/>
    </row>
    <row r="708" spans="1:1" ht="22.5" customHeight="1">
      <c r="A708" s="48"/>
    </row>
    <row r="709" spans="1:1" ht="22.5" customHeight="1">
      <c r="A709" s="48"/>
    </row>
    <row r="710" spans="1:1" ht="22.5" customHeight="1">
      <c r="A710" s="48"/>
    </row>
    <row r="711" spans="1:1" ht="22.5" customHeight="1">
      <c r="A711" s="48"/>
    </row>
    <row r="712" spans="1:1" ht="22.5" customHeight="1">
      <c r="A712" s="48"/>
    </row>
    <row r="713" spans="1:1" ht="22.5" customHeight="1">
      <c r="A713" s="48"/>
    </row>
    <row r="714" spans="1:1" ht="22.5" customHeight="1">
      <c r="A714" s="48"/>
    </row>
    <row r="715" spans="1:1" ht="22.5" customHeight="1">
      <c r="A715" s="48"/>
    </row>
    <row r="716" spans="1:1" ht="22.5" customHeight="1">
      <c r="A716" s="48"/>
    </row>
    <row r="717" spans="1:1" ht="22.5" customHeight="1">
      <c r="A717" s="48"/>
    </row>
    <row r="718" spans="1:1" ht="22.5" customHeight="1">
      <c r="A718" s="48"/>
    </row>
    <row r="719" spans="1:1" ht="22.5" customHeight="1">
      <c r="A719" s="48"/>
    </row>
    <row r="720" spans="1:1" ht="22.5" customHeight="1">
      <c r="A720" s="48"/>
    </row>
    <row r="721" spans="1:1" ht="22.5" customHeight="1">
      <c r="A721" s="48"/>
    </row>
    <row r="722" spans="1:1" ht="22.5" customHeight="1">
      <c r="A722" s="48"/>
    </row>
    <row r="723" spans="1:1" ht="22.5" customHeight="1">
      <c r="A723" s="48"/>
    </row>
    <row r="724" spans="1:1" ht="22.5" customHeight="1">
      <c r="A724" s="48"/>
    </row>
    <row r="725" spans="1:1" ht="22.5" customHeight="1">
      <c r="A725" s="48"/>
    </row>
    <row r="726" spans="1:1" ht="22.5" customHeight="1">
      <c r="A726" s="48"/>
    </row>
    <row r="727" spans="1:1" ht="22.5" customHeight="1">
      <c r="A727" s="48"/>
    </row>
    <row r="728" spans="1:1" ht="22.5" customHeight="1">
      <c r="A728" s="48"/>
    </row>
    <row r="729" spans="1:1" ht="22.5" customHeight="1">
      <c r="A729" s="48"/>
    </row>
    <row r="730" spans="1:1" ht="22.5" customHeight="1">
      <c r="A730" s="48"/>
    </row>
    <row r="731" spans="1:1" ht="22.5" customHeight="1">
      <c r="A731" s="48"/>
    </row>
    <row r="732" spans="1:1" ht="22.5" customHeight="1">
      <c r="A732" s="48"/>
    </row>
    <row r="733" spans="1:1" ht="22.5" customHeight="1">
      <c r="A733" s="48"/>
    </row>
    <row r="734" spans="1:1" ht="22.5" customHeight="1">
      <c r="A734" s="48"/>
    </row>
    <row r="735" spans="1:1" ht="22.5" customHeight="1">
      <c r="A735" s="48"/>
    </row>
    <row r="736" spans="1:1" ht="22.5" customHeight="1">
      <c r="A736" s="48"/>
    </row>
    <row r="737" spans="1:1" ht="22.5" customHeight="1">
      <c r="A737" s="48"/>
    </row>
    <row r="738" spans="1:1" ht="22.5" customHeight="1">
      <c r="A738" s="48"/>
    </row>
    <row r="739" spans="1:1" ht="22.5" customHeight="1">
      <c r="A739" s="48"/>
    </row>
    <row r="740" spans="1:1" ht="22.5" customHeight="1">
      <c r="A740" s="48"/>
    </row>
    <row r="741" spans="1:1" ht="22.5" customHeight="1">
      <c r="A741" s="48"/>
    </row>
    <row r="742" spans="1:1" ht="22.5" customHeight="1">
      <c r="A742" s="48"/>
    </row>
    <row r="743" spans="1:1" ht="22.5" customHeight="1">
      <c r="A743" s="48"/>
    </row>
    <row r="744" spans="1:1" ht="22.5" customHeight="1">
      <c r="A744" s="48"/>
    </row>
    <row r="745" spans="1:1" ht="22.5" customHeight="1">
      <c r="A745" s="48"/>
    </row>
    <row r="746" spans="1:1" ht="22.5" customHeight="1">
      <c r="A746" s="48"/>
    </row>
    <row r="747" spans="1:1" ht="22.5" customHeight="1">
      <c r="A747" s="48"/>
    </row>
    <row r="748" spans="1:1" ht="22.5" customHeight="1">
      <c r="A748" s="48"/>
    </row>
    <row r="749" spans="1:1" ht="22.5" customHeight="1">
      <c r="A749" s="48"/>
    </row>
    <row r="750" spans="1:1" ht="22.5" customHeight="1">
      <c r="A750" s="48"/>
    </row>
    <row r="751" spans="1:1" ht="22.5" customHeight="1">
      <c r="A751" s="48"/>
    </row>
    <row r="752" spans="1:1" ht="22.5" customHeight="1">
      <c r="A752" s="48"/>
    </row>
    <row r="753" spans="1:1" ht="22.5" customHeight="1">
      <c r="A753" s="48"/>
    </row>
    <row r="754" spans="1:1" ht="22.5" customHeight="1">
      <c r="A754" s="48"/>
    </row>
    <row r="755" spans="1:1" ht="22.5" customHeight="1">
      <c r="A755" s="48"/>
    </row>
    <row r="756" spans="1:1" ht="22.5" customHeight="1">
      <c r="A756" s="48"/>
    </row>
    <row r="757" spans="1:1" ht="22.5" customHeight="1">
      <c r="A757" s="48"/>
    </row>
    <row r="758" spans="1:1" ht="22.5" customHeight="1">
      <c r="A758" s="48"/>
    </row>
    <row r="759" spans="1:1" ht="22.5" customHeight="1">
      <c r="A759" s="48"/>
    </row>
    <row r="760" spans="1:1" ht="22.5" customHeight="1">
      <c r="A760" s="48"/>
    </row>
    <row r="761" spans="1:1" ht="22.5" customHeight="1">
      <c r="A761" s="48"/>
    </row>
    <row r="762" spans="1:1" ht="22.5" customHeight="1">
      <c r="A762" s="48"/>
    </row>
    <row r="763" spans="1:1" ht="22.5" customHeight="1">
      <c r="A763" s="48"/>
    </row>
    <row r="764" spans="1:1" ht="22.5" customHeight="1">
      <c r="A764" s="48"/>
    </row>
    <row r="765" spans="1:1" ht="22.5" customHeight="1">
      <c r="A765" s="48"/>
    </row>
    <row r="766" spans="1:1" ht="22.5" customHeight="1">
      <c r="A766" s="48"/>
    </row>
    <row r="767" spans="1:1" ht="22.5" customHeight="1">
      <c r="A767" s="48"/>
    </row>
    <row r="768" spans="1:1" ht="22.5" customHeight="1">
      <c r="A768" s="48"/>
    </row>
    <row r="769" spans="1:1" ht="22.5" customHeight="1">
      <c r="A769" s="48"/>
    </row>
    <row r="770" spans="1:1" ht="22.5" customHeight="1">
      <c r="A770" s="48"/>
    </row>
    <row r="771" spans="1:1" ht="22.5" customHeight="1">
      <c r="A771" s="48"/>
    </row>
    <row r="772" spans="1:1" ht="22.5" customHeight="1">
      <c r="A772" s="48"/>
    </row>
    <row r="773" spans="1:1" ht="22.5" customHeight="1">
      <c r="A773" s="48"/>
    </row>
    <row r="774" spans="1:1" ht="22.5" customHeight="1">
      <c r="A774" s="48"/>
    </row>
    <row r="775" spans="1:1" ht="22.5" customHeight="1">
      <c r="A775" s="48"/>
    </row>
    <row r="776" spans="1:1" ht="22.5" customHeight="1">
      <c r="A776" s="48"/>
    </row>
    <row r="777" spans="1:1" ht="22.5" customHeight="1">
      <c r="A777" s="48"/>
    </row>
    <row r="778" spans="1:1" ht="22.5" customHeight="1">
      <c r="A778" s="48"/>
    </row>
    <row r="779" spans="1:1" ht="22.5" customHeight="1">
      <c r="A779" s="48"/>
    </row>
    <row r="780" spans="1:1" ht="22.5" customHeight="1">
      <c r="A780" s="48"/>
    </row>
    <row r="781" spans="1:1" ht="22.5" customHeight="1">
      <c r="A781" s="48"/>
    </row>
    <row r="782" spans="1:1" ht="22.5" customHeight="1">
      <c r="A782" s="48"/>
    </row>
    <row r="783" spans="1:1" ht="22.5" customHeight="1">
      <c r="A783" s="48"/>
    </row>
    <row r="784" spans="1:1" ht="22.5" customHeight="1">
      <c r="A784" s="48"/>
    </row>
    <row r="785" spans="1:1" ht="22.5" customHeight="1">
      <c r="A785" s="48"/>
    </row>
    <row r="786" spans="1:1" ht="22.5" customHeight="1">
      <c r="A786" s="48"/>
    </row>
    <row r="787" spans="1:1" ht="22.5" customHeight="1">
      <c r="A787" s="48"/>
    </row>
    <row r="788" spans="1:1" ht="22.5" customHeight="1">
      <c r="A788" s="48"/>
    </row>
    <row r="789" spans="1:1" ht="22.5" customHeight="1">
      <c r="A789" s="48"/>
    </row>
    <row r="790" spans="1:1" ht="22.5" customHeight="1">
      <c r="A790" s="48"/>
    </row>
    <row r="791" spans="1:1" ht="22.5" customHeight="1">
      <c r="A791" s="48"/>
    </row>
    <row r="792" spans="1:1" ht="22.5" customHeight="1">
      <c r="A792" s="48"/>
    </row>
    <row r="793" spans="1:1" ht="22.5" customHeight="1">
      <c r="A793" s="48"/>
    </row>
    <row r="794" spans="1:1" ht="22.5" customHeight="1">
      <c r="A794" s="48"/>
    </row>
    <row r="795" spans="1:1" ht="22.5" customHeight="1">
      <c r="A795" s="48"/>
    </row>
    <row r="796" spans="1:1" ht="22.5" customHeight="1">
      <c r="A796" s="48"/>
    </row>
    <row r="797" spans="1:1" ht="22.5" customHeight="1">
      <c r="A797" s="48"/>
    </row>
    <row r="798" spans="1:1" ht="22.5" customHeight="1">
      <c r="A798" s="48"/>
    </row>
    <row r="799" spans="1:1" ht="22.5" customHeight="1">
      <c r="A799" s="48"/>
    </row>
    <row r="800" spans="1:1" ht="22.5" customHeight="1">
      <c r="A800" s="48"/>
    </row>
    <row r="801" spans="1:1" ht="22.5" customHeight="1">
      <c r="A801" s="48"/>
    </row>
    <row r="802" spans="1:1" ht="22.5" customHeight="1">
      <c r="A802" s="48"/>
    </row>
    <row r="803" spans="1:1" ht="22.5" customHeight="1">
      <c r="A803" s="48"/>
    </row>
    <row r="804" spans="1:1" ht="22.5" customHeight="1">
      <c r="A804" s="48"/>
    </row>
    <row r="805" spans="1:1" ht="22.5" customHeight="1">
      <c r="A805" s="48"/>
    </row>
    <row r="806" spans="1:1" ht="22.5" customHeight="1">
      <c r="A806" s="48"/>
    </row>
    <row r="807" spans="1:1" ht="22.5" customHeight="1">
      <c r="A807" s="48"/>
    </row>
    <row r="808" spans="1:1" ht="22.5" customHeight="1">
      <c r="A808" s="48"/>
    </row>
    <row r="809" spans="1:1" ht="22.5" customHeight="1">
      <c r="A809" s="48"/>
    </row>
    <row r="810" spans="1:1" ht="22.5" customHeight="1">
      <c r="A810" s="48"/>
    </row>
    <row r="811" spans="1:1" ht="22.5" customHeight="1">
      <c r="A811" s="48"/>
    </row>
    <row r="812" spans="1:1" ht="22.5" customHeight="1">
      <c r="A812" s="48"/>
    </row>
    <row r="813" spans="1:1" ht="22.5" customHeight="1">
      <c r="A813" s="48"/>
    </row>
    <row r="814" spans="1:1" ht="22.5" customHeight="1">
      <c r="A814" s="48"/>
    </row>
    <row r="815" spans="1:1" ht="22.5" customHeight="1">
      <c r="A815" s="48"/>
    </row>
    <row r="816" spans="1:1" ht="22.5" customHeight="1">
      <c r="A816" s="48"/>
    </row>
    <row r="817" spans="1:1" ht="22.5" customHeight="1">
      <c r="A817" s="48"/>
    </row>
    <row r="818" spans="1:1" ht="22.5" customHeight="1">
      <c r="A818" s="48"/>
    </row>
    <row r="819" spans="1:1" ht="22.5" customHeight="1">
      <c r="A819" s="48"/>
    </row>
    <row r="820" spans="1:1" ht="22.5" customHeight="1">
      <c r="A820" s="48"/>
    </row>
    <row r="821" spans="1:1" ht="22.5" customHeight="1">
      <c r="A821" s="48"/>
    </row>
    <row r="822" spans="1:1" ht="22.5" customHeight="1">
      <c r="A822" s="48"/>
    </row>
    <row r="823" spans="1:1" ht="22.5" customHeight="1">
      <c r="A823" s="48"/>
    </row>
    <row r="824" spans="1:1" ht="22.5" customHeight="1">
      <c r="A824" s="48"/>
    </row>
    <row r="825" spans="1:1" ht="22.5" customHeight="1">
      <c r="A825" s="48"/>
    </row>
    <row r="826" spans="1:1" ht="22.5" customHeight="1">
      <c r="A826" s="48"/>
    </row>
    <row r="827" spans="1:1" ht="22.5" customHeight="1">
      <c r="A827" s="48"/>
    </row>
    <row r="828" spans="1:1" ht="22.5" customHeight="1">
      <c r="A828" s="48"/>
    </row>
    <row r="829" spans="1:1" ht="22.5" customHeight="1">
      <c r="A829" s="48"/>
    </row>
    <row r="830" spans="1:1" ht="22.5" customHeight="1">
      <c r="A830" s="48"/>
    </row>
    <row r="831" spans="1:1" ht="22.5" customHeight="1">
      <c r="A831" s="48"/>
    </row>
    <row r="832" spans="1:1" ht="22.5" customHeight="1">
      <c r="A832" s="48"/>
    </row>
    <row r="833" spans="1:1" ht="22.5" customHeight="1">
      <c r="A833" s="48"/>
    </row>
    <row r="834" spans="1:1" ht="22.5" customHeight="1">
      <c r="A834" s="48"/>
    </row>
    <row r="835" spans="1:1" ht="22.5" customHeight="1">
      <c r="A835" s="48"/>
    </row>
    <row r="836" spans="1:1" ht="22.5" customHeight="1">
      <c r="A836" s="48"/>
    </row>
    <row r="837" spans="1:1" ht="22.5" customHeight="1">
      <c r="A837" s="48"/>
    </row>
    <row r="838" spans="1:1" ht="22.5" customHeight="1">
      <c r="A838" s="48"/>
    </row>
    <row r="839" spans="1:1" ht="22.5" customHeight="1">
      <c r="A839" s="48"/>
    </row>
    <row r="840" spans="1:1" ht="22.5" customHeight="1">
      <c r="A840" s="48"/>
    </row>
    <row r="841" spans="1:1" ht="22.5" customHeight="1">
      <c r="A841" s="48"/>
    </row>
    <row r="842" spans="1:1" ht="22.5" customHeight="1">
      <c r="A842" s="48"/>
    </row>
    <row r="843" spans="1:1" ht="22.5" customHeight="1">
      <c r="A843" s="48"/>
    </row>
    <row r="844" spans="1:1" ht="22.5" customHeight="1">
      <c r="A844" s="48"/>
    </row>
    <row r="845" spans="1:1" ht="22.5" customHeight="1">
      <c r="A845" s="48"/>
    </row>
    <row r="846" spans="1:1" ht="22.5" customHeight="1">
      <c r="A846" s="48"/>
    </row>
    <row r="847" spans="1:1" ht="22.5" customHeight="1">
      <c r="A847" s="48"/>
    </row>
    <row r="848" spans="1:1" ht="22.5" customHeight="1">
      <c r="A848" s="48"/>
    </row>
    <row r="849" spans="1:1" ht="22.5" customHeight="1">
      <c r="A849" s="48"/>
    </row>
    <row r="850" spans="1:1" ht="22.5" customHeight="1">
      <c r="A850" s="48"/>
    </row>
    <row r="851" spans="1:1" ht="22.5" customHeight="1">
      <c r="A851" s="48"/>
    </row>
    <row r="852" spans="1:1" ht="22.5" customHeight="1">
      <c r="A852" s="48"/>
    </row>
    <row r="853" spans="1:1" ht="22.5" customHeight="1">
      <c r="A853" s="48"/>
    </row>
    <row r="854" spans="1:1" ht="22.5" customHeight="1">
      <c r="A854" s="48"/>
    </row>
    <row r="855" spans="1:1" ht="22.5" customHeight="1">
      <c r="A855" s="48"/>
    </row>
    <row r="856" spans="1:1" ht="22.5" customHeight="1">
      <c r="A856" s="48"/>
    </row>
    <row r="857" spans="1:1" ht="22.5" customHeight="1">
      <c r="A857" s="48"/>
    </row>
    <row r="858" spans="1:1" ht="22.5" customHeight="1">
      <c r="A858" s="48"/>
    </row>
    <row r="859" spans="1:1" ht="22.5" customHeight="1">
      <c r="A859" s="48"/>
    </row>
    <row r="860" spans="1:1" ht="22.5" customHeight="1">
      <c r="A860" s="48"/>
    </row>
    <row r="861" spans="1:1" ht="22.5" customHeight="1">
      <c r="A861" s="48"/>
    </row>
    <row r="862" spans="1:1" ht="22.5" customHeight="1">
      <c r="A862" s="48"/>
    </row>
    <row r="863" spans="1:1" ht="22.5" customHeight="1">
      <c r="A863" s="48"/>
    </row>
    <row r="864" spans="1:1" ht="22.5" customHeight="1">
      <c r="A864" s="48"/>
    </row>
    <row r="865" spans="1:1" ht="22.5" customHeight="1">
      <c r="A865" s="48"/>
    </row>
    <row r="866" spans="1:1" ht="22.5" customHeight="1">
      <c r="A866" s="48"/>
    </row>
    <row r="867" spans="1:1" ht="22.5" customHeight="1">
      <c r="A867" s="48"/>
    </row>
    <row r="868" spans="1:1" ht="22.5" customHeight="1">
      <c r="A868" s="48"/>
    </row>
    <row r="869" spans="1:1" ht="22.5" customHeight="1">
      <c r="A869" s="48"/>
    </row>
    <row r="870" spans="1:1" ht="22.5" customHeight="1">
      <c r="A870" s="48"/>
    </row>
    <row r="871" spans="1:1" ht="22.5" customHeight="1">
      <c r="A871" s="48"/>
    </row>
    <row r="872" spans="1:1" ht="22.5" customHeight="1">
      <c r="A872" s="48"/>
    </row>
    <row r="873" spans="1:1" ht="22.5" customHeight="1">
      <c r="A873" s="48"/>
    </row>
    <row r="874" spans="1:1" ht="22.5" customHeight="1">
      <c r="A874" s="48"/>
    </row>
    <row r="875" spans="1:1" ht="22.5" customHeight="1">
      <c r="A875" s="48"/>
    </row>
    <row r="876" spans="1:1" ht="22.5" customHeight="1">
      <c r="A876" s="48"/>
    </row>
    <row r="877" spans="1:1" ht="22.5" customHeight="1">
      <c r="A877" s="48"/>
    </row>
    <row r="878" spans="1:1" ht="22.5" customHeight="1">
      <c r="A878" s="48"/>
    </row>
    <row r="879" spans="1:1" ht="22.5" customHeight="1">
      <c r="A879" s="48"/>
    </row>
    <row r="880" spans="1:1" ht="22.5" customHeight="1">
      <c r="A880" s="48"/>
    </row>
    <row r="881" spans="1:1" ht="22.5" customHeight="1">
      <c r="A881" s="48"/>
    </row>
    <row r="882" spans="1:1" ht="22.5" customHeight="1">
      <c r="A882" s="48"/>
    </row>
    <row r="883" spans="1:1" ht="22.5" customHeight="1">
      <c r="A883" s="48"/>
    </row>
    <row r="884" spans="1:1" ht="22.5" customHeight="1">
      <c r="A884" s="48"/>
    </row>
    <row r="885" spans="1:1" ht="22.5" customHeight="1">
      <c r="A885" s="48"/>
    </row>
    <row r="886" spans="1:1" ht="22.5" customHeight="1">
      <c r="A886" s="48"/>
    </row>
    <row r="887" spans="1:1" ht="22.5" customHeight="1">
      <c r="A887" s="48"/>
    </row>
    <row r="888" spans="1:1" ht="22.5" customHeight="1">
      <c r="A888" s="48"/>
    </row>
    <row r="889" spans="1:1" ht="22.5" customHeight="1">
      <c r="A889" s="48"/>
    </row>
    <row r="890" spans="1:1" ht="22.5" customHeight="1">
      <c r="A890" s="48"/>
    </row>
    <row r="891" spans="1:1" ht="22.5" customHeight="1">
      <c r="A891" s="48"/>
    </row>
    <row r="892" spans="1:1" ht="22.5" customHeight="1">
      <c r="A892" s="48"/>
    </row>
    <row r="893" spans="1:1" ht="22.5" customHeight="1">
      <c r="A893" s="48"/>
    </row>
    <row r="894" spans="1:1" ht="22.5" customHeight="1">
      <c r="A894" s="48"/>
    </row>
    <row r="895" spans="1:1" ht="22.5" customHeight="1">
      <c r="A895" s="48"/>
    </row>
    <row r="896" spans="1:1" ht="22.5" customHeight="1">
      <c r="A896" s="48"/>
    </row>
    <row r="897" spans="1:1" ht="22.5" customHeight="1">
      <c r="A897" s="48"/>
    </row>
    <row r="898" spans="1:1" ht="22.5" customHeight="1">
      <c r="A898" s="48"/>
    </row>
    <row r="899" spans="1:1" ht="22.5" customHeight="1">
      <c r="A899" s="48"/>
    </row>
    <row r="900" spans="1:1" ht="22.5" customHeight="1">
      <c r="A900" s="48"/>
    </row>
    <row r="901" spans="1:1" ht="22.5" customHeight="1">
      <c r="A901" s="48"/>
    </row>
    <row r="902" spans="1:1" ht="22.5" customHeight="1">
      <c r="A902" s="48"/>
    </row>
    <row r="903" spans="1:1" ht="22.5" customHeight="1">
      <c r="A903" s="48"/>
    </row>
    <row r="904" spans="1:1" ht="22.5" customHeight="1">
      <c r="A904" s="48"/>
    </row>
    <row r="905" spans="1:1" ht="22.5" customHeight="1">
      <c r="A905" s="48"/>
    </row>
    <row r="906" spans="1:1" ht="22.5" customHeight="1">
      <c r="A906" s="48"/>
    </row>
    <row r="907" spans="1:1" ht="22.5" customHeight="1">
      <c r="A907" s="48"/>
    </row>
    <row r="908" spans="1:1" ht="22.5" customHeight="1">
      <c r="A908" s="48"/>
    </row>
    <row r="909" spans="1:1" ht="22.5" customHeight="1">
      <c r="A909" s="48"/>
    </row>
    <row r="910" spans="1:1" ht="22.5" customHeight="1">
      <c r="A910" s="48"/>
    </row>
    <row r="911" spans="1:1" ht="22.5" customHeight="1">
      <c r="A911" s="48"/>
    </row>
    <row r="912" spans="1:1" ht="22.5" customHeight="1">
      <c r="A912" s="48"/>
    </row>
    <row r="913" spans="1:1" ht="22.5" customHeight="1">
      <c r="A913" s="48"/>
    </row>
    <row r="914" spans="1:1" ht="22.5" customHeight="1">
      <c r="A914" s="48"/>
    </row>
    <row r="915" spans="1:1" ht="22.5" customHeight="1">
      <c r="A915" s="48"/>
    </row>
    <row r="916" spans="1:1" ht="22.5" customHeight="1">
      <c r="A916" s="48"/>
    </row>
    <row r="917" spans="1:1" ht="22.5" customHeight="1">
      <c r="A917" s="48"/>
    </row>
    <row r="918" spans="1:1" ht="22.5" customHeight="1">
      <c r="A918" s="48"/>
    </row>
    <row r="919" spans="1:1" ht="22.5" customHeight="1">
      <c r="A919" s="48"/>
    </row>
    <row r="920" spans="1:1" ht="22.5" customHeight="1">
      <c r="A920" s="48"/>
    </row>
    <row r="921" spans="1:1" ht="22.5" customHeight="1">
      <c r="A921" s="48"/>
    </row>
    <row r="922" spans="1:1" ht="22.5" customHeight="1">
      <c r="A922" s="48"/>
    </row>
    <row r="923" spans="1:1" ht="22.5" customHeight="1">
      <c r="A923" s="48"/>
    </row>
    <row r="924" spans="1:1" ht="22.5" customHeight="1">
      <c r="A924" s="48"/>
    </row>
    <row r="925" spans="1:1" ht="22.5" customHeight="1">
      <c r="A925" s="48"/>
    </row>
    <row r="926" spans="1:1" ht="22.5" customHeight="1">
      <c r="A926" s="48"/>
    </row>
    <row r="927" spans="1:1" ht="22.5" customHeight="1">
      <c r="A927" s="48"/>
    </row>
    <row r="928" spans="1:1" ht="22.5" customHeight="1">
      <c r="A928" s="48"/>
    </row>
    <row r="929" spans="1:1" ht="22.5" customHeight="1">
      <c r="A929" s="48"/>
    </row>
    <row r="930" spans="1:1" ht="22.5" customHeight="1">
      <c r="A930" s="48"/>
    </row>
    <row r="931" spans="1:1" ht="22.5" customHeight="1">
      <c r="A931" s="48"/>
    </row>
    <row r="932" spans="1:1" ht="22.5" customHeight="1">
      <c r="A932" s="48"/>
    </row>
    <row r="933" spans="1:1" ht="22.5" customHeight="1">
      <c r="A933" s="48"/>
    </row>
    <row r="934" spans="1:1" ht="22.5" customHeight="1">
      <c r="A934" s="48"/>
    </row>
    <row r="935" spans="1:1" ht="22.5" customHeight="1">
      <c r="A935" s="48"/>
    </row>
    <row r="936" spans="1:1" ht="22.5" customHeight="1">
      <c r="A936" s="48"/>
    </row>
    <row r="937" spans="1:1" ht="22.5" customHeight="1">
      <c r="A937" s="48"/>
    </row>
    <row r="938" spans="1:1" ht="22.5" customHeight="1">
      <c r="A938" s="48"/>
    </row>
    <row r="939" spans="1:1" ht="22.5" customHeight="1">
      <c r="A939" s="48"/>
    </row>
    <row r="940" spans="1:1" ht="22.5" customHeight="1">
      <c r="A940" s="48"/>
    </row>
    <row r="941" spans="1:1" ht="22.5" customHeight="1">
      <c r="A941" s="48"/>
    </row>
    <row r="942" spans="1:1" ht="22.5" customHeight="1">
      <c r="A942" s="48"/>
    </row>
    <row r="943" spans="1:1" ht="22.5" customHeight="1">
      <c r="A943" s="48"/>
    </row>
    <row r="944" spans="1:1" ht="22.5" customHeight="1">
      <c r="A944" s="48"/>
    </row>
    <row r="945" spans="1:1" ht="22.5" customHeight="1">
      <c r="A945" s="48"/>
    </row>
    <row r="946" spans="1:1" ht="22.5" customHeight="1">
      <c r="A946" s="48"/>
    </row>
    <row r="947" spans="1:1" ht="22.5" customHeight="1">
      <c r="A947" s="48"/>
    </row>
    <row r="948" spans="1:1" ht="22.5" customHeight="1">
      <c r="A948" s="48"/>
    </row>
    <row r="949" spans="1:1" ht="22.5" customHeight="1">
      <c r="A949" s="48"/>
    </row>
    <row r="950" spans="1:1" ht="22.5" customHeight="1">
      <c r="A950" s="48"/>
    </row>
    <row r="951" spans="1:1" ht="22.5" customHeight="1">
      <c r="A951" s="48"/>
    </row>
    <row r="952" spans="1:1" ht="22.5" customHeight="1">
      <c r="A952" s="48"/>
    </row>
    <row r="953" spans="1:1" ht="22.5" customHeight="1">
      <c r="A953" s="48"/>
    </row>
    <row r="954" spans="1:1" ht="22.5" customHeight="1">
      <c r="A954" s="48"/>
    </row>
    <row r="955" spans="1:1" ht="22.5" customHeight="1">
      <c r="A955" s="48"/>
    </row>
    <row r="956" spans="1:1" ht="22.5" customHeight="1">
      <c r="A956" s="48"/>
    </row>
    <row r="957" spans="1:1" ht="22.5" customHeight="1">
      <c r="A957" s="48"/>
    </row>
    <row r="958" spans="1:1" ht="22.5" customHeight="1">
      <c r="A958" s="48"/>
    </row>
    <row r="959" spans="1:1" ht="22.5" customHeight="1">
      <c r="A959" s="48"/>
    </row>
    <row r="960" spans="1:1" ht="22.5" customHeight="1">
      <c r="A960" s="48"/>
    </row>
    <row r="961" spans="1:1" ht="22.5" customHeight="1">
      <c r="A961" s="48"/>
    </row>
    <row r="962" spans="1:1" ht="22.5" customHeight="1">
      <c r="A962" s="48"/>
    </row>
    <row r="963" spans="1:1" ht="22.5" customHeight="1">
      <c r="A963" s="48"/>
    </row>
    <row r="964" spans="1:1" ht="22.5" customHeight="1">
      <c r="A964" s="48"/>
    </row>
    <row r="965" spans="1:1" ht="22.5" customHeight="1">
      <c r="A965" s="48"/>
    </row>
    <row r="966" spans="1:1" ht="22.5" customHeight="1">
      <c r="A966" s="48"/>
    </row>
    <row r="967" spans="1:1" ht="22.5" customHeight="1">
      <c r="A967" s="48"/>
    </row>
    <row r="968" spans="1:1" ht="22.5" customHeight="1">
      <c r="A968" s="48"/>
    </row>
    <row r="969" spans="1:1" ht="22.5" customHeight="1">
      <c r="A969" s="48"/>
    </row>
    <row r="970" spans="1:1" ht="22.5" customHeight="1">
      <c r="A970" s="48"/>
    </row>
    <row r="971" spans="1:1" ht="22.5" customHeight="1">
      <c r="A971" s="48"/>
    </row>
    <row r="972" spans="1:1" ht="22.5" customHeight="1">
      <c r="A972" s="48"/>
    </row>
    <row r="973" spans="1:1" ht="22.5" customHeight="1">
      <c r="A973" s="48"/>
    </row>
    <row r="974" spans="1:1" ht="22.5" customHeight="1">
      <c r="A974" s="48"/>
    </row>
    <row r="975" spans="1:1" ht="22.5" customHeight="1">
      <c r="A975" s="48"/>
    </row>
    <row r="976" spans="1:1" ht="22.5" customHeight="1">
      <c r="A976" s="48"/>
    </row>
    <row r="977" spans="1:1" ht="22.5" customHeight="1">
      <c r="A977" s="48"/>
    </row>
    <row r="978" spans="1:1" ht="22.5" customHeight="1">
      <c r="A978" s="48"/>
    </row>
    <row r="979" spans="1:1" ht="22.5" customHeight="1">
      <c r="A979" s="48"/>
    </row>
    <row r="980" spans="1:1" ht="22.5" customHeight="1">
      <c r="A980" s="48"/>
    </row>
    <row r="981" spans="1:1" ht="22.5" customHeight="1">
      <c r="A981" s="48"/>
    </row>
    <row r="982" spans="1:1" ht="22.5" customHeight="1">
      <c r="A982" s="48"/>
    </row>
    <row r="983" spans="1:1" ht="22.5" customHeight="1">
      <c r="A983" s="48"/>
    </row>
    <row r="984" spans="1:1" ht="22.5" customHeight="1">
      <c r="A984" s="48"/>
    </row>
    <row r="985" spans="1:1" ht="22.5" customHeight="1">
      <c r="A985" s="48"/>
    </row>
    <row r="986" spans="1:1" ht="22.5" customHeight="1">
      <c r="A986" s="48"/>
    </row>
    <row r="987" spans="1:1" ht="22.5" customHeight="1">
      <c r="A987" s="48"/>
    </row>
    <row r="988" spans="1:1" ht="22.5" customHeight="1">
      <c r="A988" s="48"/>
    </row>
    <row r="989" spans="1:1" ht="22.5" customHeight="1">
      <c r="A989" s="48"/>
    </row>
    <row r="990" spans="1:1" ht="22.5" customHeight="1">
      <c r="A990" s="48"/>
    </row>
    <row r="991" spans="1:1" ht="22.5" customHeight="1">
      <c r="A991" s="48"/>
    </row>
    <row r="992" spans="1:1" ht="22.5" customHeight="1">
      <c r="A992" s="48"/>
    </row>
    <row r="993" spans="1:1" ht="22.5" customHeight="1">
      <c r="A993" s="48"/>
    </row>
    <row r="994" spans="1:1" ht="22.5" customHeight="1">
      <c r="A994" s="48"/>
    </row>
    <row r="995" spans="1:1" ht="22.5" customHeight="1">
      <c r="A995" s="48"/>
    </row>
    <row r="996" spans="1:1" ht="22.5" customHeight="1">
      <c r="A996" s="48"/>
    </row>
    <row r="997" spans="1:1" ht="22.5" customHeight="1">
      <c r="A997" s="48"/>
    </row>
    <row r="998" spans="1:1" ht="22.5" customHeight="1">
      <c r="A998" s="48"/>
    </row>
    <row r="999" spans="1:1" ht="22.5" customHeight="1">
      <c r="A999" s="48"/>
    </row>
  </sheetData>
  <hyperlinks>
    <hyperlink ref="A1" r:id="rId1" xr:uid="{00000000-0004-0000-0400-000000000000}"/>
    <hyperlink ref="B1" r:id="rId2" xr:uid="{00000000-0004-0000-0400-000001000000}"/>
    <hyperlink ref="A2" r:id="rId3" xr:uid="{00000000-0004-0000-0400-000002000000}"/>
    <hyperlink ref="B2" r:id="rId4" xr:uid="{00000000-0004-0000-0400-000003000000}"/>
    <hyperlink ref="A3" r:id="rId5" xr:uid="{00000000-0004-0000-0400-000004000000}"/>
    <hyperlink ref="B3" r:id="rId6" xr:uid="{00000000-0004-0000-0400-000005000000}"/>
    <hyperlink ref="A4" r:id="rId7" xr:uid="{00000000-0004-0000-0400-000006000000}"/>
    <hyperlink ref="B4" r:id="rId8" xr:uid="{00000000-0004-0000-0400-000007000000}"/>
    <hyperlink ref="A5" r:id="rId9" xr:uid="{00000000-0004-0000-0400-000008000000}"/>
    <hyperlink ref="B5" r:id="rId10" xr:uid="{00000000-0004-0000-0400-000009000000}"/>
    <hyperlink ref="A6" r:id="rId11" xr:uid="{00000000-0004-0000-0400-00000A000000}"/>
    <hyperlink ref="B6" r:id="rId12" xr:uid="{00000000-0004-0000-0400-00000B000000}"/>
    <hyperlink ref="A7" r:id="rId13" xr:uid="{00000000-0004-0000-0400-00000C000000}"/>
    <hyperlink ref="B7" r:id="rId14" xr:uid="{00000000-0004-0000-0400-00000D000000}"/>
    <hyperlink ref="A8" r:id="rId15" xr:uid="{00000000-0004-0000-0400-00000E000000}"/>
    <hyperlink ref="B8" r:id="rId16" xr:uid="{00000000-0004-0000-0400-00000F000000}"/>
    <hyperlink ref="A9" r:id="rId17" xr:uid="{00000000-0004-0000-0400-000010000000}"/>
    <hyperlink ref="B9" r:id="rId18" xr:uid="{00000000-0004-0000-0400-000011000000}"/>
    <hyperlink ref="A10" r:id="rId19" xr:uid="{00000000-0004-0000-0400-000012000000}"/>
    <hyperlink ref="B10" r:id="rId20" xr:uid="{00000000-0004-0000-0400-000013000000}"/>
    <hyperlink ref="B11" r:id="rId21" xr:uid="{00000000-0004-0000-0400-000014000000}"/>
    <hyperlink ref="A12" r:id="rId22" xr:uid="{00000000-0004-0000-0400-000015000000}"/>
    <hyperlink ref="B12" r:id="rId23" xr:uid="{00000000-0004-0000-0400-000016000000}"/>
    <hyperlink ref="A13" r:id="rId24" xr:uid="{00000000-0004-0000-0400-000017000000}"/>
    <hyperlink ref="B13" r:id="rId25" xr:uid="{00000000-0004-0000-0400-000018000000}"/>
    <hyperlink ref="A14" r:id="rId26" xr:uid="{00000000-0004-0000-0400-000019000000}"/>
    <hyperlink ref="B14" r:id="rId27" xr:uid="{00000000-0004-0000-0400-00001A000000}"/>
    <hyperlink ref="A15" r:id="rId28" xr:uid="{00000000-0004-0000-0400-00001B000000}"/>
    <hyperlink ref="B15" r:id="rId29" xr:uid="{00000000-0004-0000-0400-00001C000000}"/>
    <hyperlink ref="A16" r:id="rId30" xr:uid="{00000000-0004-0000-0400-00001D000000}"/>
    <hyperlink ref="B16" r:id="rId31" xr:uid="{00000000-0004-0000-0400-00001E000000}"/>
    <hyperlink ref="A17" r:id="rId32" xr:uid="{00000000-0004-0000-0400-00001F000000}"/>
    <hyperlink ref="B17" r:id="rId33" xr:uid="{00000000-0004-0000-0400-000020000000}"/>
    <hyperlink ref="A18" r:id="rId34" xr:uid="{00000000-0004-0000-0400-000021000000}"/>
    <hyperlink ref="B18" r:id="rId35" xr:uid="{00000000-0004-0000-0400-000022000000}"/>
    <hyperlink ref="B19" r:id="rId36" xr:uid="{00000000-0004-0000-0400-000023000000}"/>
    <hyperlink ref="B20" r:id="rId37" xr:uid="{00000000-0004-0000-0400-000024000000}"/>
    <hyperlink ref="A21" r:id="rId38" xr:uid="{00000000-0004-0000-0400-000025000000}"/>
    <hyperlink ref="B21" r:id="rId39" xr:uid="{00000000-0004-0000-0400-000026000000}"/>
    <hyperlink ref="B22" r:id="rId40" xr:uid="{00000000-0004-0000-0400-000027000000}"/>
    <hyperlink ref="B23" r:id="rId41" xr:uid="{00000000-0004-0000-0400-000028000000}"/>
    <hyperlink ref="B24" r:id="rId42" xr:uid="{00000000-0004-0000-0400-000029000000}"/>
    <hyperlink ref="A25" r:id="rId43" xr:uid="{00000000-0004-0000-0400-00002A000000}"/>
    <hyperlink ref="B25" r:id="rId44" xr:uid="{00000000-0004-0000-0400-00002B000000}"/>
    <hyperlink ref="B26" r:id="rId45" xr:uid="{00000000-0004-0000-0400-00002C000000}"/>
    <hyperlink ref="B27" r:id="rId46" xr:uid="{00000000-0004-0000-0400-00002D000000}"/>
    <hyperlink ref="A28" r:id="rId47" xr:uid="{00000000-0004-0000-0400-00002E000000}"/>
    <hyperlink ref="B28" r:id="rId48" xr:uid="{00000000-0004-0000-0400-00002F000000}"/>
    <hyperlink ref="B29" r:id="rId49" xr:uid="{00000000-0004-0000-0400-000030000000}"/>
    <hyperlink ref="B30" r:id="rId50" xr:uid="{00000000-0004-0000-0400-000031000000}"/>
    <hyperlink ref="B31" r:id="rId51" xr:uid="{00000000-0004-0000-0400-000032000000}"/>
    <hyperlink ref="B32" r:id="rId52" xr:uid="{00000000-0004-0000-0400-000033000000}"/>
    <hyperlink ref="B33" r:id="rId53" xr:uid="{00000000-0004-0000-0400-000034000000}"/>
    <hyperlink ref="B34" r:id="rId54" xr:uid="{00000000-0004-0000-0400-000035000000}"/>
    <hyperlink ref="B35" r:id="rId55" xr:uid="{00000000-0004-0000-0400-000036000000}"/>
    <hyperlink ref="B36" r:id="rId56" xr:uid="{00000000-0004-0000-0400-000037000000}"/>
    <hyperlink ref="B37" r:id="rId57" xr:uid="{00000000-0004-0000-0400-000038000000}"/>
    <hyperlink ref="B38" r:id="rId58" xr:uid="{00000000-0004-0000-0400-000039000000}"/>
    <hyperlink ref="B39" r:id="rId59" xr:uid="{00000000-0004-0000-0400-00003A000000}"/>
    <hyperlink ref="B40" r:id="rId60" xr:uid="{00000000-0004-0000-0400-00003B000000}"/>
    <hyperlink ref="B41" r:id="rId61" xr:uid="{00000000-0004-0000-0400-00003C000000}"/>
    <hyperlink ref="B42" r:id="rId62" xr:uid="{00000000-0004-0000-0400-00003D000000}"/>
    <hyperlink ref="A43" r:id="rId63" xr:uid="{00000000-0004-0000-0400-00003E000000}"/>
    <hyperlink ref="B43" r:id="rId64" xr:uid="{00000000-0004-0000-0400-00003F000000}"/>
    <hyperlink ref="B44" r:id="rId65" xr:uid="{00000000-0004-0000-0400-000040000000}"/>
    <hyperlink ref="B45" r:id="rId66" xr:uid="{00000000-0004-0000-0400-000041000000}"/>
    <hyperlink ref="B46" r:id="rId67" xr:uid="{00000000-0004-0000-0400-000042000000}"/>
    <hyperlink ref="B47" r:id="rId68" xr:uid="{00000000-0004-0000-0400-000043000000}"/>
    <hyperlink ref="B48" r:id="rId69" xr:uid="{00000000-0004-0000-0400-000044000000}"/>
    <hyperlink ref="B49" r:id="rId70" xr:uid="{00000000-0004-0000-0400-000045000000}"/>
    <hyperlink ref="B50" r:id="rId71" xr:uid="{00000000-0004-0000-0400-000046000000}"/>
    <hyperlink ref="B51" r:id="rId72" xr:uid="{00000000-0004-0000-0400-000047000000}"/>
    <hyperlink ref="B52" r:id="rId73" xr:uid="{00000000-0004-0000-0400-000048000000}"/>
    <hyperlink ref="B53" r:id="rId74" xr:uid="{00000000-0004-0000-0400-000049000000}"/>
    <hyperlink ref="B54" r:id="rId75" xr:uid="{00000000-0004-0000-0400-00004A000000}"/>
    <hyperlink ref="B55" r:id="rId76" xr:uid="{00000000-0004-0000-0400-00004B000000}"/>
    <hyperlink ref="B56" r:id="rId77" xr:uid="{00000000-0004-0000-0400-00004C000000}"/>
    <hyperlink ref="A57" r:id="rId78" xr:uid="{00000000-0004-0000-0400-00004D000000}"/>
    <hyperlink ref="B57" r:id="rId79" xr:uid="{00000000-0004-0000-0400-00004E000000}"/>
    <hyperlink ref="B58" r:id="rId80" xr:uid="{00000000-0004-0000-0400-00004F000000}"/>
    <hyperlink ref="B59" r:id="rId81" xr:uid="{00000000-0004-0000-0400-000050000000}"/>
    <hyperlink ref="B60" r:id="rId82" xr:uid="{00000000-0004-0000-0400-000051000000}"/>
    <hyperlink ref="B61" r:id="rId83" xr:uid="{00000000-0004-0000-0400-000052000000}"/>
    <hyperlink ref="B62" r:id="rId84" xr:uid="{00000000-0004-0000-0400-000053000000}"/>
    <hyperlink ref="B63" r:id="rId85" xr:uid="{00000000-0004-0000-0400-000054000000}"/>
    <hyperlink ref="B64" r:id="rId86" xr:uid="{00000000-0004-0000-0400-000055000000}"/>
    <hyperlink ref="B65" r:id="rId87" xr:uid="{00000000-0004-0000-0400-000056000000}"/>
    <hyperlink ref="B66" r:id="rId88" xr:uid="{00000000-0004-0000-0400-000057000000}"/>
    <hyperlink ref="B67" r:id="rId89" xr:uid="{00000000-0004-0000-0400-000058000000}"/>
    <hyperlink ref="A68" r:id="rId90" xr:uid="{00000000-0004-0000-0400-000059000000}"/>
    <hyperlink ref="B68" r:id="rId91" xr:uid="{00000000-0004-0000-0400-00005A000000}"/>
    <hyperlink ref="B69" r:id="rId92" xr:uid="{00000000-0004-0000-0400-00005B000000}"/>
    <hyperlink ref="B70" r:id="rId93" xr:uid="{00000000-0004-0000-0400-00005C000000}"/>
    <hyperlink ref="B71" r:id="rId94" xr:uid="{00000000-0004-0000-0400-00005D000000}"/>
    <hyperlink ref="B72" r:id="rId95" xr:uid="{00000000-0004-0000-0400-00005E000000}"/>
    <hyperlink ref="B73" r:id="rId96" xr:uid="{00000000-0004-0000-0400-00005F000000}"/>
    <hyperlink ref="B74" r:id="rId97" xr:uid="{00000000-0004-0000-0400-000060000000}"/>
    <hyperlink ref="A75" r:id="rId98" xr:uid="{00000000-0004-0000-0400-000061000000}"/>
    <hyperlink ref="B75" r:id="rId99" xr:uid="{00000000-0004-0000-0400-000062000000}"/>
    <hyperlink ref="A76" r:id="rId100" xr:uid="{00000000-0004-0000-0400-000063000000}"/>
    <hyperlink ref="B76" r:id="rId101" xr:uid="{00000000-0004-0000-0400-000064000000}"/>
    <hyperlink ref="B77" r:id="rId102" xr:uid="{00000000-0004-0000-0400-000065000000}"/>
    <hyperlink ref="B78" r:id="rId103" xr:uid="{00000000-0004-0000-0400-000066000000}"/>
    <hyperlink ref="B79" r:id="rId104" xr:uid="{00000000-0004-0000-0400-000067000000}"/>
    <hyperlink ref="B80" r:id="rId105" xr:uid="{00000000-0004-0000-0400-000068000000}"/>
    <hyperlink ref="B81" r:id="rId106" xr:uid="{00000000-0004-0000-0400-000069000000}"/>
    <hyperlink ref="B82" r:id="rId107" xr:uid="{00000000-0004-0000-0400-00006A000000}"/>
    <hyperlink ref="B83" r:id="rId108" xr:uid="{00000000-0004-0000-0400-00006B000000}"/>
    <hyperlink ref="B85" r:id="rId109" xr:uid="{00000000-0004-0000-0400-00006C000000}"/>
    <hyperlink ref="B86" r:id="rId110" xr:uid="{00000000-0004-0000-0400-00006D000000}"/>
    <hyperlink ref="B87" r:id="rId111" xr:uid="{00000000-0004-0000-0400-00006E000000}"/>
    <hyperlink ref="B88" r:id="rId112" xr:uid="{00000000-0004-0000-0400-00006F000000}"/>
    <hyperlink ref="A89" r:id="rId113" xr:uid="{00000000-0004-0000-0400-000070000000}"/>
    <hyperlink ref="B89" r:id="rId114" xr:uid="{00000000-0004-0000-0400-000071000000}"/>
    <hyperlink ref="B90" r:id="rId115" xr:uid="{00000000-0004-0000-0400-000072000000}"/>
    <hyperlink ref="A91" r:id="rId116" xr:uid="{00000000-0004-0000-0400-000073000000}"/>
    <hyperlink ref="B91" r:id="rId117" xr:uid="{00000000-0004-0000-0400-000074000000}"/>
    <hyperlink ref="B92" r:id="rId118" xr:uid="{00000000-0004-0000-0400-000075000000}"/>
    <hyperlink ref="B93" r:id="rId119" xr:uid="{00000000-0004-0000-0400-000076000000}"/>
    <hyperlink ref="B94" r:id="rId120" xr:uid="{00000000-0004-0000-0400-000077000000}"/>
    <hyperlink ref="A95" r:id="rId121" xr:uid="{00000000-0004-0000-0400-000078000000}"/>
    <hyperlink ref="B95" r:id="rId122" xr:uid="{00000000-0004-0000-0400-000079000000}"/>
    <hyperlink ref="B96" r:id="rId123" xr:uid="{00000000-0004-0000-0400-00007A000000}"/>
    <hyperlink ref="B97" r:id="rId124" xr:uid="{00000000-0004-0000-0400-00007B000000}"/>
    <hyperlink ref="B98" r:id="rId125" xr:uid="{00000000-0004-0000-0400-00007C000000}"/>
    <hyperlink ref="B99" r:id="rId126" xr:uid="{00000000-0004-0000-0400-00007D000000}"/>
    <hyperlink ref="B100" r:id="rId127" xr:uid="{00000000-0004-0000-0400-00007E000000}"/>
    <hyperlink ref="B101" r:id="rId128" xr:uid="{00000000-0004-0000-0400-00007F000000}"/>
    <hyperlink ref="B102" r:id="rId129" xr:uid="{00000000-0004-0000-0400-000080000000}"/>
    <hyperlink ref="B103" r:id="rId130" xr:uid="{00000000-0004-0000-0400-000081000000}"/>
    <hyperlink ref="B104" r:id="rId131" xr:uid="{00000000-0004-0000-0400-000082000000}"/>
    <hyperlink ref="B105" r:id="rId132" xr:uid="{00000000-0004-0000-0400-000083000000}"/>
    <hyperlink ref="B106" r:id="rId133" xr:uid="{00000000-0004-0000-0400-000084000000}"/>
    <hyperlink ref="B107" r:id="rId134" xr:uid="{00000000-0004-0000-0400-000085000000}"/>
    <hyperlink ref="B108" r:id="rId135" xr:uid="{00000000-0004-0000-0400-000086000000}"/>
    <hyperlink ref="B109" r:id="rId136" xr:uid="{00000000-0004-0000-0400-000087000000}"/>
    <hyperlink ref="B110" r:id="rId137" xr:uid="{00000000-0004-0000-0400-000088000000}"/>
    <hyperlink ref="B111" r:id="rId138" xr:uid="{00000000-0004-0000-0400-000089000000}"/>
    <hyperlink ref="B112" r:id="rId139" xr:uid="{00000000-0004-0000-0400-00008A000000}"/>
    <hyperlink ref="B113" r:id="rId140" xr:uid="{00000000-0004-0000-0400-00008B000000}"/>
    <hyperlink ref="B114" r:id="rId141" xr:uid="{00000000-0004-0000-0400-00008C000000}"/>
    <hyperlink ref="B115" r:id="rId142" xr:uid="{00000000-0004-0000-0400-00008D000000}"/>
    <hyperlink ref="B116" r:id="rId143" xr:uid="{00000000-0004-0000-0400-00008E000000}"/>
    <hyperlink ref="B117" r:id="rId144" xr:uid="{00000000-0004-0000-0400-00008F000000}"/>
    <hyperlink ref="B118" r:id="rId145" xr:uid="{00000000-0004-0000-0400-000090000000}"/>
    <hyperlink ref="B119" r:id="rId146" xr:uid="{00000000-0004-0000-0400-000091000000}"/>
    <hyperlink ref="B120" r:id="rId147" xr:uid="{00000000-0004-0000-0400-000092000000}"/>
    <hyperlink ref="B121" r:id="rId148" xr:uid="{00000000-0004-0000-0400-000093000000}"/>
    <hyperlink ref="B122" r:id="rId149" xr:uid="{00000000-0004-0000-0400-000094000000}"/>
    <hyperlink ref="B123" r:id="rId150" xr:uid="{00000000-0004-0000-0400-000095000000}"/>
    <hyperlink ref="B124" r:id="rId151" xr:uid="{00000000-0004-0000-0400-000096000000}"/>
    <hyperlink ref="B125" r:id="rId152" xr:uid="{00000000-0004-0000-0400-000097000000}"/>
    <hyperlink ref="B126" r:id="rId153" xr:uid="{00000000-0004-0000-0400-000098000000}"/>
    <hyperlink ref="B127" r:id="rId154" xr:uid="{00000000-0004-0000-0400-000099000000}"/>
    <hyperlink ref="B128" r:id="rId155" xr:uid="{00000000-0004-0000-0400-00009A000000}"/>
    <hyperlink ref="B129" r:id="rId156" xr:uid="{00000000-0004-0000-0400-00009B000000}"/>
    <hyperlink ref="B130" r:id="rId157" xr:uid="{00000000-0004-0000-0400-00009C000000}"/>
    <hyperlink ref="B131" r:id="rId158" xr:uid="{00000000-0004-0000-0400-00009D000000}"/>
    <hyperlink ref="B132" r:id="rId159" xr:uid="{00000000-0004-0000-0400-00009E000000}"/>
    <hyperlink ref="B133" r:id="rId160" xr:uid="{00000000-0004-0000-0400-00009F000000}"/>
    <hyperlink ref="B134" r:id="rId161" xr:uid="{00000000-0004-0000-0400-0000A0000000}"/>
    <hyperlink ref="B135" r:id="rId162" xr:uid="{00000000-0004-0000-0400-0000A1000000}"/>
    <hyperlink ref="B136" r:id="rId163" xr:uid="{00000000-0004-0000-0400-0000A2000000}"/>
    <hyperlink ref="B137" r:id="rId164" xr:uid="{00000000-0004-0000-0400-0000A3000000}"/>
    <hyperlink ref="B138" r:id="rId165" xr:uid="{00000000-0004-0000-0400-0000A4000000}"/>
    <hyperlink ref="B139" r:id="rId166" xr:uid="{00000000-0004-0000-0400-0000A5000000}"/>
    <hyperlink ref="B140" r:id="rId167" xr:uid="{00000000-0004-0000-0400-0000A6000000}"/>
    <hyperlink ref="B141" r:id="rId168" xr:uid="{00000000-0004-0000-0400-0000A7000000}"/>
    <hyperlink ref="B142" r:id="rId169" xr:uid="{00000000-0004-0000-0400-0000A8000000}"/>
    <hyperlink ref="B143" r:id="rId170" xr:uid="{00000000-0004-0000-0400-0000A9000000}"/>
    <hyperlink ref="B144" r:id="rId171" xr:uid="{00000000-0004-0000-0400-0000AA000000}"/>
    <hyperlink ref="B145" r:id="rId172" xr:uid="{00000000-0004-0000-0400-0000AB000000}"/>
    <hyperlink ref="B146" r:id="rId173" xr:uid="{00000000-0004-0000-0400-0000AC000000}"/>
    <hyperlink ref="B147" r:id="rId174" xr:uid="{00000000-0004-0000-0400-0000AD000000}"/>
    <hyperlink ref="B148" r:id="rId175" xr:uid="{00000000-0004-0000-0400-0000AE000000}"/>
    <hyperlink ref="B149" r:id="rId176" xr:uid="{00000000-0004-0000-0400-0000AF000000}"/>
    <hyperlink ref="B150" r:id="rId177" xr:uid="{00000000-0004-0000-0400-0000B0000000}"/>
    <hyperlink ref="B151" r:id="rId178" xr:uid="{00000000-0004-0000-0400-0000B1000000}"/>
    <hyperlink ref="B152" r:id="rId179" xr:uid="{00000000-0004-0000-0400-0000B2000000}"/>
    <hyperlink ref="B153" r:id="rId180" xr:uid="{00000000-0004-0000-0400-0000B3000000}"/>
    <hyperlink ref="B154" r:id="rId181" xr:uid="{00000000-0004-0000-0400-0000B4000000}"/>
    <hyperlink ref="B155" r:id="rId182" xr:uid="{00000000-0004-0000-0400-0000B5000000}"/>
    <hyperlink ref="B156" r:id="rId183" xr:uid="{00000000-0004-0000-0400-0000B6000000}"/>
    <hyperlink ref="B157" r:id="rId184" xr:uid="{00000000-0004-0000-0400-0000B7000000}"/>
    <hyperlink ref="B158" r:id="rId185" xr:uid="{00000000-0004-0000-0400-0000B8000000}"/>
    <hyperlink ref="B159" r:id="rId186" xr:uid="{00000000-0004-0000-0400-0000B9000000}"/>
    <hyperlink ref="B160" r:id="rId187" xr:uid="{00000000-0004-0000-0400-0000BA000000}"/>
    <hyperlink ref="B161" r:id="rId188" xr:uid="{00000000-0004-0000-0400-0000BB000000}"/>
    <hyperlink ref="B162" r:id="rId189" xr:uid="{00000000-0004-0000-0400-0000BC000000}"/>
    <hyperlink ref="B163" r:id="rId190" xr:uid="{00000000-0004-0000-0400-0000BD000000}"/>
    <hyperlink ref="B164" r:id="rId191" xr:uid="{00000000-0004-0000-0400-0000BE000000}"/>
    <hyperlink ref="B165" r:id="rId192" xr:uid="{00000000-0004-0000-0400-0000BF000000}"/>
    <hyperlink ref="B166" r:id="rId193" xr:uid="{00000000-0004-0000-0400-0000C0000000}"/>
    <hyperlink ref="B167" r:id="rId194" xr:uid="{00000000-0004-0000-0400-0000C1000000}"/>
    <hyperlink ref="B168" r:id="rId195" xr:uid="{00000000-0004-0000-0400-0000C2000000}"/>
    <hyperlink ref="B169" r:id="rId196" xr:uid="{00000000-0004-0000-0400-0000C3000000}"/>
    <hyperlink ref="B170" r:id="rId197" xr:uid="{00000000-0004-0000-0400-0000C4000000}"/>
    <hyperlink ref="B171" r:id="rId198" xr:uid="{00000000-0004-0000-0400-0000C5000000}"/>
    <hyperlink ref="B172" r:id="rId199" xr:uid="{00000000-0004-0000-0400-0000C6000000}"/>
    <hyperlink ref="B173" r:id="rId200" xr:uid="{00000000-0004-0000-0400-0000C7000000}"/>
    <hyperlink ref="B174" r:id="rId201" xr:uid="{00000000-0004-0000-0400-0000C8000000}"/>
    <hyperlink ref="B175" r:id="rId202" xr:uid="{00000000-0004-0000-0400-0000C9000000}"/>
    <hyperlink ref="B176" r:id="rId203" xr:uid="{00000000-0004-0000-0400-0000CA000000}"/>
    <hyperlink ref="B177" r:id="rId204" xr:uid="{00000000-0004-0000-0400-0000CB000000}"/>
    <hyperlink ref="B178" r:id="rId205" xr:uid="{00000000-0004-0000-0400-0000CC000000}"/>
    <hyperlink ref="B179" r:id="rId206" xr:uid="{00000000-0004-0000-0400-0000CD000000}"/>
    <hyperlink ref="B180" r:id="rId207" xr:uid="{00000000-0004-0000-0400-0000CE000000}"/>
    <hyperlink ref="B181" r:id="rId208" xr:uid="{00000000-0004-0000-0400-0000CF000000}"/>
    <hyperlink ref="B182" r:id="rId209" xr:uid="{00000000-0004-0000-0400-0000D0000000}"/>
    <hyperlink ref="B183" r:id="rId210" xr:uid="{00000000-0004-0000-0400-0000D1000000}"/>
    <hyperlink ref="B184" r:id="rId211" xr:uid="{00000000-0004-0000-0400-0000D2000000}"/>
    <hyperlink ref="B185" r:id="rId212" xr:uid="{00000000-0004-0000-0400-0000D3000000}"/>
    <hyperlink ref="B186" r:id="rId213" xr:uid="{00000000-0004-0000-0400-0000D4000000}"/>
    <hyperlink ref="B187" r:id="rId214" xr:uid="{00000000-0004-0000-0400-0000D5000000}"/>
    <hyperlink ref="B188" r:id="rId215" xr:uid="{00000000-0004-0000-0400-0000D6000000}"/>
    <hyperlink ref="B189" r:id="rId216" xr:uid="{00000000-0004-0000-0400-0000D7000000}"/>
    <hyperlink ref="B190" r:id="rId217" xr:uid="{00000000-0004-0000-0400-0000D8000000}"/>
    <hyperlink ref="B191" r:id="rId218" xr:uid="{00000000-0004-0000-0400-0000D9000000}"/>
    <hyperlink ref="B192" r:id="rId219" xr:uid="{00000000-0004-0000-0400-0000DA000000}"/>
    <hyperlink ref="B193" r:id="rId220" xr:uid="{00000000-0004-0000-0400-0000DB000000}"/>
    <hyperlink ref="B194" r:id="rId221" xr:uid="{00000000-0004-0000-0400-0000DC000000}"/>
    <hyperlink ref="B195" r:id="rId222" xr:uid="{00000000-0004-0000-0400-0000DD000000}"/>
    <hyperlink ref="B196" r:id="rId223" xr:uid="{00000000-0004-0000-0400-0000DE000000}"/>
    <hyperlink ref="B197" r:id="rId224" xr:uid="{00000000-0004-0000-0400-0000DF000000}"/>
    <hyperlink ref="B198" r:id="rId225" xr:uid="{00000000-0004-0000-0400-0000E0000000}"/>
    <hyperlink ref="B199" r:id="rId226" xr:uid="{00000000-0004-0000-0400-0000E1000000}"/>
    <hyperlink ref="B200" r:id="rId227" xr:uid="{00000000-0004-0000-0400-0000E2000000}"/>
    <hyperlink ref="B201" r:id="rId228" xr:uid="{00000000-0004-0000-0400-0000E3000000}"/>
    <hyperlink ref="B202" r:id="rId229" xr:uid="{00000000-0004-0000-0400-0000E4000000}"/>
    <hyperlink ref="B203" r:id="rId230" xr:uid="{00000000-0004-0000-0400-0000E5000000}"/>
    <hyperlink ref="B204" r:id="rId231" xr:uid="{00000000-0004-0000-0400-0000E6000000}"/>
    <hyperlink ref="B205" r:id="rId232" xr:uid="{00000000-0004-0000-0400-0000E7000000}"/>
    <hyperlink ref="B206" r:id="rId233" xr:uid="{00000000-0004-0000-0400-0000E8000000}"/>
    <hyperlink ref="B207" r:id="rId234" xr:uid="{00000000-0004-0000-0400-0000E9000000}"/>
    <hyperlink ref="B208" r:id="rId235" xr:uid="{00000000-0004-0000-0400-0000EA000000}"/>
    <hyperlink ref="B209" r:id="rId236" xr:uid="{00000000-0004-0000-0400-0000EB000000}"/>
    <hyperlink ref="B210" r:id="rId237" xr:uid="{00000000-0004-0000-0400-0000EC000000}"/>
    <hyperlink ref="B211" r:id="rId238" xr:uid="{00000000-0004-0000-0400-0000ED000000}"/>
    <hyperlink ref="B212" r:id="rId239" xr:uid="{00000000-0004-0000-0400-0000EE000000}"/>
    <hyperlink ref="B213" r:id="rId240" xr:uid="{00000000-0004-0000-0400-0000EF000000}"/>
    <hyperlink ref="B214" r:id="rId241" xr:uid="{00000000-0004-0000-0400-0000F0000000}"/>
    <hyperlink ref="B215" r:id="rId242" xr:uid="{00000000-0004-0000-0400-0000F1000000}"/>
    <hyperlink ref="B216" r:id="rId243" xr:uid="{00000000-0004-0000-0400-0000F2000000}"/>
    <hyperlink ref="B217" r:id="rId244" xr:uid="{00000000-0004-0000-0400-0000F3000000}"/>
    <hyperlink ref="B218" r:id="rId245" xr:uid="{00000000-0004-0000-0400-0000F4000000}"/>
    <hyperlink ref="B219" r:id="rId246" xr:uid="{00000000-0004-0000-0400-0000F5000000}"/>
    <hyperlink ref="B220" r:id="rId247" xr:uid="{00000000-0004-0000-0400-0000F6000000}"/>
    <hyperlink ref="B221" r:id="rId248" xr:uid="{00000000-0004-0000-0400-0000F7000000}"/>
    <hyperlink ref="B222" r:id="rId249" xr:uid="{00000000-0004-0000-0400-0000F8000000}"/>
    <hyperlink ref="B223" r:id="rId250" xr:uid="{00000000-0004-0000-0400-0000F9000000}"/>
    <hyperlink ref="B224" r:id="rId251" xr:uid="{00000000-0004-0000-0400-0000FA000000}"/>
    <hyperlink ref="B225" r:id="rId252" xr:uid="{00000000-0004-0000-0400-0000FB000000}"/>
    <hyperlink ref="B226" r:id="rId253" xr:uid="{00000000-0004-0000-0400-0000FC000000}"/>
    <hyperlink ref="B227" r:id="rId254" xr:uid="{00000000-0004-0000-0400-0000FD000000}"/>
    <hyperlink ref="B228" r:id="rId255" xr:uid="{00000000-0004-0000-0400-0000FE000000}"/>
    <hyperlink ref="B229" r:id="rId256" xr:uid="{00000000-0004-0000-0400-0000FF000000}"/>
    <hyperlink ref="B230" r:id="rId257" xr:uid="{00000000-0004-0000-0400-000000010000}"/>
    <hyperlink ref="B231" r:id="rId258" xr:uid="{00000000-0004-0000-0400-000001010000}"/>
    <hyperlink ref="B232" r:id="rId259" xr:uid="{00000000-0004-0000-0400-000002010000}"/>
    <hyperlink ref="B233" r:id="rId260" xr:uid="{00000000-0004-0000-0400-000003010000}"/>
    <hyperlink ref="B234" r:id="rId261" xr:uid="{00000000-0004-0000-0400-000004010000}"/>
    <hyperlink ref="B235" r:id="rId262" xr:uid="{00000000-0004-0000-0400-000005010000}"/>
    <hyperlink ref="B236" r:id="rId263" xr:uid="{00000000-0004-0000-0400-000006010000}"/>
    <hyperlink ref="B237" r:id="rId264" xr:uid="{00000000-0004-0000-0400-000007010000}"/>
    <hyperlink ref="B238" r:id="rId265" xr:uid="{00000000-0004-0000-0400-000008010000}"/>
    <hyperlink ref="B239" r:id="rId266" xr:uid="{00000000-0004-0000-0400-000009010000}"/>
    <hyperlink ref="B240" r:id="rId267" xr:uid="{00000000-0004-0000-0400-00000A010000}"/>
    <hyperlink ref="B241" r:id="rId268" xr:uid="{00000000-0004-0000-0400-00000B010000}"/>
    <hyperlink ref="B242" r:id="rId269" xr:uid="{00000000-0004-0000-0400-00000C010000}"/>
    <hyperlink ref="B243" r:id="rId270" xr:uid="{00000000-0004-0000-0400-00000D010000}"/>
    <hyperlink ref="B244" r:id="rId271" xr:uid="{00000000-0004-0000-0400-00000E010000}"/>
    <hyperlink ref="B245" r:id="rId272" xr:uid="{00000000-0004-0000-0400-00000F010000}"/>
    <hyperlink ref="B246" r:id="rId273" xr:uid="{00000000-0004-0000-0400-000010010000}"/>
    <hyperlink ref="B247" r:id="rId274" xr:uid="{00000000-0004-0000-0400-000011010000}"/>
    <hyperlink ref="B248" r:id="rId275" xr:uid="{00000000-0004-0000-0400-000012010000}"/>
    <hyperlink ref="B249" r:id="rId276" xr:uid="{00000000-0004-0000-0400-000013010000}"/>
    <hyperlink ref="B250" r:id="rId277" xr:uid="{00000000-0004-0000-0400-000014010000}"/>
    <hyperlink ref="B251" r:id="rId278" xr:uid="{00000000-0004-0000-0400-000015010000}"/>
    <hyperlink ref="B252" r:id="rId279" xr:uid="{00000000-0004-0000-0400-000016010000}"/>
    <hyperlink ref="B253" r:id="rId280" xr:uid="{00000000-0004-0000-0400-000017010000}"/>
    <hyperlink ref="B254" r:id="rId281" xr:uid="{00000000-0004-0000-0400-000018010000}"/>
    <hyperlink ref="B255" r:id="rId282" xr:uid="{00000000-0004-0000-0400-000019010000}"/>
    <hyperlink ref="B256" r:id="rId283" xr:uid="{00000000-0004-0000-0400-00001A010000}"/>
    <hyperlink ref="B257" r:id="rId284" xr:uid="{00000000-0004-0000-0400-00001B010000}"/>
    <hyperlink ref="B258" r:id="rId285" xr:uid="{00000000-0004-0000-0400-00001C010000}"/>
    <hyperlink ref="B259" r:id="rId286" xr:uid="{00000000-0004-0000-0400-00001D010000}"/>
    <hyperlink ref="B260" r:id="rId287" xr:uid="{00000000-0004-0000-0400-00001E010000}"/>
    <hyperlink ref="B261" r:id="rId288" xr:uid="{00000000-0004-0000-0400-00001F010000}"/>
    <hyperlink ref="B262" r:id="rId289" xr:uid="{00000000-0004-0000-0400-000020010000}"/>
    <hyperlink ref="B263" r:id="rId290" xr:uid="{00000000-0004-0000-0400-000021010000}"/>
    <hyperlink ref="B264" r:id="rId291" xr:uid="{00000000-0004-0000-0400-000022010000}"/>
    <hyperlink ref="B265" r:id="rId292" xr:uid="{00000000-0004-0000-0400-000023010000}"/>
    <hyperlink ref="B266" r:id="rId293" xr:uid="{00000000-0004-0000-0400-000024010000}"/>
    <hyperlink ref="B267" r:id="rId294" xr:uid="{00000000-0004-0000-0400-000025010000}"/>
    <hyperlink ref="B268" r:id="rId295" xr:uid="{00000000-0004-0000-0400-000026010000}"/>
    <hyperlink ref="B269" r:id="rId296" xr:uid="{00000000-0004-0000-0400-000027010000}"/>
    <hyperlink ref="B270" r:id="rId297" xr:uid="{00000000-0004-0000-0400-000028010000}"/>
    <hyperlink ref="B271" r:id="rId298" xr:uid="{00000000-0004-0000-0400-000029010000}"/>
    <hyperlink ref="B272" r:id="rId299" xr:uid="{00000000-0004-0000-0400-00002A010000}"/>
    <hyperlink ref="B273" r:id="rId300" xr:uid="{00000000-0004-0000-0400-00002B010000}"/>
    <hyperlink ref="B274" r:id="rId301" xr:uid="{00000000-0004-0000-0400-00002C010000}"/>
    <hyperlink ref="B275" r:id="rId302" xr:uid="{00000000-0004-0000-0400-00002D010000}"/>
    <hyperlink ref="B276" r:id="rId303" xr:uid="{00000000-0004-0000-0400-00002E010000}"/>
    <hyperlink ref="B277" r:id="rId304" xr:uid="{00000000-0004-0000-0400-00002F010000}"/>
    <hyperlink ref="B278" r:id="rId305" xr:uid="{00000000-0004-0000-0400-000030010000}"/>
    <hyperlink ref="B279" r:id="rId306" xr:uid="{00000000-0004-0000-0400-000031010000}"/>
    <hyperlink ref="B280" r:id="rId307" xr:uid="{00000000-0004-0000-0400-000032010000}"/>
    <hyperlink ref="B281" r:id="rId308" xr:uid="{00000000-0004-0000-0400-000033010000}"/>
    <hyperlink ref="B282" r:id="rId309" xr:uid="{00000000-0004-0000-0400-000034010000}"/>
    <hyperlink ref="B283" r:id="rId310" xr:uid="{00000000-0004-0000-0400-000035010000}"/>
    <hyperlink ref="B284" r:id="rId311" xr:uid="{00000000-0004-0000-0400-000036010000}"/>
    <hyperlink ref="B285" r:id="rId312" xr:uid="{00000000-0004-0000-0400-000037010000}"/>
    <hyperlink ref="B286" r:id="rId313" xr:uid="{00000000-0004-0000-0400-000038010000}"/>
    <hyperlink ref="B287" r:id="rId314" xr:uid="{00000000-0004-0000-0400-000039010000}"/>
    <hyperlink ref="B288" r:id="rId315" xr:uid="{00000000-0004-0000-0400-00003A010000}"/>
    <hyperlink ref="B289" r:id="rId316" xr:uid="{00000000-0004-0000-0400-00003B010000}"/>
    <hyperlink ref="B290" r:id="rId317" xr:uid="{00000000-0004-0000-0400-00003C010000}"/>
    <hyperlink ref="B291" r:id="rId318" xr:uid="{00000000-0004-0000-0400-00003D010000}"/>
    <hyperlink ref="B292" r:id="rId319" xr:uid="{00000000-0004-0000-0400-00003E010000}"/>
    <hyperlink ref="B293" r:id="rId320" xr:uid="{00000000-0004-0000-0400-00003F010000}"/>
    <hyperlink ref="B294" r:id="rId321" xr:uid="{00000000-0004-0000-0400-000040010000}"/>
    <hyperlink ref="B295" r:id="rId322" xr:uid="{00000000-0004-0000-0400-000041010000}"/>
    <hyperlink ref="B296" r:id="rId323" xr:uid="{00000000-0004-0000-0400-000042010000}"/>
    <hyperlink ref="B297" r:id="rId324" xr:uid="{00000000-0004-0000-0400-000043010000}"/>
    <hyperlink ref="B298" r:id="rId325" xr:uid="{00000000-0004-0000-0400-000044010000}"/>
    <hyperlink ref="B299" r:id="rId326" xr:uid="{00000000-0004-0000-0400-000045010000}"/>
    <hyperlink ref="B300" r:id="rId327" xr:uid="{00000000-0004-0000-0400-000046010000}"/>
    <hyperlink ref="B301" r:id="rId328" xr:uid="{00000000-0004-0000-0400-000047010000}"/>
    <hyperlink ref="B302" r:id="rId329" xr:uid="{00000000-0004-0000-0400-000048010000}"/>
    <hyperlink ref="B303" r:id="rId330" xr:uid="{00000000-0004-0000-0400-000049010000}"/>
    <hyperlink ref="B304" r:id="rId331" xr:uid="{00000000-0004-0000-0400-00004A010000}"/>
    <hyperlink ref="B305" r:id="rId332" xr:uid="{00000000-0004-0000-0400-00004B010000}"/>
    <hyperlink ref="B306" r:id="rId333" xr:uid="{00000000-0004-0000-0400-00004C010000}"/>
    <hyperlink ref="B307" r:id="rId334" xr:uid="{00000000-0004-0000-0400-00004D010000}"/>
    <hyperlink ref="B308" r:id="rId335" xr:uid="{00000000-0004-0000-0400-00004E010000}"/>
    <hyperlink ref="B309" r:id="rId336" xr:uid="{00000000-0004-0000-0400-00004F010000}"/>
    <hyperlink ref="B310" r:id="rId337" xr:uid="{00000000-0004-0000-0400-000050010000}"/>
    <hyperlink ref="B311" r:id="rId338" xr:uid="{00000000-0004-0000-0400-000051010000}"/>
    <hyperlink ref="B312" r:id="rId339" xr:uid="{00000000-0004-0000-0400-000052010000}"/>
    <hyperlink ref="B313" r:id="rId340" xr:uid="{00000000-0004-0000-0400-000053010000}"/>
    <hyperlink ref="B314" r:id="rId341" xr:uid="{00000000-0004-0000-0400-000054010000}"/>
    <hyperlink ref="B315" r:id="rId342" xr:uid="{00000000-0004-0000-0400-000055010000}"/>
    <hyperlink ref="B316" r:id="rId343" xr:uid="{00000000-0004-0000-0400-000056010000}"/>
    <hyperlink ref="B317" r:id="rId344" xr:uid="{00000000-0004-0000-0400-000057010000}"/>
    <hyperlink ref="B318" r:id="rId345" xr:uid="{00000000-0004-0000-0400-000058010000}"/>
    <hyperlink ref="B319" r:id="rId346" xr:uid="{00000000-0004-0000-0400-000059010000}"/>
    <hyperlink ref="B320" r:id="rId347" xr:uid="{00000000-0004-0000-0400-00005A010000}"/>
    <hyperlink ref="B321" r:id="rId348" xr:uid="{00000000-0004-0000-0400-00005B010000}"/>
    <hyperlink ref="B322" r:id="rId349" xr:uid="{00000000-0004-0000-0400-00005C010000}"/>
    <hyperlink ref="B323" r:id="rId350" xr:uid="{00000000-0004-0000-0400-00005D010000}"/>
    <hyperlink ref="B324" r:id="rId351" xr:uid="{00000000-0004-0000-0400-00005E010000}"/>
    <hyperlink ref="B325" r:id="rId352" xr:uid="{00000000-0004-0000-0400-00005F010000}"/>
    <hyperlink ref="B326" r:id="rId353" xr:uid="{00000000-0004-0000-0400-000060010000}"/>
    <hyperlink ref="B327" r:id="rId354" xr:uid="{00000000-0004-0000-0400-000061010000}"/>
    <hyperlink ref="B328" r:id="rId355" xr:uid="{00000000-0004-0000-0400-000062010000}"/>
    <hyperlink ref="B329" r:id="rId356" xr:uid="{00000000-0004-0000-0400-000063010000}"/>
    <hyperlink ref="B330" r:id="rId357" xr:uid="{00000000-0004-0000-0400-000064010000}"/>
    <hyperlink ref="B331" r:id="rId358" xr:uid="{00000000-0004-0000-0400-000065010000}"/>
    <hyperlink ref="B332" r:id="rId359" xr:uid="{00000000-0004-0000-0400-000066010000}"/>
    <hyperlink ref="B333" r:id="rId360" xr:uid="{00000000-0004-0000-0400-000067010000}"/>
    <hyperlink ref="B334" r:id="rId361" xr:uid="{00000000-0004-0000-0400-000068010000}"/>
    <hyperlink ref="B335" r:id="rId362" xr:uid="{00000000-0004-0000-0400-000069010000}"/>
    <hyperlink ref="B336" r:id="rId363" xr:uid="{00000000-0004-0000-0400-00006A010000}"/>
    <hyperlink ref="B337" r:id="rId364" xr:uid="{00000000-0004-0000-0400-00006B010000}"/>
    <hyperlink ref="B338" r:id="rId365" xr:uid="{00000000-0004-0000-0400-00006C010000}"/>
    <hyperlink ref="B339" r:id="rId366" xr:uid="{00000000-0004-0000-0400-00006D010000}"/>
    <hyperlink ref="B340" r:id="rId367" xr:uid="{00000000-0004-0000-0400-00006E010000}"/>
    <hyperlink ref="B341" r:id="rId368" xr:uid="{00000000-0004-0000-0400-00006F010000}"/>
    <hyperlink ref="B342" r:id="rId369" xr:uid="{00000000-0004-0000-0400-000070010000}"/>
    <hyperlink ref="B343" r:id="rId370" xr:uid="{00000000-0004-0000-0400-000071010000}"/>
    <hyperlink ref="B344" r:id="rId371" xr:uid="{00000000-0004-0000-0400-000072010000}"/>
    <hyperlink ref="B345" r:id="rId372" xr:uid="{00000000-0004-0000-0400-000073010000}"/>
    <hyperlink ref="B346" r:id="rId373" xr:uid="{00000000-0004-0000-0400-000074010000}"/>
    <hyperlink ref="B347" r:id="rId374" xr:uid="{00000000-0004-0000-0400-000075010000}"/>
    <hyperlink ref="B348" r:id="rId375" xr:uid="{00000000-0004-0000-0400-000076010000}"/>
    <hyperlink ref="B349" r:id="rId376" xr:uid="{00000000-0004-0000-0400-000077010000}"/>
    <hyperlink ref="B350" r:id="rId377" xr:uid="{00000000-0004-0000-0400-000078010000}"/>
    <hyperlink ref="B351" r:id="rId378" xr:uid="{00000000-0004-0000-0400-000079010000}"/>
    <hyperlink ref="B352" r:id="rId379" xr:uid="{00000000-0004-0000-0400-00007A010000}"/>
    <hyperlink ref="B353" r:id="rId380" xr:uid="{00000000-0004-0000-0400-00007B010000}"/>
    <hyperlink ref="B354" r:id="rId381" xr:uid="{00000000-0004-0000-0400-00007C010000}"/>
    <hyperlink ref="B355" r:id="rId382" xr:uid="{00000000-0004-0000-0400-00007D010000}"/>
    <hyperlink ref="B356" r:id="rId383" xr:uid="{00000000-0004-0000-0400-00007E010000}"/>
    <hyperlink ref="B357" r:id="rId384" xr:uid="{00000000-0004-0000-0400-00007F010000}"/>
    <hyperlink ref="B358" r:id="rId385" xr:uid="{00000000-0004-0000-0400-000080010000}"/>
    <hyperlink ref="B359" r:id="rId386" xr:uid="{00000000-0004-0000-0400-000081010000}"/>
    <hyperlink ref="B360" r:id="rId387" xr:uid="{00000000-0004-0000-0400-000082010000}"/>
    <hyperlink ref="B361" r:id="rId388" xr:uid="{00000000-0004-0000-0400-000083010000}"/>
    <hyperlink ref="B362" r:id="rId389" xr:uid="{00000000-0004-0000-0400-000084010000}"/>
    <hyperlink ref="B363" r:id="rId390" xr:uid="{00000000-0004-0000-0400-000085010000}"/>
    <hyperlink ref="B364" r:id="rId391" xr:uid="{00000000-0004-0000-0400-000086010000}"/>
    <hyperlink ref="B365" r:id="rId392" xr:uid="{00000000-0004-0000-0400-000087010000}"/>
    <hyperlink ref="B366" r:id="rId393" xr:uid="{00000000-0004-0000-0400-000088010000}"/>
    <hyperlink ref="B367" r:id="rId394" xr:uid="{00000000-0004-0000-0400-000089010000}"/>
    <hyperlink ref="B368" r:id="rId395" xr:uid="{00000000-0004-0000-0400-00008A010000}"/>
    <hyperlink ref="B369" r:id="rId396" xr:uid="{00000000-0004-0000-0400-00008B010000}"/>
    <hyperlink ref="B370" r:id="rId397" xr:uid="{00000000-0004-0000-0400-00008C010000}"/>
    <hyperlink ref="B371" r:id="rId398" xr:uid="{00000000-0004-0000-0400-00008D010000}"/>
    <hyperlink ref="B372" r:id="rId399" xr:uid="{00000000-0004-0000-0400-00008E010000}"/>
    <hyperlink ref="B373" r:id="rId400" xr:uid="{00000000-0004-0000-0400-00008F010000}"/>
    <hyperlink ref="B374" r:id="rId401" xr:uid="{00000000-0004-0000-0400-000090010000}"/>
    <hyperlink ref="B375" r:id="rId402" xr:uid="{00000000-0004-0000-0400-000091010000}"/>
    <hyperlink ref="B376" r:id="rId403" xr:uid="{00000000-0004-0000-0400-000092010000}"/>
    <hyperlink ref="B377" r:id="rId404" xr:uid="{00000000-0004-0000-0400-000093010000}"/>
    <hyperlink ref="B378" r:id="rId405" xr:uid="{00000000-0004-0000-0400-000094010000}"/>
    <hyperlink ref="B379" r:id="rId406" xr:uid="{00000000-0004-0000-0400-000095010000}"/>
    <hyperlink ref="B380" r:id="rId407" xr:uid="{00000000-0004-0000-0400-000096010000}"/>
    <hyperlink ref="B381" r:id="rId408" xr:uid="{00000000-0004-0000-0400-000097010000}"/>
    <hyperlink ref="B382" r:id="rId409" xr:uid="{00000000-0004-0000-0400-000098010000}"/>
    <hyperlink ref="B383" r:id="rId410" xr:uid="{00000000-0004-0000-0400-000099010000}"/>
    <hyperlink ref="B384" r:id="rId411" xr:uid="{00000000-0004-0000-0400-00009A010000}"/>
    <hyperlink ref="B385" r:id="rId412" xr:uid="{00000000-0004-0000-0400-00009B010000}"/>
    <hyperlink ref="B386" r:id="rId413" xr:uid="{00000000-0004-0000-0400-00009C010000}"/>
    <hyperlink ref="B387" r:id="rId414" xr:uid="{00000000-0004-0000-0400-00009D010000}"/>
    <hyperlink ref="B388" r:id="rId415" xr:uid="{00000000-0004-0000-0400-00009E010000}"/>
    <hyperlink ref="B389" r:id="rId416" xr:uid="{00000000-0004-0000-0400-00009F010000}"/>
    <hyperlink ref="B390" r:id="rId417" xr:uid="{00000000-0004-0000-0400-0000A0010000}"/>
    <hyperlink ref="B391" r:id="rId418" xr:uid="{00000000-0004-0000-0400-0000A1010000}"/>
    <hyperlink ref="B392" r:id="rId419" xr:uid="{00000000-0004-0000-0400-0000A2010000}"/>
    <hyperlink ref="B393" r:id="rId420" xr:uid="{00000000-0004-0000-0400-0000A3010000}"/>
    <hyperlink ref="B394" r:id="rId421" xr:uid="{00000000-0004-0000-0400-0000A4010000}"/>
    <hyperlink ref="B395" r:id="rId422" xr:uid="{00000000-0004-0000-0400-0000A5010000}"/>
    <hyperlink ref="B396" r:id="rId423" xr:uid="{00000000-0004-0000-0400-0000A6010000}"/>
    <hyperlink ref="B397" r:id="rId424" xr:uid="{00000000-0004-0000-0400-0000A7010000}"/>
    <hyperlink ref="B398" r:id="rId425" xr:uid="{00000000-0004-0000-0400-0000A8010000}"/>
    <hyperlink ref="B399" r:id="rId426" xr:uid="{00000000-0004-0000-0400-0000A9010000}"/>
    <hyperlink ref="B400" r:id="rId427" xr:uid="{00000000-0004-0000-0400-0000AA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Q1"/>
  <sheetViews>
    <sheetView workbookViewId="0"/>
  </sheetViews>
  <sheetFormatPr baseColWidth="10" defaultColWidth="14.5" defaultRowHeight="15" customHeight="1"/>
  <sheetData>
    <row r="1" spans="1:43" ht="14.25" customHeight="1">
      <c r="A1" s="49" t="s">
        <v>1654</v>
      </c>
      <c r="B1" s="14">
        <v>2024</v>
      </c>
      <c r="C1" s="36">
        <v>183</v>
      </c>
      <c r="D1" s="16" t="str">
        <f ca="1">IFERROR(__xludf.DUMMYFUNCTION("IMPORTXML(AI1, ""//h1[@itemprop='headline']/span"")"),"183. AlphaGraphics")</f>
        <v>183. AlphaGraphics</v>
      </c>
      <c r="E1" s="17" t="str">
        <f ca="1">IFERROR(__xludf.DUMMYFUNCTION("REGEXEXTRACT(D1, ""\.\s*(.+)"")"),"AlphaGraphics")</f>
        <v>AlphaGraphics</v>
      </c>
      <c r="F1" s="18" t="str">
        <f ca="1">IFERROR(__xludf.DUMMYFUNCTION("IMPORTXML(AI1, ""//li[contains(., 'Investment Range')]"")"),"Loading...")</f>
        <v>Loading...</v>
      </c>
      <c r="G1" s="43"/>
      <c r="H1" s="18" t="str">
        <f ca="1">IFERROR(__xludf.DUMMYFUNCTION("SUBSTITUTE(REGEXEXTRACT(G1, ""\$(\d{1,3}(?:,\d{3})*)""), "","", ""."")
"),"#N/A")</f>
        <v>#N/A</v>
      </c>
      <c r="I1" s="19" t="str">
        <f ca="1">IFERROR(__xludf.DUMMYFUNCTION("SUBSTITUTE(REGEXEXTRACT(G1, ""-\s*\$(\d{1,3}(?:,\d{3})*)""), "","", ""."")
"),"#N/A")</f>
        <v>#N/A</v>
      </c>
      <c r="J1" s="19" t="str">
        <f ca="1">IFERROR(__xludf.DUMMYFUNCTION("IMPORTXML(AI1, ""//li[strong[text()='Initial Investment:']]"")"),"Loading...")</f>
        <v>Loading...</v>
      </c>
      <c r="K1" s="24"/>
      <c r="L1" s="20" t="str">
        <f ca="1">IFERROR(__xludf.DUMMYFUNCTION("IMPORTXML(AI1, ""//li[strong[text()='Category:']]"")"),"Loading...")</f>
        <v>Loading...</v>
      </c>
      <c r="M1" s="24"/>
      <c r="N1" s="19" t="str">
        <f ca="1">IFERROR(__xludf.DUMMYFUNCTION("IMPORTXML(AI1, ""//li[strong[text()='Global Sales:']]"")"),"Loading...")</f>
        <v>Loading...</v>
      </c>
      <c r="O1" s="24"/>
      <c r="P1" s="19" t="str">
        <f>SUBSTITUTE(SUBSTITUTE(O1, "$", ""), ",", ".")</f>
        <v/>
      </c>
      <c r="Q1" s="19" t="str">
        <f ca="1">IFERROR(__xludf.DUMMYFUNCTION("IMPORTXML(AI1, ""//li[strong[text()='US Units:']]"")"),"Loading...")</f>
        <v>Loading...</v>
      </c>
      <c r="R1" s="24"/>
      <c r="S1" s="19" t="str">
        <f ca="1">IFERROR(__xludf.DUMMYFUNCTION("IMPORTXML(AI1, ""//li[strong[text()='International Units:']]"")"),"Loading...")</f>
        <v>Loading...</v>
      </c>
      <c r="T1" s="44"/>
      <c r="U1" s="19" t="str">
        <f ca="1">IFERROR(__xludf.DUMMYFUNCTION("IMPORTXML(AI1, ""//li[strong[text()='Percent Franchised:']]"")"),"Loading...")</f>
        <v>Loading...</v>
      </c>
      <c r="V1" s="24"/>
      <c r="W1" s="19" t="str">
        <f ca="1">IFERROR(__xludf.DUMMYFUNCTION("IMPORTXML(AI1, ""//li[strong[text()='% International Units:']]"")"),"Loading...")</f>
        <v>Loading...</v>
      </c>
      <c r="X1" s="24"/>
      <c r="Y1" s="19" t="str">
        <f ca="1">IFERROR(__xludf.DUMMYFUNCTION("IMPORTXML(AI1, ""//li[strong[text()='US Franchised Units:']]"")"),"Loading...")</f>
        <v>Loading...</v>
      </c>
      <c r="Z1" s="24"/>
      <c r="AA1" s="14" t="str">
        <f>SUBSTITUTE(SUBSTITUTE(Z1, "$", ""), ",", ".")</f>
        <v/>
      </c>
      <c r="AB1" s="19" t="str">
        <f ca="1">IFERROR(__xludf.DUMMYFUNCTION("IMPORTXML(AI1, ""//li[strong[text()='International Franchised Units:']]"")"),"Loading...")</f>
        <v>Loading...</v>
      </c>
      <c r="AC1" s="24"/>
      <c r="AD1" s="14" t="str">
        <f>SUBSTITUTE(SUBSTITUTE(AC1, "$", ""), ",", ".")</f>
        <v/>
      </c>
      <c r="AE1" s="25" t="str">
        <f ca="1">IFERROR(__xludf.DUMMYFUNCTION("IMPORTXML(AI1, ""//li[strong[text()='Sales Growth %:']]"")"),"Loading...")</f>
        <v>Loading...</v>
      </c>
      <c r="AF1" s="24"/>
      <c r="AG1" s="25" t="str">
        <f ca="1">IFERROR(__xludf.DUMMYFUNCTION("IMPORTXML(AI1, ""//li[strong[text()='Unit Growth %:']]"")"),"Loading...")</f>
        <v>Loading...</v>
      </c>
      <c r="AH1" s="25"/>
      <c r="AI1" s="48" t="s">
        <v>195</v>
      </c>
      <c r="AJ1" s="27"/>
      <c r="AK1" s="27"/>
      <c r="AL1" s="27"/>
      <c r="AM1" s="27"/>
      <c r="AN1" s="27"/>
      <c r="AO1" s="27"/>
      <c r="AP1" s="27"/>
      <c r="AQ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400</vt:lpstr>
      <vt:lpstr>Trang tính2</vt:lpstr>
      <vt:lpstr>FDDs</vt:lpstr>
      <vt:lpstr>Trang tính3</vt:lpstr>
      <vt:lpstr>Trang tính4</vt:lpstr>
      <vt:lpstr>Nháp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 Kiên</cp:lastModifiedBy>
  <dcterms:modified xsi:type="dcterms:W3CDTF">2025-06-03T10:38:18Z</dcterms:modified>
</cp:coreProperties>
</file>