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ntomV\Documents\GitHub - Copy\Machine-Learning-Tools\Conditional Random Field\CRF\"/>
    </mc:Choice>
  </mc:AlternateContent>
  <bookViews>
    <workbookView xWindow="0" yWindow="0" windowWidth="8685" windowHeight="76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2" l="1"/>
  <c r="G44" i="2"/>
  <c r="J32" i="2"/>
  <c r="G33" i="2"/>
  <c r="A78" i="2" s="1"/>
  <c r="F73" i="2"/>
  <c r="F74" i="2"/>
  <c r="D73" i="2" s="1"/>
  <c r="B81" i="2"/>
  <c r="A82" i="2"/>
  <c r="A74" i="2" s="1"/>
  <c r="B82" i="2"/>
  <c r="B74" i="2" s="1"/>
  <c r="A81" i="2"/>
  <c r="B73" i="2"/>
  <c r="A79" i="2"/>
  <c r="B78" i="2"/>
  <c r="B79" i="2"/>
  <c r="E63" i="2"/>
  <c r="E62" i="2"/>
  <c r="E61" i="2"/>
  <c r="F67" i="2"/>
  <c r="F66" i="2"/>
  <c r="F65" i="2"/>
  <c r="E67" i="2"/>
  <c r="E66" i="2"/>
  <c r="E65" i="2"/>
  <c r="F63" i="2"/>
  <c r="F62" i="2"/>
  <c r="F61" i="2"/>
  <c r="C62" i="2"/>
  <c r="C57" i="2"/>
  <c r="C61" i="2"/>
  <c r="D53" i="2"/>
  <c r="C53" i="2"/>
  <c r="D52" i="2"/>
  <c r="C52" i="2"/>
  <c r="D51" i="2"/>
  <c r="C51" i="2"/>
  <c r="D63" i="2"/>
  <c r="D62" i="2"/>
  <c r="D61" i="2"/>
  <c r="C63" i="2"/>
  <c r="D59" i="2"/>
  <c r="D58" i="2"/>
  <c r="C59" i="2"/>
  <c r="C58" i="2"/>
  <c r="D57" i="2"/>
  <c r="B57" i="2"/>
  <c r="A57" i="2"/>
  <c r="D67" i="2"/>
  <c r="C67" i="2"/>
  <c r="D66" i="2"/>
  <c r="C66" i="2"/>
  <c r="D65" i="2"/>
  <c r="C65" i="2"/>
  <c r="B53" i="2"/>
  <c r="A53" i="2"/>
  <c r="B52" i="2"/>
  <c r="A52" i="2"/>
  <c r="B51" i="2"/>
  <c r="A51" i="2"/>
  <c r="B66" i="2"/>
  <c r="B65" i="2"/>
  <c r="B67" i="2"/>
  <c r="A65" i="2"/>
  <c r="A67" i="2"/>
  <c r="A66" i="2"/>
  <c r="B63" i="2"/>
  <c r="B62" i="2"/>
  <c r="A63" i="2"/>
  <c r="A62" i="2"/>
  <c r="B61" i="2"/>
  <c r="A61" i="2"/>
  <c r="B59" i="2"/>
  <c r="A59" i="2"/>
  <c r="B58" i="2"/>
  <c r="A58" i="2"/>
  <c r="C46" i="2"/>
  <c r="B46" i="2"/>
  <c r="C45" i="2"/>
  <c r="B45" i="2"/>
  <c r="C44" i="2"/>
  <c r="B44" i="2"/>
  <c r="H33" i="2"/>
  <c r="G34" i="2"/>
  <c r="H34" i="2"/>
  <c r="J35" i="2"/>
  <c r="J34" i="2"/>
  <c r="J33" i="2"/>
  <c r="C35" i="2"/>
  <c r="B35" i="2"/>
  <c r="C34" i="2"/>
  <c r="B34" i="2"/>
  <c r="C33" i="2"/>
  <c r="B33" i="2"/>
  <c r="G29" i="2"/>
  <c r="F29" i="2"/>
  <c r="G28" i="2"/>
  <c r="F28" i="2"/>
  <c r="G27" i="2"/>
  <c r="F27" i="2"/>
  <c r="G24" i="2"/>
  <c r="F24" i="2"/>
  <c r="G23" i="2"/>
  <c r="F23" i="2"/>
  <c r="G22" i="2"/>
  <c r="F22" i="2"/>
  <c r="C28" i="2"/>
  <c r="C27" i="2" s="1"/>
  <c r="B28" i="2"/>
  <c r="B27" i="2" s="1"/>
  <c r="B23" i="2"/>
  <c r="C29" i="2"/>
  <c r="B29" i="2"/>
  <c r="C22" i="2"/>
  <c r="B22" i="2"/>
  <c r="C24" i="2"/>
  <c r="B24" i="2"/>
  <c r="C23" i="2"/>
  <c r="F19" i="2"/>
  <c r="E19" i="2"/>
  <c r="E18" i="2"/>
  <c r="E17" i="2"/>
  <c r="F18" i="2"/>
  <c r="F17" i="2"/>
  <c r="M2" i="1"/>
  <c r="P14" i="1"/>
  <c r="N2" i="1"/>
  <c r="M3" i="1" s="1"/>
  <c r="C8" i="1"/>
  <c r="B5" i="1"/>
  <c r="B4" i="1"/>
  <c r="C1" i="1"/>
  <c r="B1" i="1"/>
  <c r="A3" i="1"/>
  <c r="J32" i="1"/>
  <c r="J31" i="1"/>
  <c r="J30" i="1"/>
  <c r="J29" i="1"/>
  <c r="J28" i="1"/>
  <c r="A1" i="1"/>
  <c r="A73" i="2" l="1"/>
  <c r="E53" i="2"/>
  <c r="F53" i="2"/>
  <c r="F52" i="2"/>
  <c r="F51" i="2"/>
  <c r="E52" i="2"/>
  <c r="E51" i="2"/>
</calcChain>
</file>

<file path=xl/sharedStrings.xml><?xml version="1.0" encoding="utf-8"?>
<sst xmlns="http://schemas.openxmlformats.org/spreadsheetml/2006/main" count="137" uniqueCount="108">
  <si>
    <t>input</t>
  </si>
  <si>
    <t>weights: [array([[ 0.00191519,  0.00622109],</t>
  </si>
  <si>
    <t xml:space="preserve">       [ 0.00437728,  0.00785359],</t>
  </si>
  <si>
    <t xml:space="preserve">       [ 0.00779976,  0.00272593]]), array([[ 0.00276464,  0.00801872],</t>
  </si>
  <si>
    <t xml:space="preserve">       [ 0.00958139,  0.00875933],</t>
  </si>
  <si>
    <t xml:space="preserve">       [ 0.00357817,  0.00500995]]), array([[ 0.00683463,  0.00712702],</t>
  </si>
  <si>
    <t xml:space="preserve">       [ 0.00370251,  0.00561196],</t>
  </si>
  <si>
    <t xml:space="preserve">       [ 0.00503083,  0.00013768]])]</t>
  </si>
  <si>
    <t>weights</t>
  </si>
  <si>
    <t>bias: [ 0.00772827  0.00882641]</t>
  </si>
  <si>
    <t>bias</t>
  </si>
  <si>
    <t>unary table [[ 0.09811171  0.11011409]</t>
  </si>
  <si>
    <t xml:space="preserve"> [ 0.16518856  0.1762931 ]</t>
  </si>
  <si>
    <t xml:space="preserve"> [ 0.12261012  0.11300072]]</t>
  </si>
  <si>
    <t>Lateral W [[ 0.00364886  0.00615396]</t>
  </si>
  <si>
    <t xml:space="preserve"> [ 0.00075381  0.00368824]]</t>
  </si>
  <si>
    <t>lateral weights</t>
  </si>
  <si>
    <t>unary table</t>
  </si>
  <si>
    <t>checked</t>
  </si>
  <si>
    <t>alpha table</t>
  </si>
  <si>
    <t>auY0=0</t>
  </si>
  <si>
    <t>auY1=0</t>
  </si>
  <si>
    <t>auY2=0</t>
  </si>
  <si>
    <t>auY0=1</t>
  </si>
  <si>
    <t>auY1=1</t>
  </si>
  <si>
    <t>auY2=1</t>
  </si>
  <si>
    <t>alpha</t>
  </si>
  <si>
    <t>array([[ 2.22436568,  2.23042589],</t>
  </si>
  <si>
    <t xml:space="preserve">       [ 5.29591858,  5.31034819],</t>
  </si>
  <si>
    <t xml:space="preserve">       [ 5.98673728,  5.94563972]])</t>
  </si>
  <si>
    <t>array([[ 5.93837675,  5.99400025],</t>
  </si>
  <si>
    <t xml:space="preserve">       [ 5.38342135,  5.36901745],</t>
  </si>
  <si>
    <t xml:space="preserve">       [ 2.26112013,  2.25506591]])</t>
  </si>
  <si>
    <t>beta</t>
  </si>
  <si>
    <t>y1=0</t>
  </si>
  <si>
    <t>y1=1</t>
  </si>
  <si>
    <t>y2=0</t>
  </si>
  <si>
    <t>alpha2</t>
  </si>
  <si>
    <t>y2=2</t>
  </si>
  <si>
    <t>beta table</t>
  </si>
  <si>
    <t>yk</t>
  </si>
  <si>
    <t>yk+1</t>
  </si>
  <si>
    <t>y2=1</t>
  </si>
  <si>
    <t>beta0</t>
  </si>
  <si>
    <t>log alpha</t>
  </si>
  <si>
    <t>log beta</t>
  </si>
  <si>
    <t>logAlpha:</t>
  </si>
  <si>
    <t>[[ 0.79947179  0.80219255]</t>
  </si>
  <si>
    <t xml:space="preserve"> [ 1.66693645  1.66965741]</t>
  </si>
  <si>
    <t xml:space="preserve"> [ 1.78954657  1.78265813]]</t>
  </si>
  <si>
    <t>logBeta:</t>
  </si>
  <si>
    <t>[[ 1.78143582  1.79075901]</t>
  </si>
  <si>
    <t xml:space="preserve"> [ 1.68332411  1.68064492]</t>
  </si>
  <si>
    <t xml:space="preserve"> [ 0.81586032  0.8131792 ]]</t>
  </si>
  <si>
    <t>Marginal table:</t>
  </si>
  <si>
    <t>[[ 0.49766922  0.50233078]</t>
  </si>
  <si>
    <t xml:space="preserve"> [ 0.49721398  0.50278602]</t>
  </si>
  <si>
    <t xml:space="preserve"> [ 0.5017221   0.4982779 ]]</t>
  </si>
  <si>
    <t>Joint Marginal table:</t>
  </si>
  <si>
    <t>[[[ 0.24747493  0.25019429]</t>
  </si>
  <si>
    <t xml:space="preserve">  [ 0.24973906  0.25259172]]</t>
  </si>
  <si>
    <t xml:space="preserve"> [[ 0.24949008  0.24772391]</t>
  </si>
  <si>
    <t xml:space="preserve">  [ 0.25223203  0.25055399]]]</t>
  </si>
  <si>
    <t>Marginal table</t>
  </si>
  <si>
    <t>P(y0=0|X)</t>
  </si>
  <si>
    <t>P(y1=0|X)</t>
  </si>
  <si>
    <t>P(y2=0|X)</t>
  </si>
  <si>
    <t>P(y0=1|X)</t>
  </si>
  <si>
    <t>P(y1=1|X)</t>
  </si>
  <si>
    <t>P(y2=1|X)</t>
  </si>
  <si>
    <t>Joint Marginal table</t>
  </si>
  <si>
    <t>y0=0,y1=0</t>
  </si>
  <si>
    <t>y0=0,y1=1</t>
  </si>
  <si>
    <t>y0=1,y1=0</t>
  </si>
  <si>
    <t>y0=1,y1=1</t>
  </si>
  <si>
    <t>intermediateGrad</t>
  </si>
  <si>
    <t>myObj.intermediateGrad</t>
  </si>
  <si>
    <t xml:space="preserve">Out[8]: </t>
  </si>
  <si>
    <t>array([[-0.50233078,  0.50233078],</t>
  </si>
  <si>
    <t xml:space="preserve">       [ 0.49721398, -0.49721398],</t>
  </si>
  <si>
    <t xml:space="preserve">       [-0.4982779 ,  0.4982779 ]])</t>
  </si>
  <si>
    <t>gradWeight</t>
  </si>
  <si>
    <t>k</t>
  </si>
  <si>
    <t>k=0</t>
  </si>
  <si>
    <t>k=1</t>
  </si>
  <si>
    <t>k=2</t>
  </si>
  <si>
    <t>myObj.grad_weights</t>
  </si>
  <si>
    <t xml:space="preserve">Out[10]: </t>
  </si>
  <si>
    <t>[array([[-1.00273651,  1.00273651],</t>
  </si>
  <si>
    <t xml:space="preserve">        [-1.5061312 ,  1.5061312 ],</t>
  </si>
  <si>
    <t xml:space="preserve">        [-2.00952589,  2.00952589]]), array([[ 0.48698039, -0.48698039],</t>
  </si>
  <si>
    <t xml:space="preserve">        [ 0.48186359, -0.48186359],</t>
  </si>
  <si>
    <t xml:space="preserve">        [ 0.4767468 , -0.4767468 ]]), array([[-0.49934181,  0.49934181],</t>
  </si>
  <si>
    <t xml:space="preserve">        [-0.50040572,  0.50040572],</t>
  </si>
  <si>
    <t xml:space="preserve">        [-0.50146964,  0.50146964]])]</t>
  </si>
  <si>
    <t>grad Lateral</t>
  </si>
  <si>
    <t xml:space="preserve"> myObj.grad_lateral_weights</t>
  </si>
  <si>
    <t>0,1</t>
  </si>
  <si>
    <t>1,0</t>
  </si>
  <si>
    <t xml:space="preserve">Out[3]: </t>
  </si>
  <si>
    <t>array([[ 0.496965  , -0.5020818 ],</t>
  </si>
  <si>
    <t xml:space="preserve">       [-0.49802892,  0.50314571]])</t>
  </si>
  <si>
    <t>training loss</t>
  </si>
  <si>
    <t xml:space="preserve"> myObj.loss</t>
  </si>
  <si>
    <t>Out[7]: 2.0753327542476483</t>
  </si>
  <si>
    <t>grad bias</t>
  </si>
  <si>
    <t>Grad Bias:</t>
  </si>
  <si>
    <t>[-0.50339469  0.50339469]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</si>
</sst>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5" xfId="0" applyFill="1" applyBorder="1"/>
    <xf numFmtId="0" fontId="0" fillId="9" borderId="6" xfId="0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0" xfId="0" applyFill="1" applyBorder="1"/>
    <xf numFmtId="0" fontId="2" fillId="0" borderId="0" xfId="0" applyFont="1"/>
    <xf numFmtId="0" fontId="0" fillId="0" borderId="0" xfId="0" applyBorder="1"/>
    <xf numFmtId="0" fontId="0" fillId="7" borderId="5" xfId="0" applyFill="1" applyBorder="1"/>
    <xf numFmtId="0" fontId="0" fillId="7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2" borderId="8" xfId="0" applyFill="1" applyBorder="1"/>
    <xf numFmtId="0" fontId="0" fillId="12" borderId="6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0" xfId="0" applyFill="1" applyBorder="1"/>
    <xf numFmtId="0" fontId="0" fillId="12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" xfId="0" applyFill="1" applyBorder="1"/>
    <xf numFmtId="0" fontId="0" fillId="0" borderId="11" xfId="0" applyBorder="1"/>
    <xf numFmtId="0" fontId="0" fillId="0" borderId="12" xfId="0" applyBorder="1"/>
    <xf numFmtId="0" fontId="0" fillId="13" borderId="7" xfId="0" applyFill="1" applyBorder="1"/>
    <xf numFmtId="0" fontId="0" fillId="13" borderId="8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0" xfId="0" applyFill="1" applyBorder="1"/>
    <xf numFmtId="0" fontId="1" fillId="0" borderId="1" xfId="0" applyFont="1" applyBorder="1"/>
    <xf numFmtId="0" fontId="1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FF99"/>
      <color rgb="FFFFFFCC"/>
      <color rgb="FFCCECFF"/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M15" sqref="M15"/>
    </sheetView>
  </sheetViews>
  <sheetFormatPr defaultRowHeight="15" x14ac:dyDescent="0.25"/>
  <cols>
    <col min="2" max="3" width="12" bestFit="1" customWidth="1"/>
    <col min="10" max="10" width="12" bestFit="1" customWidth="1"/>
    <col min="13" max="13" width="12" bestFit="1" customWidth="1"/>
  </cols>
  <sheetData>
    <row r="1" spans="1:16" x14ac:dyDescent="0.25">
      <c r="A1">
        <f>2*EXP(16)</f>
        <v>17772221.041015744</v>
      </c>
      <c r="B1">
        <f>4*EXP(28+16)</f>
        <v>5.1406400457437233E+19</v>
      </c>
      <c r="C1">
        <f>4*EXP(21+28+16)</f>
        <v>6.7795569776413351E+28</v>
      </c>
      <c r="M1">
        <v>90.1</v>
      </c>
      <c r="N1">
        <v>136.5</v>
      </c>
    </row>
    <row r="2" spans="1:16" x14ac:dyDescent="0.25">
      <c r="M2">
        <f>EXP(M1)</f>
        <v>1.3487542292037852E+39</v>
      </c>
      <c r="N2">
        <f>EXP(N1)</f>
        <v>1.9107188133951252E+59</v>
      </c>
    </row>
    <row r="3" spans="1:16" x14ac:dyDescent="0.25">
      <c r="A3">
        <f>A1/10000</f>
        <v>1777.2221041015744</v>
      </c>
      <c r="M3">
        <f>SUM(M2:N2)</f>
        <v>1.9107188133951252E+59</v>
      </c>
    </row>
    <row r="4" spans="1:16" x14ac:dyDescent="0.25">
      <c r="B4">
        <f>EXP(21)*B1</f>
        <v>6.7795569776413342E+28</v>
      </c>
    </row>
    <row r="5" spans="1:16" x14ac:dyDescent="0.25">
      <c r="B5">
        <f>EXP(21)*B4</f>
        <v>8.940986414938858E+37</v>
      </c>
    </row>
    <row r="8" spans="1:16" x14ac:dyDescent="0.25">
      <c r="C8">
        <f>LN(C1)</f>
        <v>66.386294361119894</v>
      </c>
    </row>
    <row r="14" spans="1:16" x14ac:dyDescent="0.25">
      <c r="P14">
        <f>4+10+18</f>
        <v>32</v>
      </c>
    </row>
    <row r="28" spans="10:11" x14ac:dyDescent="0.25">
      <c r="J28">
        <f>EXP(63)</f>
        <v>2.29378315946961E+27</v>
      </c>
    </row>
    <row r="29" spans="10:11" x14ac:dyDescent="0.25">
      <c r="J29" s="1">
        <f>EXP(K29)</f>
        <v>3269017.3724721107</v>
      </c>
      <c r="K29" s="1">
        <v>15</v>
      </c>
    </row>
    <row r="30" spans="10:11" x14ac:dyDescent="0.25">
      <c r="J30" s="1">
        <f t="shared" ref="J30:J31" si="0">EXP(K30)</f>
        <v>532048240601.79865</v>
      </c>
      <c r="K30" s="1">
        <v>27</v>
      </c>
    </row>
    <row r="31" spans="10:11" x14ac:dyDescent="0.25">
      <c r="J31" s="1">
        <f t="shared" si="0"/>
        <v>1318815734.4832146</v>
      </c>
      <c r="K31" s="1">
        <v>21</v>
      </c>
    </row>
    <row r="32" spans="10:11" x14ac:dyDescent="0.25">
      <c r="J32">
        <f>J29*J30*J31</f>
        <v>2.29378315946961E+27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topLeftCell="A40" workbookViewId="0">
      <selection activeCell="D45" sqref="D45"/>
    </sheetView>
  </sheetViews>
  <sheetFormatPr defaultRowHeight="15" x14ac:dyDescent="0.25"/>
  <cols>
    <col min="2" max="2" width="14.28515625" customWidth="1"/>
    <col min="6" max="6" width="9.140625" customWidth="1"/>
    <col min="7" max="7" width="18.7109375" bestFit="1" customWidth="1"/>
  </cols>
  <sheetData>
    <row r="1" spans="1:11" ht="15.75" thickBot="1" x14ac:dyDescent="0.3">
      <c r="A1" t="s">
        <v>0</v>
      </c>
      <c r="E1" t="s">
        <v>8</v>
      </c>
      <c r="K1" t="s">
        <v>1</v>
      </c>
    </row>
    <row r="2" spans="1:11" ht="15.75" thickBot="1" x14ac:dyDescent="0.3">
      <c r="A2" s="2">
        <v>1</v>
      </c>
      <c r="B2" s="3">
        <v>2</v>
      </c>
      <c r="C2" s="4">
        <v>3</v>
      </c>
      <c r="E2" s="14">
        <v>1.91519E-3</v>
      </c>
      <c r="F2" s="15">
        <v>6.2210900000000003E-3</v>
      </c>
      <c r="G2" s="20">
        <v>2.7646400000000001E-3</v>
      </c>
      <c r="H2" s="21">
        <v>8.01872E-3</v>
      </c>
      <c r="I2" s="26">
        <v>6.8346300000000004E-3</v>
      </c>
      <c r="J2" s="27">
        <v>7.1270200000000004E-3</v>
      </c>
      <c r="K2" t="s">
        <v>2</v>
      </c>
    </row>
    <row r="3" spans="1:11" ht="15.75" thickBot="1" x14ac:dyDescent="0.3">
      <c r="A3" s="5">
        <v>2</v>
      </c>
      <c r="B3" s="6">
        <v>3</v>
      </c>
      <c r="C3" s="7">
        <v>4</v>
      </c>
      <c r="E3" s="16">
        <v>4.3772799999999999E-3</v>
      </c>
      <c r="F3" s="17">
        <v>7.8535900000000006E-3</v>
      </c>
      <c r="G3" s="22">
        <v>9.5813900000000004E-3</v>
      </c>
      <c r="H3" s="23">
        <v>8.7593299999999992E-3</v>
      </c>
      <c r="I3" s="28">
        <v>3.70251E-3</v>
      </c>
      <c r="J3" s="29">
        <v>5.61196E-3</v>
      </c>
      <c r="K3" t="s">
        <v>3</v>
      </c>
    </row>
    <row r="4" spans="1:11" ht="15.75" thickBot="1" x14ac:dyDescent="0.3">
      <c r="A4" s="2">
        <v>3</v>
      </c>
      <c r="B4" s="3">
        <v>4</v>
      </c>
      <c r="C4" s="4">
        <v>5</v>
      </c>
      <c r="E4" s="18">
        <v>7.7997600000000002E-3</v>
      </c>
      <c r="F4" s="19">
        <v>2.7259300000000001E-3</v>
      </c>
      <c r="G4" s="24">
        <v>3.5781699999999999E-3</v>
      </c>
      <c r="H4" s="25">
        <v>5.00995E-3</v>
      </c>
      <c r="I4" s="30">
        <v>5.03083E-3</v>
      </c>
      <c r="J4" s="31">
        <v>1.3768E-4</v>
      </c>
      <c r="K4" t="s">
        <v>4</v>
      </c>
    </row>
    <row r="5" spans="1:11" x14ac:dyDescent="0.25">
      <c r="K5" t="s">
        <v>5</v>
      </c>
    </row>
    <row r="6" spans="1:11" ht="15.75" thickBot="1" x14ac:dyDescent="0.3">
      <c r="E6" t="s">
        <v>10</v>
      </c>
      <c r="K6" t="s">
        <v>6</v>
      </c>
    </row>
    <row r="7" spans="1:11" ht="15.75" thickBot="1" x14ac:dyDescent="0.3">
      <c r="E7" s="33">
        <v>7.7282699999999998E-3</v>
      </c>
      <c r="F7" s="32">
        <v>8.8264099999999998E-3</v>
      </c>
      <c r="K7" t="s">
        <v>7</v>
      </c>
    </row>
    <row r="8" spans="1:11" x14ac:dyDescent="0.25">
      <c r="K8" t="s">
        <v>9</v>
      </c>
    </row>
    <row r="9" spans="1:11" ht="15.75" thickBot="1" x14ac:dyDescent="0.3">
      <c r="D9" t="s">
        <v>40</v>
      </c>
      <c r="E9" t="s">
        <v>16</v>
      </c>
      <c r="K9" t="s">
        <v>11</v>
      </c>
    </row>
    <row r="10" spans="1:11" x14ac:dyDescent="0.25">
      <c r="D10">
        <v>0</v>
      </c>
      <c r="E10" s="34">
        <v>3.6488599999999999E-3</v>
      </c>
      <c r="F10" s="35">
        <v>6.15396E-3</v>
      </c>
      <c r="K10" t="s">
        <v>12</v>
      </c>
    </row>
    <row r="11" spans="1:11" ht="15.75" thickBot="1" x14ac:dyDescent="0.3">
      <c r="D11">
        <v>1</v>
      </c>
      <c r="E11" s="36">
        <v>7.5381000000000005E-4</v>
      </c>
      <c r="F11" s="37">
        <v>3.6882400000000002E-3</v>
      </c>
      <c r="K11" t="s">
        <v>13</v>
      </c>
    </row>
    <row r="12" spans="1:11" x14ac:dyDescent="0.25">
      <c r="D12" t="s">
        <v>41</v>
      </c>
      <c r="E12">
        <v>0</v>
      </c>
      <c r="F12">
        <v>1</v>
      </c>
      <c r="K12" t="s">
        <v>14</v>
      </c>
    </row>
    <row r="13" spans="1:11" x14ac:dyDescent="0.25">
      <c r="K13" t="s">
        <v>15</v>
      </c>
    </row>
    <row r="15" spans="1:11" x14ac:dyDescent="0.25">
      <c r="K15" t="s">
        <v>26</v>
      </c>
    </row>
    <row r="16" spans="1:11" ht="15.75" thickBot="1" x14ac:dyDescent="0.3">
      <c r="E16" t="s">
        <v>17</v>
      </c>
      <c r="F16" s="56" t="s">
        <v>18</v>
      </c>
      <c r="K16" t="s">
        <v>27</v>
      </c>
    </row>
    <row r="17" spans="1:11" x14ac:dyDescent="0.25">
      <c r="D17" t="s">
        <v>20</v>
      </c>
      <c r="E17" s="38">
        <f>A2*E2+B2*E3+C2*E4+A3*G2+B3*G3+C3*G4+E7+E7</f>
        <v>9.8111699999999982E-2</v>
      </c>
      <c r="F17" s="39">
        <f>A2*F2+B2*F3+C2*F4+A3*H2+B3*H3+C3*H4+F7+F7</f>
        <v>0.11011411000000002</v>
      </c>
      <c r="G17" t="s">
        <v>23</v>
      </c>
      <c r="K17" t="s">
        <v>28</v>
      </c>
    </row>
    <row r="18" spans="1:11" x14ac:dyDescent="0.25">
      <c r="D18" t="s">
        <v>21</v>
      </c>
      <c r="E18" s="40">
        <f>A3*E2+B3*E3+C3*E4+A4*G2+B4*G3+C4*G4+E7+E7+A2*I2+B2*I3+C2*I4+E7</f>
        <v>0.16518854000000002</v>
      </c>
      <c r="F18" s="41">
        <f>A3*F2+B3*F3+C3*F4+A4*H2+B4*H3+C4*H4+F7+F7+A2*J2+B2*J3+C2*J4+F7</f>
        <v>0.17629311000000003</v>
      </c>
      <c r="G18" t="s">
        <v>24</v>
      </c>
      <c r="K18" t="s">
        <v>29</v>
      </c>
    </row>
    <row r="19" spans="1:11" ht="15.75" thickBot="1" x14ac:dyDescent="0.3">
      <c r="D19" t="s">
        <v>22</v>
      </c>
      <c r="E19" s="42">
        <f>A4*E2+B4*E3+C4*E4+E7+A3*I2+B3*I3+C3*I4+E7</f>
        <v>0.12261014000000001</v>
      </c>
      <c r="F19" s="43">
        <f>A4*F2+B4*F3+C4*F4+F7+A3*J2+B3*J3+C3*J4+F7</f>
        <v>0.11300074000000002</v>
      </c>
      <c r="G19" t="s">
        <v>25</v>
      </c>
      <c r="K19" t="s">
        <v>33</v>
      </c>
    </row>
    <row r="20" spans="1:11" x14ac:dyDescent="0.25">
      <c r="K20" t="s">
        <v>30</v>
      </c>
    </row>
    <row r="21" spans="1:11" ht="15.75" thickBot="1" x14ac:dyDescent="0.3">
      <c r="B21" t="s">
        <v>19</v>
      </c>
      <c r="C21" s="56" t="s">
        <v>18</v>
      </c>
      <c r="F21" t="s">
        <v>44</v>
      </c>
      <c r="G21" s="56" t="s">
        <v>18</v>
      </c>
      <c r="K21" t="s">
        <v>31</v>
      </c>
    </row>
    <row r="22" spans="1:11" x14ac:dyDescent="0.25">
      <c r="A22" t="s">
        <v>34</v>
      </c>
      <c r="B22" s="44">
        <f>EXP(E17+E10)+EXP(F17+E11)</f>
        <v>2.224365682652194</v>
      </c>
      <c r="C22" s="45">
        <f>EXP(E17+F10)+EXP(F17+F11)</f>
        <v>2.2304259006476705</v>
      </c>
      <c r="D22" t="s">
        <v>35</v>
      </c>
      <c r="F22" s="34">
        <f>LN(B22)</f>
        <v>0.79947178852488476</v>
      </c>
      <c r="G22" s="35">
        <f t="shared" ref="G22:G24" si="0">LN(C22)</f>
        <v>0.80219255407388357</v>
      </c>
      <c r="K22" t="s">
        <v>32</v>
      </c>
    </row>
    <row r="23" spans="1:11" x14ac:dyDescent="0.25">
      <c r="A23" t="s">
        <v>36</v>
      </c>
      <c r="B23" s="46">
        <f>EXP(E18+E10)*B22+EXP(F18+E11)*C22</f>
        <v>5.2959185854458148</v>
      </c>
      <c r="C23" s="47">
        <f>EXP(E18+F10)*B22+EXP(F18+F11)*C22</f>
        <v>5.3103481967548074</v>
      </c>
      <c r="D23" t="s">
        <v>38</v>
      </c>
      <c r="F23" s="58">
        <f t="shared" ref="F23:F24" si="1">LN(B23)</f>
        <v>1.6669364456777627</v>
      </c>
      <c r="G23" s="59">
        <f t="shared" si="0"/>
        <v>1.6696574068807812</v>
      </c>
    </row>
    <row r="24" spans="1:11" ht="15.75" thickBot="1" x14ac:dyDescent="0.3">
      <c r="A24" t="s">
        <v>37</v>
      </c>
      <c r="B24" s="48">
        <f>EXP(E19)*B23</f>
        <v>5.9867373784288924</v>
      </c>
      <c r="C24" s="49">
        <f>EXP(F19)*C23</f>
        <v>5.9456398159344586</v>
      </c>
      <c r="F24" s="36">
        <f t="shared" si="1"/>
        <v>1.7895465856777626</v>
      </c>
      <c r="G24" s="37">
        <f t="shared" si="0"/>
        <v>1.7826581468807812</v>
      </c>
    </row>
    <row r="26" spans="1:11" ht="15.75" thickBot="1" x14ac:dyDescent="0.3">
      <c r="B26" t="s">
        <v>39</v>
      </c>
      <c r="C26" s="56" t="s">
        <v>18</v>
      </c>
      <c r="F26" t="s">
        <v>45</v>
      </c>
      <c r="G26" s="56" t="s">
        <v>18</v>
      </c>
      <c r="K26" t="s">
        <v>46</v>
      </c>
    </row>
    <row r="27" spans="1:11" x14ac:dyDescent="0.25">
      <c r="A27" t="s">
        <v>43</v>
      </c>
      <c r="B27" s="50">
        <f>EXP(E17)*B28</f>
        <v>5.938376751179419</v>
      </c>
      <c r="C27" s="51">
        <f>EXP(F17)*C28</f>
        <v>5.9940004431839338</v>
      </c>
      <c r="D27" t="s">
        <v>43</v>
      </c>
      <c r="F27" s="38">
        <f>LN(B27)</f>
        <v>1.781435821816133</v>
      </c>
      <c r="G27" s="39">
        <f t="shared" ref="G27:G29" si="2">LN(C27)</f>
        <v>1.7907590428323956</v>
      </c>
      <c r="K27" t="s">
        <v>47</v>
      </c>
    </row>
    <row r="28" spans="1:11" x14ac:dyDescent="0.25">
      <c r="A28" t="s">
        <v>34</v>
      </c>
      <c r="B28" s="52">
        <f>EXP(E18+E10)*B29+EXP(F18+F10)*C29</f>
        <v>5.3834214097776893</v>
      </c>
      <c r="C28" s="53">
        <f>EXP(E18+E11)*B29+EXP(F18+F11)*C29</f>
        <v>5.3690175104420046</v>
      </c>
      <c r="D28" t="s">
        <v>35</v>
      </c>
      <c r="F28" s="40">
        <f t="shared" ref="F28:F29" si="3">LN(B28)</f>
        <v>1.683324121816133</v>
      </c>
      <c r="G28" s="41">
        <f t="shared" si="2"/>
        <v>1.6806449328323956</v>
      </c>
      <c r="K28" t="s">
        <v>48</v>
      </c>
    </row>
    <row r="29" spans="1:11" ht="15.75" thickBot="1" x14ac:dyDescent="0.3">
      <c r="A29" t="s">
        <v>36</v>
      </c>
      <c r="B29" s="54">
        <f>EXP(E19+E10)+EXP(F19+F10)</f>
        <v>2.2611201666058864</v>
      </c>
      <c r="C29" s="55">
        <f>EXP(E19+E11)+EXP(F19+F11)</f>
        <v>2.2550659416696792</v>
      </c>
      <c r="D29" t="s">
        <v>42</v>
      </c>
      <c r="F29" s="42">
        <f t="shared" si="3"/>
        <v>0.81586033943148928</v>
      </c>
      <c r="G29" s="43">
        <f t="shared" si="2"/>
        <v>0.81317921495266865</v>
      </c>
      <c r="K29" t="s">
        <v>49</v>
      </c>
    </row>
    <row r="30" spans="1:11" x14ac:dyDescent="0.25">
      <c r="K30" t="s">
        <v>50</v>
      </c>
    </row>
    <row r="31" spans="1:11" ht="15.75" thickBot="1" x14ac:dyDescent="0.3">
      <c r="K31" t="s">
        <v>51</v>
      </c>
    </row>
    <row r="32" spans="1:11" ht="15.75" thickBot="1" x14ac:dyDescent="0.3">
      <c r="B32" t="s">
        <v>63</v>
      </c>
      <c r="C32" s="56" t="s">
        <v>18</v>
      </c>
      <c r="F32" s="101" t="s">
        <v>83</v>
      </c>
      <c r="G32" t="s">
        <v>70</v>
      </c>
      <c r="H32" s="56" t="s">
        <v>18</v>
      </c>
      <c r="J32" s="1">
        <f>EXP(E17+E18+E10+F29)</f>
        <v>2.9529640819040774</v>
      </c>
      <c r="K32" t="s">
        <v>52</v>
      </c>
    </row>
    <row r="33" spans="1:11" x14ac:dyDescent="0.25">
      <c r="A33" t="s">
        <v>64</v>
      </c>
      <c r="B33" s="62">
        <f>EXP(E17+F28)/(EXP(E17+F28)+EXP(F17+G28))</f>
        <v>0.49766921162906286</v>
      </c>
      <c r="C33" s="63">
        <f>EXP(F17+G28)/(EXP(F17+G28)+EXP(E17+F28))</f>
        <v>0.50233078837093714</v>
      </c>
      <c r="D33" t="s">
        <v>67</v>
      </c>
      <c r="F33" t="s">
        <v>71</v>
      </c>
      <c r="G33" s="68">
        <f>J32/SUM(J32:J35)</f>
        <v>0.24747491918869324</v>
      </c>
      <c r="H33" s="69">
        <f>J33/SUM(J32:J35)</f>
        <v>0.2501942924403695</v>
      </c>
      <c r="I33" t="s">
        <v>72</v>
      </c>
      <c r="J33" s="1">
        <f>EXP(E17+F18+F10+G29)</f>
        <v>2.9854126692753411</v>
      </c>
      <c r="K33" t="s">
        <v>53</v>
      </c>
    </row>
    <row r="34" spans="1:11" ht="15.75" thickBot="1" x14ac:dyDescent="0.3">
      <c r="A34" t="s">
        <v>65</v>
      </c>
      <c r="B34" s="64">
        <f>EXP(E18+F22+F29)/(EXP(E18+F22+F29)+EXP(F18+G22+G29))</f>
        <v>0.49721397606622053</v>
      </c>
      <c r="C34" s="65">
        <f>1-B34</f>
        <v>0.50278602393377947</v>
      </c>
      <c r="D34" t="s">
        <v>68</v>
      </c>
      <c r="F34" t="s">
        <v>73</v>
      </c>
      <c r="G34" s="70">
        <f>J34/SUM(J32:J35)</f>
        <v>0.2497390568775272</v>
      </c>
      <c r="H34" s="71">
        <f>J35/SUM(J32:J35)</f>
        <v>0.25259173149340985</v>
      </c>
      <c r="I34" t="s">
        <v>74</v>
      </c>
      <c r="J34" s="1">
        <f>EXP(F17+E18+E11+F29)</f>
        <v>2.9799806268272184</v>
      </c>
      <c r="K34" t="s">
        <v>54</v>
      </c>
    </row>
    <row r="35" spans="1:11" ht="15.75" thickBot="1" x14ac:dyDescent="0.3">
      <c r="A35" t="s">
        <v>66</v>
      </c>
      <c r="B35" s="66">
        <f>EXP(E19+F23)/(EXP(E19+F23)+EXP(F19+G23))</f>
        <v>0.50172210288968433</v>
      </c>
      <c r="C35" s="67">
        <f>1-B35</f>
        <v>0.49827789711031567</v>
      </c>
      <c r="D35" t="s">
        <v>69</v>
      </c>
      <c r="F35" s="101" t="s">
        <v>84</v>
      </c>
      <c r="J35" s="1">
        <f>EXP(F17+F18+F11+G29)</f>
        <v>3.0140198163567158</v>
      </c>
      <c r="K35" t="s">
        <v>55</v>
      </c>
    </row>
    <row r="36" spans="1:11" x14ac:dyDescent="0.25">
      <c r="F36" t="s">
        <v>71</v>
      </c>
      <c r="G36" s="68">
        <v>0.24949008</v>
      </c>
      <c r="H36" s="69">
        <v>0.24772390999999999</v>
      </c>
      <c r="I36" t="s">
        <v>72</v>
      </c>
      <c r="K36" t="s">
        <v>56</v>
      </c>
    </row>
    <row r="37" spans="1:11" ht="15.75" thickBot="1" x14ac:dyDescent="0.3">
      <c r="F37" t="s">
        <v>73</v>
      </c>
      <c r="G37" s="70">
        <v>0.25223203</v>
      </c>
      <c r="H37" s="71">
        <v>0.25055399</v>
      </c>
      <c r="I37" t="s">
        <v>74</v>
      </c>
      <c r="K37" t="s">
        <v>57</v>
      </c>
    </row>
    <row r="38" spans="1:11" x14ac:dyDescent="0.25">
      <c r="K38" t="s">
        <v>58</v>
      </c>
    </row>
    <row r="39" spans="1:11" x14ac:dyDescent="0.25">
      <c r="K39" t="s">
        <v>59</v>
      </c>
    </row>
    <row r="40" spans="1:11" x14ac:dyDescent="0.25">
      <c r="K40" t="s">
        <v>60</v>
      </c>
    </row>
    <row r="42" spans="1:11" ht="15.75" thickBot="1" x14ac:dyDescent="0.3">
      <c r="B42" t="s">
        <v>75</v>
      </c>
      <c r="K42" t="s">
        <v>61</v>
      </c>
    </row>
    <row r="43" spans="1:11" ht="15.75" thickBot="1" x14ac:dyDescent="0.3">
      <c r="A43" s="80" t="s">
        <v>82</v>
      </c>
      <c r="B43">
        <v>0</v>
      </c>
      <c r="C43">
        <v>1</v>
      </c>
      <c r="F43" t="s">
        <v>105</v>
      </c>
      <c r="K43" t="s">
        <v>62</v>
      </c>
    </row>
    <row r="44" spans="1:11" x14ac:dyDescent="0.25">
      <c r="A44" s="78">
        <v>0</v>
      </c>
      <c r="B44" s="75">
        <f>-(1-B33)</f>
        <v>-0.50233078837093714</v>
      </c>
      <c r="C44" s="72">
        <f>-(0-C33)</f>
        <v>0.50233078837093714</v>
      </c>
      <c r="F44">
        <f>SUM(B44:B46)</f>
        <v>-0.50339470941503228</v>
      </c>
      <c r="G44">
        <f>SUM(C44:C46)</f>
        <v>0.50339470941503228</v>
      </c>
    </row>
    <row r="45" spans="1:11" x14ac:dyDescent="0.25">
      <c r="A45" s="78">
        <v>1</v>
      </c>
      <c r="B45" s="76">
        <f>-(0-B34)</f>
        <v>0.49721397606622053</v>
      </c>
      <c r="C45" s="73">
        <f>-(1-C34)</f>
        <v>-0.49721397606622053</v>
      </c>
    </row>
    <row r="46" spans="1:11" ht="15.75" thickBot="1" x14ac:dyDescent="0.3">
      <c r="A46" s="79">
        <v>2</v>
      </c>
      <c r="B46" s="77">
        <f>-(1-B35)</f>
        <v>-0.49827789711031567</v>
      </c>
      <c r="C46" s="74">
        <f>-(0-C35)</f>
        <v>0.49827789711031567</v>
      </c>
      <c r="K46" t="s">
        <v>76</v>
      </c>
    </row>
    <row r="47" spans="1:11" x14ac:dyDescent="0.25">
      <c r="K47" t="s">
        <v>77</v>
      </c>
    </row>
    <row r="48" spans="1:11" x14ac:dyDescent="0.25">
      <c r="K48" t="s">
        <v>78</v>
      </c>
    </row>
    <row r="49" spans="1:11" x14ac:dyDescent="0.25">
      <c r="B49" t="s">
        <v>81</v>
      </c>
      <c r="K49" t="s">
        <v>79</v>
      </c>
    </row>
    <row r="50" spans="1:11" ht="15.75" thickBot="1" x14ac:dyDescent="0.3">
      <c r="A50">
        <v>0</v>
      </c>
      <c r="B50" s="56" t="s">
        <v>18</v>
      </c>
      <c r="C50">
        <v>1</v>
      </c>
      <c r="D50" s="56" t="s">
        <v>18</v>
      </c>
      <c r="E50">
        <v>2</v>
      </c>
      <c r="F50" s="56" t="s">
        <v>18</v>
      </c>
      <c r="K50" t="s">
        <v>80</v>
      </c>
    </row>
    <row r="51" spans="1:11" x14ac:dyDescent="0.25">
      <c r="A51" s="83">
        <f>A57+A61+A65</f>
        <v>-1.0027365275694431</v>
      </c>
      <c r="B51" s="84">
        <f t="shared" ref="B51:B53" si="4">B57+B61+B65</f>
        <v>1.0027365275694431</v>
      </c>
      <c r="C51" s="89">
        <f>SUM(C57,C61)</f>
        <v>0.4869803514567872</v>
      </c>
      <c r="D51" s="90">
        <f t="shared" ref="D51:D53" si="5">SUM(D57,D61)</f>
        <v>-0.4869803514567872</v>
      </c>
      <c r="E51" s="95">
        <f>E57+E61+E65</f>
        <v>-0.49934181815441081</v>
      </c>
      <c r="F51" s="96">
        <f t="shared" ref="F51:F53" si="6">F57+F61+F65</f>
        <v>0.49934181815441081</v>
      </c>
    </row>
    <row r="52" spans="1:11" x14ac:dyDescent="0.25">
      <c r="A52" s="85">
        <f t="shared" ref="A52:B52" si="7">A58+A62+A66</f>
        <v>-1.5061312369844755</v>
      </c>
      <c r="B52" s="86">
        <f t="shared" si="4"/>
        <v>1.5061312369844755</v>
      </c>
      <c r="C52" s="91">
        <f t="shared" ref="C52:D52" si="8">SUM(C58,C62)</f>
        <v>0.4818635391520707</v>
      </c>
      <c r="D52" s="92">
        <f t="shared" si="5"/>
        <v>-0.4818635391520707</v>
      </c>
      <c r="E52" s="97">
        <f t="shared" ref="E52:F52" si="9">E58+E62+E66</f>
        <v>-0.50040573919850595</v>
      </c>
      <c r="F52" s="98">
        <f t="shared" si="6"/>
        <v>0.50040573919850595</v>
      </c>
    </row>
    <row r="53" spans="1:11" ht="15.75" thickBot="1" x14ac:dyDescent="0.3">
      <c r="A53" s="87">
        <f t="shared" ref="A53:B53" si="10">A59+A63+A67</f>
        <v>-2.0095259463995077</v>
      </c>
      <c r="B53" s="88">
        <f t="shared" si="4"/>
        <v>2.0095259463995077</v>
      </c>
      <c r="C53" s="93">
        <f t="shared" ref="C53:D53" si="11">SUM(C59,C63)</f>
        <v>0.4767467268473542</v>
      </c>
      <c r="D53" s="94">
        <f t="shared" si="5"/>
        <v>-0.4767467268473542</v>
      </c>
      <c r="E53" s="99">
        <f t="shared" ref="E53:F53" si="12">E59+E63+E67</f>
        <v>-0.5014696602426012</v>
      </c>
      <c r="F53" s="100">
        <f t="shared" si="6"/>
        <v>0.5014696602426012</v>
      </c>
    </row>
    <row r="54" spans="1:11" x14ac:dyDescent="0.25">
      <c r="K54" t="s">
        <v>86</v>
      </c>
    </row>
    <row r="55" spans="1:11" x14ac:dyDescent="0.25">
      <c r="K55" t="s">
        <v>87</v>
      </c>
    </row>
    <row r="56" spans="1:11" ht="15.75" thickBot="1" x14ac:dyDescent="0.3">
      <c r="A56" t="s">
        <v>83</v>
      </c>
      <c r="C56" t="s">
        <v>83</v>
      </c>
      <c r="E56" t="s">
        <v>83</v>
      </c>
      <c r="K56" t="s">
        <v>88</v>
      </c>
    </row>
    <row r="57" spans="1:11" x14ac:dyDescent="0.25">
      <c r="A57" s="8">
        <f>B44*A2</f>
        <v>-0.50233078837093714</v>
      </c>
      <c r="B57" s="81">
        <f>C44*A2</f>
        <v>0.50233078837093714</v>
      </c>
      <c r="C57" s="8">
        <f>B44*A3</f>
        <v>-1.0046615767418743</v>
      </c>
      <c r="D57" s="9">
        <f>C44*A3</f>
        <v>1.0046615767418743</v>
      </c>
      <c r="E57" s="81">
        <v>0</v>
      </c>
      <c r="F57" s="9">
        <v>0</v>
      </c>
      <c r="K57" t="s">
        <v>89</v>
      </c>
    </row>
    <row r="58" spans="1:11" x14ac:dyDescent="0.25">
      <c r="A58" s="10">
        <f>B44*B2</f>
        <v>-1.0046615767418743</v>
      </c>
      <c r="B58" s="57">
        <f>C44*B2</f>
        <v>1.0046615767418743</v>
      </c>
      <c r="C58" s="10">
        <f>B44*B3</f>
        <v>-1.5069923651128114</v>
      </c>
      <c r="D58" s="11">
        <f>C44*B3</f>
        <v>1.5069923651128114</v>
      </c>
      <c r="E58" s="57">
        <v>0</v>
      </c>
      <c r="F58" s="11">
        <v>0</v>
      </c>
      <c r="K58" t="s">
        <v>90</v>
      </c>
    </row>
    <row r="59" spans="1:11" ht="15.75" thickBot="1" x14ac:dyDescent="0.3">
      <c r="A59" s="12">
        <f>B44*C2</f>
        <v>-1.5069923651128114</v>
      </c>
      <c r="B59" s="82">
        <f>C44*C2</f>
        <v>1.5069923651128114</v>
      </c>
      <c r="C59" s="12">
        <f>B44*C3</f>
        <v>-2.0093231534837486</v>
      </c>
      <c r="D59" s="13">
        <f>C44*C3</f>
        <v>2.0093231534837486</v>
      </c>
      <c r="E59" s="82">
        <v>0</v>
      </c>
      <c r="F59" s="13">
        <v>0</v>
      </c>
      <c r="K59" t="s">
        <v>91</v>
      </c>
    </row>
    <row r="60" spans="1:11" ht="15.75" thickBot="1" x14ac:dyDescent="0.3">
      <c r="A60" t="s">
        <v>84</v>
      </c>
      <c r="C60" t="s">
        <v>84</v>
      </c>
      <c r="E60" t="s">
        <v>84</v>
      </c>
      <c r="K60" t="s">
        <v>92</v>
      </c>
    </row>
    <row r="61" spans="1:11" x14ac:dyDescent="0.25">
      <c r="A61" s="8">
        <f>B45*A3</f>
        <v>0.99442795213244106</v>
      </c>
      <c r="B61" s="9">
        <f>C45*A3</f>
        <v>-0.99442795213244106</v>
      </c>
      <c r="C61" s="8">
        <f>B45*A4</f>
        <v>1.4916419281986615</v>
      </c>
      <c r="D61" s="81">
        <f>C45*A4</f>
        <v>-1.4916419281986615</v>
      </c>
      <c r="E61" s="8">
        <f>B45*A2</f>
        <v>0.49721397606622053</v>
      </c>
      <c r="F61" s="9">
        <f>C45*A2</f>
        <v>-0.49721397606622053</v>
      </c>
      <c r="K61" t="s">
        <v>93</v>
      </c>
    </row>
    <row r="62" spans="1:11" x14ac:dyDescent="0.25">
      <c r="A62" s="10">
        <f>B45*B3</f>
        <v>1.4916419281986615</v>
      </c>
      <c r="B62" s="11">
        <f>C45*B3</f>
        <v>-1.4916419281986615</v>
      </c>
      <c r="C62" s="10">
        <f>B45*B4</f>
        <v>1.9888559042648821</v>
      </c>
      <c r="D62" s="57">
        <f>C45*B4</f>
        <v>-1.9888559042648821</v>
      </c>
      <c r="E62" s="10">
        <f>B45*B2</f>
        <v>0.99442795213244106</v>
      </c>
      <c r="F62" s="11">
        <f>C45*B2</f>
        <v>-0.99442795213244106</v>
      </c>
      <c r="K62" t="s">
        <v>94</v>
      </c>
    </row>
    <row r="63" spans="1:11" ht="15.75" thickBot="1" x14ac:dyDescent="0.3">
      <c r="A63" s="12">
        <f>B45*C3</f>
        <v>1.9888559042648821</v>
      </c>
      <c r="B63" s="13">
        <f>C45*C3</f>
        <v>-1.9888559042648821</v>
      </c>
      <c r="C63" s="12">
        <f>B45*C4</f>
        <v>2.4860698803311028</v>
      </c>
      <c r="D63" s="82">
        <f>C45*C4</f>
        <v>-2.4860698803311028</v>
      </c>
      <c r="E63" s="12">
        <f>B45*C2</f>
        <v>1.4916419281986615</v>
      </c>
      <c r="F63" s="13">
        <f>C45*C2</f>
        <v>-1.4916419281986615</v>
      </c>
    </row>
    <row r="64" spans="1:11" ht="15.75" thickBot="1" x14ac:dyDescent="0.3">
      <c r="A64" t="s">
        <v>85</v>
      </c>
      <c r="C64" t="s">
        <v>85</v>
      </c>
      <c r="E64" t="s">
        <v>85</v>
      </c>
    </row>
    <row r="65" spans="1:11" x14ac:dyDescent="0.25">
      <c r="A65" s="8">
        <f>B46*A4</f>
        <v>-1.494833691330947</v>
      </c>
      <c r="B65" s="9">
        <f>C46*A4</f>
        <v>1.494833691330947</v>
      </c>
      <c r="C65" s="8">
        <f>D46*C4</f>
        <v>0</v>
      </c>
      <c r="D65" s="9">
        <f>E46*C4</f>
        <v>0</v>
      </c>
      <c r="E65" s="8">
        <f>B46*A3</f>
        <v>-0.99655579422063134</v>
      </c>
      <c r="F65" s="9">
        <f>C46*A3</f>
        <v>0.99655579422063134</v>
      </c>
      <c r="K65" t="s">
        <v>96</v>
      </c>
    </row>
    <row r="66" spans="1:11" x14ac:dyDescent="0.25">
      <c r="A66" s="10">
        <f>B46*B4</f>
        <v>-1.9931115884412627</v>
      </c>
      <c r="B66" s="11">
        <f>C46*B4</f>
        <v>1.9931115884412627</v>
      </c>
      <c r="C66" s="10">
        <f>D46*D4</f>
        <v>0</v>
      </c>
      <c r="D66" s="11">
        <f>E46*D4</f>
        <v>0</v>
      </c>
      <c r="E66" s="10">
        <f>B46*B3</f>
        <v>-1.494833691330947</v>
      </c>
      <c r="F66" s="11">
        <f>C46*B3</f>
        <v>1.494833691330947</v>
      </c>
      <c r="K66" t="s">
        <v>99</v>
      </c>
    </row>
    <row r="67" spans="1:11" ht="15.75" thickBot="1" x14ac:dyDescent="0.3">
      <c r="A67" s="12">
        <f>B46*C4</f>
        <v>-2.4913894855515784</v>
      </c>
      <c r="B67" s="13">
        <f>C46*C4</f>
        <v>2.4913894855515784</v>
      </c>
      <c r="C67" s="12">
        <f>D46*E4</f>
        <v>0</v>
      </c>
      <c r="D67" s="13">
        <f>E46*E4</f>
        <v>0</v>
      </c>
      <c r="E67" s="12">
        <f>B46*C3</f>
        <v>-1.9931115884412627</v>
      </c>
      <c r="F67" s="13">
        <f>C46*C3</f>
        <v>1.9931115884412627</v>
      </c>
      <c r="K67" t="s">
        <v>100</v>
      </c>
    </row>
    <row r="68" spans="1:11" x14ac:dyDescent="0.25">
      <c r="K68" t="s">
        <v>101</v>
      </c>
    </row>
    <row r="70" spans="1:11" x14ac:dyDescent="0.25">
      <c r="K70" t="s">
        <v>106</v>
      </c>
    </row>
    <row r="71" spans="1:11" x14ac:dyDescent="0.25">
      <c r="K71" t="s">
        <v>107</v>
      </c>
    </row>
    <row r="72" spans="1:11" ht="15.75" thickBot="1" x14ac:dyDescent="0.3">
      <c r="A72" t="s">
        <v>95</v>
      </c>
      <c r="B72" s="56" t="s">
        <v>18</v>
      </c>
      <c r="D72" t="s">
        <v>102</v>
      </c>
      <c r="E72" s="56" t="s">
        <v>18</v>
      </c>
    </row>
    <row r="73" spans="1:11" ht="15.75" thickBot="1" x14ac:dyDescent="0.3">
      <c r="A73" s="60">
        <f>SUM(A78,A81)</f>
        <v>0.49696499918869325</v>
      </c>
      <c r="B73" s="61">
        <f t="shared" ref="B73:B74" si="13">SUM(B78,B81)</f>
        <v>-0.50208179755963056</v>
      </c>
      <c r="D73" s="102">
        <f>-LN(F73/F74)</f>
        <v>2.0753327581511227</v>
      </c>
      <c r="F73">
        <f>EXP(E17+F18+E19+F10+E11)</f>
        <v>1.497688201141594</v>
      </c>
      <c r="H73" t="s">
        <v>103</v>
      </c>
    </row>
    <row r="74" spans="1:11" ht="15.75" thickBot="1" x14ac:dyDescent="0.3">
      <c r="A74" s="54">
        <f t="shared" ref="A74:B74" si="14">SUM(A79,A82)</f>
        <v>-0.49802891312247277</v>
      </c>
      <c r="B74" s="55">
        <f t="shared" si="13"/>
        <v>0.50314572149340986</v>
      </c>
      <c r="F74">
        <f>SUM(B24:C24)</f>
        <v>11.932377194363351</v>
      </c>
      <c r="H74" t="s">
        <v>104</v>
      </c>
    </row>
    <row r="77" spans="1:11" x14ac:dyDescent="0.25">
      <c r="A77" t="s">
        <v>83</v>
      </c>
      <c r="B77" t="s">
        <v>97</v>
      </c>
    </row>
    <row r="78" spans="1:11" x14ac:dyDescent="0.25">
      <c r="A78">
        <f>-(0-G33)</f>
        <v>0.24747491918869324</v>
      </c>
      <c r="B78">
        <f>-(1-H33)</f>
        <v>-0.7498057075596305</v>
      </c>
    </row>
    <row r="79" spans="1:11" x14ac:dyDescent="0.25">
      <c r="A79">
        <f>-(0-G34)</f>
        <v>0.2497390568775272</v>
      </c>
      <c r="B79">
        <f>-(0-H34)</f>
        <v>0.25259173149340985</v>
      </c>
    </row>
    <row r="80" spans="1:11" x14ac:dyDescent="0.25">
      <c r="A80" t="s">
        <v>84</v>
      </c>
      <c r="B80" t="s">
        <v>98</v>
      </c>
    </row>
    <row r="81" spans="1:2" x14ac:dyDescent="0.25">
      <c r="A81">
        <f>-(0-G36)</f>
        <v>0.24949008</v>
      </c>
      <c r="B81">
        <f>-(0-H36)</f>
        <v>0.24772390999999999</v>
      </c>
    </row>
    <row r="82" spans="1:2" x14ac:dyDescent="0.25">
      <c r="A82">
        <f>-(1-G37)</f>
        <v>-0.74776796999999995</v>
      </c>
      <c r="B82">
        <f>-(0-H37)</f>
        <v>0.25055399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PhantomV</dc:creator>
  <cp:lastModifiedBy>PhantomV</cp:lastModifiedBy>
  <dcterms:created xsi:type="dcterms:W3CDTF">2017-05-15T13:37:10Z</dcterms:created>
  <dcterms:modified xsi:type="dcterms:W3CDTF">2017-06-05T23:05:34Z</dcterms:modified>
</cp:coreProperties>
</file>