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am_card\summary\done-add-date\"/>
    </mc:Choice>
  </mc:AlternateContent>
  <xr:revisionPtr revIDLastSave="0" documentId="13_ncr:1_{7BE15C74-9AF2-4096-BE76-76EFC6CB9418}" xr6:coauthVersionLast="47" xr6:coauthVersionMax="47" xr10:uidLastSave="{00000000-0000-0000-0000-000000000000}"/>
  <bookViews>
    <workbookView xWindow="-108" yWindow="-108" windowWidth="23256" windowHeight="12456" xr2:uid="{BAD45348-4ED3-4EC5-8A23-FD3CE4812465}"/>
  </bookViews>
  <sheets>
    <sheet name="Payment Term History" sheetId="1" r:id="rId1"/>
    <sheet name="Trans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R34" i="1" l="1"/>
  <c r="DR35" i="1"/>
  <c r="DR36" i="1"/>
  <c r="DR37" i="1"/>
  <c r="DR38" i="1"/>
  <c r="DR39" i="1"/>
  <c r="DR40" i="1"/>
  <c r="DR41" i="1"/>
  <c r="DR42" i="1"/>
  <c r="DR43" i="1"/>
  <c r="DR44" i="1"/>
  <c r="AQ7" i="1"/>
  <c r="AQ34" i="1"/>
  <c r="AQ35" i="1"/>
  <c r="AQ36" i="1"/>
  <c r="AQ37" i="1"/>
  <c r="AQ38" i="1"/>
  <c r="AQ39" i="1"/>
  <c r="AQ40" i="1"/>
  <c r="AQ41" i="1"/>
  <c r="AQ42" i="1"/>
  <c r="AQ43" i="1"/>
  <c r="AQ44" i="1"/>
  <c r="DO44" i="1"/>
  <c r="BN44" i="1"/>
  <c r="DO43" i="1"/>
  <c r="BN43" i="1"/>
  <c r="DO42" i="1"/>
  <c r="BN42" i="1"/>
  <c r="DO41" i="1"/>
  <c r="BN41" i="1"/>
  <c r="DO40" i="1"/>
  <c r="BN40" i="1"/>
  <c r="DO39" i="1"/>
  <c r="BN39" i="1"/>
  <c r="DO38" i="1"/>
  <c r="BN38" i="1"/>
  <c r="DO37" i="1"/>
  <c r="BN37" i="1"/>
  <c r="DO36" i="1"/>
  <c r="BN36" i="1"/>
  <c r="DO35" i="1"/>
  <c r="BN35" i="1"/>
  <c r="DO34" i="1"/>
  <c r="A3" i="2"/>
  <c r="A2" i="2"/>
  <c r="AO44" i="1"/>
  <c r="AO43" i="1"/>
  <c r="AO42" i="1"/>
  <c r="AO41" i="1"/>
  <c r="AO40" i="1"/>
  <c r="AO39" i="1"/>
  <c r="AO38" i="1"/>
  <c r="AO37" i="1"/>
  <c r="AO36" i="1"/>
  <c r="AO35" i="1"/>
  <c r="AC2" i="2"/>
  <c r="K3" i="1" s="1"/>
  <c r="M3" i="2" a="1"/>
  <c r="M3" i="2" s="1"/>
  <c r="M2" i="2" a="1"/>
  <c r="M2" i="2" s="1"/>
  <c r="R7" i="1" a="1"/>
  <c r="AC7" i="1" a="1"/>
  <c r="E7" i="1" a="1"/>
  <c r="C7" i="1"/>
  <c r="G7" i="1" a="1"/>
  <c r="F7" i="1" a="1"/>
  <c r="D7" i="1" a="1"/>
  <c r="AC7" i="1" l="1"/>
  <c r="B8" i="1" a="1"/>
  <c r="R7" i="1"/>
  <c r="G7" i="1"/>
  <c r="F7" i="1"/>
  <c r="E7" i="1"/>
  <c r="D7" i="1"/>
  <c r="CK34" i="1"/>
  <c r="CK35" i="1"/>
  <c r="CK36" i="1"/>
  <c r="CK37" i="1"/>
  <c r="CK38" i="1"/>
  <c r="CK39" i="1"/>
  <c r="CK40" i="1"/>
  <c r="CK41" i="1"/>
  <c r="CK42" i="1"/>
  <c r="CK43" i="1"/>
  <c r="CK44" i="1"/>
  <c r="CH34" i="1"/>
  <c r="CH35" i="1"/>
  <c r="CH36" i="1"/>
  <c r="CH37" i="1"/>
  <c r="CH38" i="1"/>
  <c r="CH39" i="1"/>
  <c r="CH40" i="1"/>
  <c r="CH41" i="1"/>
  <c r="CH42" i="1"/>
  <c r="CH43" i="1"/>
  <c r="CH44" i="1"/>
  <c r="CW34" i="1" a="1"/>
  <c r="CW34" i="1" s="1"/>
  <c r="CW35" i="1" a="1"/>
  <c r="CW35" i="1" s="1"/>
  <c r="CW36" i="1" a="1"/>
  <c r="CW36" i="1" s="1"/>
  <c r="CW37" i="1" a="1"/>
  <c r="CW37" i="1" s="1"/>
  <c r="CW38" i="1" a="1"/>
  <c r="CW38" i="1" s="1"/>
  <c r="CW39" i="1" a="1"/>
  <c r="CW39" i="1" s="1"/>
  <c r="CW40" i="1" a="1"/>
  <c r="CW40" i="1" s="1"/>
  <c r="CW41" i="1" a="1"/>
  <c r="CW41" i="1" s="1"/>
  <c r="CW42" i="1" a="1"/>
  <c r="CW42" i="1" s="1"/>
  <c r="CW43" i="1" a="1"/>
  <c r="CW43" i="1" s="1"/>
  <c r="CW44" i="1" a="1"/>
  <c r="CW44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J61" i="1"/>
  <c r="F3" i="1"/>
  <c r="T3" i="1"/>
  <c r="U3" i="1"/>
  <c r="CK33" i="1" l="1"/>
  <c r="DR8" i="1"/>
  <c r="DR20" i="1"/>
  <c r="DR32" i="1"/>
  <c r="DR9" i="1"/>
  <c r="DR21" i="1"/>
  <c r="DR33" i="1"/>
  <c r="DR19" i="1"/>
  <c r="DR10" i="1"/>
  <c r="DR22" i="1"/>
  <c r="AQ8" i="1"/>
  <c r="DR26" i="1"/>
  <c r="DR15" i="1"/>
  <c r="DR11" i="1"/>
  <c r="DR23" i="1"/>
  <c r="DR12" i="1"/>
  <c r="DR24" i="1"/>
  <c r="DR13" i="1"/>
  <c r="DR25" i="1"/>
  <c r="DR14" i="1"/>
  <c r="DR27" i="1"/>
  <c r="DR17" i="1"/>
  <c r="DR29" i="1"/>
  <c r="DR30" i="1"/>
  <c r="DR31" i="1"/>
  <c r="DR16" i="1"/>
  <c r="DR28" i="1"/>
  <c r="DR18" i="1"/>
  <c r="AK33" i="1" a="1"/>
  <c r="AK33" i="1" s="1"/>
  <c r="BB33" i="1" a="1"/>
  <c r="BB33" i="1" s="1"/>
  <c r="CW33" i="1" a="1"/>
  <c r="CW33" i="1" s="1"/>
  <c r="CH33" i="1"/>
  <c r="CW32" i="1" a="1"/>
  <c r="CW32" i="1" s="1"/>
  <c r="DO33" i="1"/>
  <c r="BN34" i="1"/>
  <c r="AO34" i="1"/>
  <c r="CH32" i="1"/>
  <c r="CK32" i="1"/>
  <c r="BB32" i="1" a="1"/>
  <c r="BB32" i="1" s="1"/>
  <c r="AK32" i="1" a="1"/>
  <c r="AK32" i="1" s="1"/>
  <c r="B8" i="1"/>
  <c r="BN33" i="1"/>
  <c r="DO32" i="1"/>
  <c r="AO33" i="1"/>
  <c r="BN8" i="1"/>
  <c r="DO26" i="1"/>
  <c r="DO20" i="1"/>
  <c r="DO14" i="1"/>
  <c r="DO8" i="1"/>
  <c r="BN32" i="1"/>
  <c r="BN26" i="1"/>
  <c r="BN20" i="1"/>
  <c r="BN14" i="1"/>
  <c r="DO31" i="1"/>
  <c r="DO25" i="1"/>
  <c r="DO19" i="1"/>
  <c r="DO13" i="1"/>
  <c r="BN9" i="1"/>
  <c r="BN31" i="1"/>
  <c r="BN25" i="1"/>
  <c r="BN19" i="1"/>
  <c r="BN13" i="1"/>
  <c r="DO30" i="1"/>
  <c r="DO24" i="1"/>
  <c r="DO18" i="1"/>
  <c r="DO12" i="1"/>
  <c r="BN30" i="1"/>
  <c r="BN24" i="1"/>
  <c r="BN18" i="1"/>
  <c r="BN12" i="1"/>
  <c r="DO29" i="1"/>
  <c r="DO23" i="1"/>
  <c r="DO17" i="1"/>
  <c r="DO11" i="1"/>
  <c r="BN29" i="1"/>
  <c r="BN23" i="1"/>
  <c r="BN17" i="1"/>
  <c r="BN11" i="1"/>
  <c r="BN28" i="1"/>
  <c r="BN22" i="1"/>
  <c r="BN16" i="1"/>
  <c r="DO27" i="1"/>
  <c r="DO21" i="1"/>
  <c r="DO15" i="1"/>
  <c r="DO9" i="1"/>
  <c r="BN27" i="1"/>
  <c r="BN21" i="1"/>
  <c r="BN15" i="1"/>
  <c r="DO28" i="1"/>
  <c r="DO22" i="1"/>
  <c r="DO16" i="1"/>
  <c r="DO10" i="1"/>
  <c r="BN10" i="1"/>
  <c r="BN7" i="1"/>
  <c r="DO7" i="1"/>
  <c r="AO31" i="1"/>
  <c r="AO28" i="1"/>
  <c r="AO25" i="1"/>
  <c r="AO26" i="1"/>
  <c r="AO22" i="1"/>
  <c r="AO19" i="1"/>
  <c r="AO20" i="1"/>
  <c r="AO16" i="1"/>
  <c r="AO13" i="1"/>
  <c r="AO14" i="1"/>
  <c r="AO10" i="1"/>
  <c r="AO12" i="1"/>
  <c r="AO23" i="1"/>
  <c r="AO27" i="1"/>
  <c r="AO17" i="1"/>
  <c r="AO32" i="1"/>
  <c r="AO21" i="1"/>
  <c r="AO11" i="1"/>
  <c r="AO30" i="1"/>
  <c r="AO15" i="1"/>
  <c r="AO24" i="1"/>
  <c r="AO9" i="1"/>
  <c r="AO29" i="1"/>
  <c r="AO18" i="1"/>
  <c r="AO8" i="1"/>
  <c r="AO7" i="1"/>
  <c r="CH31" i="1"/>
  <c r="CK31" i="1"/>
  <c r="CK30" i="1"/>
  <c r="CH30" i="1"/>
  <c r="CW30" i="1" a="1"/>
  <c r="CW30" i="1" s="1"/>
  <c r="BB30" i="1" a="1"/>
  <c r="BB30" i="1" s="1"/>
  <c r="AK30" i="1" a="1"/>
  <c r="AK30" i="1" s="1"/>
  <c r="AK29" i="1" a="1"/>
  <c r="AK29" i="1" s="1"/>
  <c r="BB29" i="1" a="1"/>
  <c r="BB29" i="1" s="1"/>
  <c r="CW29" i="1" a="1"/>
  <c r="CW29" i="1" s="1"/>
  <c r="CH29" i="1"/>
  <c r="CK29" i="1"/>
  <c r="CH28" i="1"/>
  <c r="CK28" i="1"/>
  <c r="CH27" i="1"/>
  <c r="CK27" i="1"/>
  <c r="AK27" i="1" a="1"/>
  <c r="AK27" i="1" s="1"/>
  <c r="BB27" i="1" a="1"/>
  <c r="BB27" i="1" s="1"/>
  <c r="CW27" i="1" a="1"/>
  <c r="CW27" i="1" s="1"/>
  <c r="CH26" i="1"/>
  <c r="CW26" i="1" a="1"/>
  <c r="CW26" i="1" s="1"/>
  <c r="BB26" i="1" a="1"/>
  <c r="BB26" i="1" s="1"/>
  <c r="CK26" i="1"/>
  <c r="AK26" i="1" a="1"/>
  <c r="AK26" i="1" s="1"/>
  <c r="CH25" i="1"/>
  <c r="CW25" i="1" a="1"/>
  <c r="CW25" i="1" s="1"/>
  <c r="CK25" i="1"/>
  <c r="AK25" i="1" a="1"/>
  <c r="AK25" i="1" s="1"/>
  <c r="BB25" i="1" a="1"/>
  <c r="BB25" i="1" s="1"/>
  <c r="CK24" i="1"/>
  <c r="AK24" i="1" a="1"/>
  <c r="AK24" i="1" s="1"/>
  <c r="CH24" i="1"/>
  <c r="CW24" i="1" a="1"/>
  <c r="CW24" i="1" s="1"/>
  <c r="BB24" i="1" a="1"/>
  <c r="BB24" i="1" s="1"/>
  <c r="BB23" i="1" a="1"/>
  <c r="BB23" i="1" s="1"/>
  <c r="CH23" i="1"/>
  <c r="CW23" i="1" a="1"/>
  <c r="CW23" i="1" s="1"/>
  <c r="CK23" i="1"/>
  <c r="AK23" i="1" a="1"/>
  <c r="AK23" i="1" s="1"/>
  <c r="CH22" i="1"/>
  <c r="CW22" i="1" a="1"/>
  <c r="CW22" i="1" s="1"/>
  <c r="AK22" i="1" a="1"/>
  <c r="AK22" i="1" s="1"/>
  <c r="BB22" i="1" a="1"/>
  <c r="BB22" i="1" s="1"/>
  <c r="CK22" i="1"/>
  <c r="CH21" i="1"/>
  <c r="BB21" i="1" a="1"/>
  <c r="BB21" i="1" s="1"/>
  <c r="CK21" i="1"/>
  <c r="AK21" i="1" a="1"/>
  <c r="AK21" i="1" s="1"/>
  <c r="CW21" i="1" a="1"/>
  <c r="CW21" i="1" s="1"/>
  <c r="BB20" i="1" a="1"/>
  <c r="BB20" i="1" s="1"/>
  <c r="CH20" i="1"/>
  <c r="AK20" i="1" a="1"/>
  <c r="AK20" i="1" s="1"/>
  <c r="CW20" i="1" a="1"/>
  <c r="CW20" i="1" s="1"/>
  <c r="CK20" i="1"/>
  <c r="CH19" i="1"/>
  <c r="AK19" i="1" a="1"/>
  <c r="AK19" i="1" s="1"/>
  <c r="BB19" i="1" a="1"/>
  <c r="BB19" i="1" s="1"/>
  <c r="CW19" i="1" a="1"/>
  <c r="CW19" i="1" s="1"/>
  <c r="CK19" i="1"/>
  <c r="CW18" i="1" a="1"/>
  <c r="CW18" i="1" s="1"/>
  <c r="BB18" i="1" a="1"/>
  <c r="BB18" i="1" s="1"/>
  <c r="AK18" i="1" a="1"/>
  <c r="AK18" i="1" s="1"/>
  <c r="CK18" i="1"/>
  <c r="CH18" i="1"/>
  <c r="AK17" i="1" a="1"/>
  <c r="AK17" i="1" s="1"/>
  <c r="CK17" i="1"/>
  <c r="CW17" i="1" a="1"/>
  <c r="CW17" i="1" s="1"/>
  <c r="CH17" i="1"/>
  <c r="BB17" i="1" a="1"/>
  <c r="BB17" i="1" s="1"/>
  <c r="CW16" i="1" a="1"/>
  <c r="CW16" i="1" s="1"/>
  <c r="CK16" i="1"/>
  <c r="BB16" i="1" a="1"/>
  <c r="BB16" i="1" s="1"/>
  <c r="AK16" i="1" a="1"/>
  <c r="AK16" i="1" s="1"/>
  <c r="CH16" i="1"/>
  <c r="CW15" i="1" a="1"/>
  <c r="CW15" i="1" s="1"/>
  <c r="BB15" i="1" a="1"/>
  <c r="BB15" i="1" s="1"/>
  <c r="AK15" i="1" a="1"/>
  <c r="AK15" i="1" s="1"/>
  <c r="CK15" i="1"/>
  <c r="CH15" i="1"/>
  <c r="AK14" i="1" a="1"/>
  <c r="AK14" i="1" s="1"/>
  <c r="CK14" i="1"/>
  <c r="CH14" i="1"/>
  <c r="CW14" i="1" a="1"/>
  <c r="CW14" i="1" s="1"/>
  <c r="BB14" i="1" a="1"/>
  <c r="BB14" i="1" s="1"/>
  <c r="AK13" i="1" a="1"/>
  <c r="AK13" i="1" s="1"/>
  <c r="BB13" i="1" a="1"/>
  <c r="BB13" i="1" s="1"/>
  <c r="CW13" i="1" a="1"/>
  <c r="CW13" i="1" s="1"/>
  <c r="CH13" i="1"/>
  <c r="CK13" i="1"/>
  <c r="BB12" i="1" a="1"/>
  <c r="BB12" i="1" s="1"/>
  <c r="CW12" i="1" a="1"/>
  <c r="CW12" i="1" s="1"/>
  <c r="AK12" i="1" a="1"/>
  <c r="AK12" i="1" s="1"/>
  <c r="CH12" i="1"/>
  <c r="CK12" i="1"/>
  <c r="CH11" i="1"/>
  <c r="CK11" i="1"/>
  <c r="BB11" i="1" a="1"/>
  <c r="BB11" i="1" s="1"/>
  <c r="AK11" i="1" a="1"/>
  <c r="AK11" i="1" s="1"/>
  <c r="CW11" i="1" a="1"/>
  <c r="CW11" i="1" s="1"/>
  <c r="CW10" i="1" a="1"/>
  <c r="CW10" i="1" s="1"/>
  <c r="CH10" i="1"/>
  <c r="CW9" i="1" a="1"/>
  <c r="CW9" i="1" s="1"/>
  <c r="CH9" i="1"/>
  <c r="CH8" i="1"/>
  <c r="CK10" i="1"/>
  <c r="CK9" i="1"/>
  <c r="AK10" i="1" a="1"/>
  <c r="AK10" i="1" s="1"/>
  <c r="AK9" i="1" a="1"/>
  <c r="AK9" i="1" s="1"/>
  <c r="CK8" i="1"/>
  <c r="BB10" i="1" a="1"/>
  <c r="BB10" i="1" s="1"/>
  <c r="BB9" i="1" a="1"/>
  <c r="BB9" i="1" s="1"/>
  <c r="DM8" i="1"/>
  <c r="DN8" i="1"/>
  <c r="DM9" i="1"/>
  <c r="DN9" i="1"/>
  <c r="DM10" i="1"/>
  <c r="DN10" i="1"/>
  <c r="DM11" i="1"/>
  <c r="DN11" i="1"/>
  <c r="DM12" i="1"/>
  <c r="DN12" i="1"/>
  <c r="DM13" i="1"/>
  <c r="DN13" i="1"/>
  <c r="DM14" i="1"/>
  <c r="DN14" i="1"/>
  <c r="DM15" i="1"/>
  <c r="DN15" i="1"/>
  <c r="DM16" i="1"/>
  <c r="DN16" i="1"/>
  <c r="DM17" i="1"/>
  <c r="DN17" i="1"/>
  <c r="DM18" i="1"/>
  <c r="DN18" i="1"/>
  <c r="DM19" i="1"/>
  <c r="DN19" i="1"/>
  <c r="DM20" i="1"/>
  <c r="DN20" i="1"/>
  <c r="DM21" i="1"/>
  <c r="DN21" i="1"/>
  <c r="DM22" i="1"/>
  <c r="DN22" i="1"/>
  <c r="DM23" i="1"/>
  <c r="DN23" i="1"/>
  <c r="DM24" i="1"/>
  <c r="DN24" i="1"/>
  <c r="DM25" i="1"/>
  <c r="DN25" i="1"/>
  <c r="DM26" i="1"/>
  <c r="DN26" i="1"/>
  <c r="DM27" i="1"/>
  <c r="DN27" i="1"/>
  <c r="DM28" i="1"/>
  <c r="DN28" i="1"/>
  <c r="DM29" i="1"/>
  <c r="DN29" i="1"/>
  <c r="DM30" i="1"/>
  <c r="DN30" i="1"/>
  <c r="DM31" i="1"/>
  <c r="DN31" i="1"/>
  <c r="DM32" i="1"/>
  <c r="DN32" i="1"/>
  <c r="DM33" i="1"/>
  <c r="DN33" i="1"/>
  <c r="DM34" i="1"/>
  <c r="DN34" i="1"/>
  <c r="DM35" i="1"/>
  <c r="DN35" i="1"/>
  <c r="DM36" i="1"/>
  <c r="DN36" i="1"/>
  <c r="DM37" i="1"/>
  <c r="DN37" i="1"/>
  <c r="DM38" i="1"/>
  <c r="DN38" i="1"/>
  <c r="DM39" i="1"/>
  <c r="DN39" i="1"/>
  <c r="DM40" i="1"/>
  <c r="DN40" i="1"/>
  <c r="DM41" i="1"/>
  <c r="DN41" i="1"/>
  <c r="DM42" i="1"/>
  <c r="DN42" i="1"/>
  <c r="DM43" i="1"/>
  <c r="DN43" i="1"/>
  <c r="DM44" i="1"/>
  <c r="DN44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CW31" i="1" a="1"/>
  <c r="BB31" i="1" a="1"/>
  <c r="AK31" i="1" a="1"/>
  <c r="AK28" i="1" a="1"/>
  <c r="BB28" i="1" a="1"/>
  <c r="CW28" i="1" a="1"/>
  <c r="CW8" i="1" a="1"/>
  <c r="AK8" i="1" a="1"/>
  <c r="AK31" i="1" l="1"/>
  <c r="CW31" i="1"/>
  <c r="BB31" i="1"/>
  <c r="BB28" i="1"/>
  <c r="CW8" i="1"/>
  <c r="AK8" i="1"/>
  <c r="CW28" i="1"/>
  <c r="AK28" i="1"/>
  <c r="DP40" i="1"/>
  <c r="DP24" i="1"/>
  <c r="DP30" i="1"/>
  <c r="DP14" i="1"/>
  <c r="DP35" i="1"/>
  <c r="DP19" i="1"/>
  <c r="DP17" i="1"/>
  <c r="DP33" i="1"/>
  <c r="DP39" i="1"/>
  <c r="DP23" i="1"/>
  <c r="DP43" i="1"/>
  <c r="DP27" i="1"/>
  <c r="DP11" i="1"/>
  <c r="DP31" i="1"/>
  <c r="DP15" i="1"/>
  <c r="DP36" i="1"/>
  <c r="DP20" i="1"/>
  <c r="DP41" i="1"/>
  <c r="DP25" i="1"/>
  <c r="DP29" i="1"/>
  <c r="DP13" i="1"/>
  <c r="DP34" i="1"/>
  <c r="DP18" i="1"/>
  <c r="DP44" i="1"/>
  <c r="DP28" i="1"/>
  <c r="DP12" i="1"/>
  <c r="DP37" i="1"/>
  <c r="DP32" i="1"/>
  <c r="DP16" i="1"/>
  <c r="DP38" i="1"/>
  <c r="DP22" i="1"/>
  <c r="DP21" i="1"/>
  <c r="DP42" i="1"/>
  <c r="DP26" i="1"/>
  <c r="Y7" i="1" a="1"/>
  <c r="Y7" i="1" s="1"/>
  <c r="BB8" i="1" a="1"/>
  <c r="BB8" i="1" l="1"/>
  <c r="CL7" i="1" l="1"/>
  <c r="CL8" i="1" s="1"/>
  <c r="CL9" i="1" s="1"/>
  <c r="CL10" i="1" s="1"/>
  <c r="CL11" i="1" s="1"/>
  <c r="CL12" i="1" s="1"/>
  <c r="CL13" i="1" s="1"/>
  <c r="CL14" i="1" s="1"/>
  <c r="CL15" i="1" s="1"/>
  <c r="CL16" i="1" s="1"/>
  <c r="CL17" i="1" s="1"/>
  <c r="CL18" i="1" s="1"/>
  <c r="CL19" i="1" s="1"/>
  <c r="CL20" i="1" s="1"/>
  <c r="CL21" i="1" s="1"/>
  <c r="CL22" i="1" s="1"/>
  <c r="CL23" i="1" s="1"/>
  <c r="CL24" i="1" s="1"/>
  <c r="CL25" i="1" s="1"/>
  <c r="CL26" i="1" s="1"/>
  <c r="CL27" i="1" s="1"/>
  <c r="CL28" i="1" s="1"/>
  <c r="CL29" i="1" s="1"/>
  <c r="CL30" i="1" s="1"/>
  <c r="CL31" i="1" s="1"/>
  <c r="CL32" i="1" s="1"/>
  <c r="CL33" i="1" s="1"/>
  <c r="CL34" i="1" s="1"/>
  <c r="CL35" i="1" s="1"/>
  <c r="CL36" i="1" s="1"/>
  <c r="CL37" i="1" s="1"/>
  <c r="CL38" i="1" s="1"/>
  <c r="CL39" i="1" s="1"/>
  <c r="CL40" i="1" s="1"/>
  <c r="CL41" i="1" s="1"/>
  <c r="CL42" i="1" s="1"/>
  <c r="CL43" i="1" s="1"/>
  <c r="CL44" i="1" s="1"/>
  <c r="DI34" i="1" l="1"/>
  <c r="DI38" i="1"/>
  <c r="DI37" i="1"/>
  <c r="DI36" i="1"/>
  <c r="DI31" i="1"/>
  <c r="DI28" i="1"/>
  <c r="DI35" i="1"/>
  <c r="DI24" i="1"/>
  <c r="DI23" i="1"/>
  <c r="DI33" i="1"/>
  <c r="DI22" i="1"/>
  <c r="DI32" i="1"/>
  <c r="DI21" i="1"/>
  <c r="DI20" i="1"/>
  <c r="DI30" i="1"/>
  <c r="DI19" i="1"/>
  <c r="DI29" i="1"/>
  <c r="DI18" i="1"/>
  <c r="DI43" i="1"/>
  <c r="DI27" i="1"/>
  <c r="DI42" i="1"/>
  <c r="DI26" i="1"/>
  <c r="DI41" i="1"/>
  <c r="DI44" i="1"/>
  <c r="DI25" i="1"/>
  <c r="DI40" i="1"/>
  <c r="DI39" i="1"/>
  <c r="CD7" i="1" a="1"/>
  <c r="BO7" i="1" a="1"/>
  <c r="BX7" i="1" a="1"/>
  <c r="BU7" i="1" a="1"/>
  <c r="BR7" i="1" a="1"/>
  <c r="CA7" i="1" a="1"/>
  <c r="CD7" i="1" l="1"/>
  <c r="CA7" i="1"/>
  <c r="BX7" i="1"/>
  <c r="BU7" i="1"/>
  <c r="BR7" i="1"/>
  <c r="BO7" i="1"/>
  <c r="V7" i="1" l="1" a="1"/>
  <c r="V7" i="1" s="1"/>
  <c r="M7" i="1" a="1"/>
  <c r="M7" i="1" s="1"/>
  <c r="AK7" i="1" a="1"/>
  <c r="V3" i="1"/>
  <c r="DR7" i="1" l="1"/>
  <c r="AK7" i="1"/>
  <c r="Z7" i="1" l="1" a="1"/>
  <c r="Z7" i="1" s="1"/>
  <c r="BO13" i="1" a="1"/>
  <c r="BO13" i="1" s="1"/>
  <c r="BO14" i="1" a="1"/>
  <c r="BO14" i="1" s="1"/>
  <c r="BO15" i="1" a="1"/>
  <c r="BO15" i="1" s="1"/>
  <c r="BO16" i="1" a="1"/>
  <c r="BO16" i="1" s="1"/>
  <c r="BO17" i="1" a="1"/>
  <c r="BO17" i="1" s="1"/>
  <c r="BO18" i="1" a="1"/>
  <c r="BO18" i="1" s="1"/>
  <c r="BO19" i="1" a="1"/>
  <c r="BO19" i="1" s="1"/>
  <c r="BO20" i="1" a="1"/>
  <c r="BO20" i="1" s="1"/>
  <c r="BO21" i="1" a="1"/>
  <c r="BO21" i="1" s="1"/>
  <c r="BO22" i="1" a="1"/>
  <c r="BO22" i="1" s="1"/>
  <c r="BO23" i="1" a="1"/>
  <c r="BO23" i="1" s="1"/>
  <c r="BO24" i="1" a="1"/>
  <c r="BO24" i="1" s="1"/>
  <c r="BO25" i="1" a="1"/>
  <c r="BO25" i="1" s="1"/>
  <c r="BO26" i="1" a="1"/>
  <c r="BO26" i="1" s="1"/>
  <c r="BO27" i="1" a="1"/>
  <c r="BO27" i="1" s="1"/>
  <c r="BO29" i="1" a="1"/>
  <c r="BO29" i="1" s="1"/>
  <c r="BO30" i="1" a="1"/>
  <c r="BO30" i="1" s="1"/>
  <c r="BO32" i="1" a="1"/>
  <c r="BO32" i="1" s="1"/>
  <c r="BO33" i="1" a="1"/>
  <c r="BO33" i="1" s="1"/>
  <c r="BO34" i="1" a="1"/>
  <c r="BO34" i="1" s="1"/>
  <c r="BO35" i="1" a="1"/>
  <c r="BO35" i="1" s="1"/>
  <c r="BO36" i="1" a="1"/>
  <c r="BO36" i="1" s="1"/>
  <c r="BO37" i="1" a="1"/>
  <c r="BO37" i="1" s="1"/>
  <c r="BO38" i="1" a="1"/>
  <c r="BO38" i="1" s="1"/>
  <c r="BO39" i="1" a="1"/>
  <c r="BO39" i="1" s="1"/>
  <c r="BO40" i="1" a="1"/>
  <c r="BO40" i="1" s="1"/>
  <c r="BO41" i="1" a="1"/>
  <c r="BO41" i="1" s="1"/>
  <c r="BO42" i="1" a="1"/>
  <c r="BO42" i="1" s="1"/>
  <c r="BO43" i="1" a="1"/>
  <c r="BO43" i="1" s="1"/>
  <c r="BO44" i="1" a="1"/>
  <c r="BO44" i="1" s="1"/>
  <c r="BX11" i="1" a="1"/>
  <c r="BX11" i="1" s="1"/>
  <c r="BX13" i="1" a="1"/>
  <c r="BX13" i="1" s="1"/>
  <c r="BX14" i="1" a="1"/>
  <c r="BX14" i="1" s="1"/>
  <c r="BX15" i="1" a="1"/>
  <c r="BX15" i="1" s="1"/>
  <c r="BX16" i="1" a="1"/>
  <c r="BX16" i="1" s="1"/>
  <c r="BX17" i="1" a="1"/>
  <c r="BX17" i="1" s="1"/>
  <c r="BX18" i="1" a="1"/>
  <c r="BX18" i="1" s="1"/>
  <c r="BX19" i="1" a="1"/>
  <c r="BX19" i="1" s="1"/>
  <c r="BX20" i="1" a="1"/>
  <c r="BX20" i="1" s="1"/>
  <c r="BX21" i="1" a="1"/>
  <c r="BX21" i="1" s="1"/>
  <c r="BX22" i="1" a="1"/>
  <c r="BX22" i="1" s="1"/>
  <c r="BX23" i="1" a="1"/>
  <c r="BX23" i="1" s="1"/>
  <c r="BX24" i="1" a="1"/>
  <c r="BX24" i="1" s="1"/>
  <c r="BX25" i="1" a="1"/>
  <c r="BX25" i="1" s="1"/>
  <c r="BX26" i="1" a="1"/>
  <c r="BX26" i="1" s="1"/>
  <c r="BX27" i="1" a="1"/>
  <c r="BX27" i="1" s="1"/>
  <c r="BX29" i="1" a="1"/>
  <c r="BX29" i="1" s="1"/>
  <c r="BX30" i="1" a="1"/>
  <c r="BX30" i="1" s="1"/>
  <c r="BX32" i="1" a="1"/>
  <c r="BX32" i="1" s="1"/>
  <c r="BX33" i="1" a="1"/>
  <c r="BX33" i="1" s="1"/>
  <c r="BX34" i="1" a="1"/>
  <c r="BX34" i="1" s="1"/>
  <c r="BX35" i="1" a="1"/>
  <c r="BX35" i="1" s="1"/>
  <c r="BX36" i="1" a="1"/>
  <c r="BX36" i="1" s="1"/>
  <c r="BX37" i="1" a="1"/>
  <c r="BX37" i="1" s="1"/>
  <c r="BX38" i="1" a="1"/>
  <c r="BX38" i="1" s="1"/>
  <c r="BX39" i="1" a="1"/>
  <c r="BX39" i="1" s="1"/>
  <c r="BX40" i="1" a="1"/>
  <c r="BX40" i="1" s="1"/>
  <c r="BX41" i="1" a="1"/>
  <c r="BX41" i="1" s="1"/>
  <c r="BX42" i="1" a="1"/>
  <c r="BX42" i="1" s="1"/>
  <c r="BX43" i="1" a="1"/>
  <c r="BX43" i="1" s="1"/>
  <c r="BX44" i="1" a="1"/>
  <c r="BX44" i="1" s="1"/>
  <c r="BU11" i="1" a="1"/>
  <c r="BU11" i="1" s="1"/>
  <c r="BU13" i="1" a="1"/>
  <c r="BU13" i="1" s="1"/>
  <c r="BU14" i="1" a="1"/>
  <c r="BU14" i="1" s="1"/>
  <c r="BU15" i="1" a="1"/>
  <c r="BU15" i="1" s="1"/>
  <c r="BU16" i="1" a="1"/>
  <c r="BU16" i="1" s="1"/>
  <c r="BU17" i="1" a="1"/>
  <c r="BU17" i="1" s="1"/>
  <c r="BU18" i="1" a="1"/>
  <c r="BU18" i="1" s="1"/>
  <c r="BU19" i="1" a="1"/>
  <c r="BU19" i="1" s="1"/>
  <c r="BU20" i="1" a="1"/>
  <c r="BU20" i="1" s="1"/>
  <c r="BU21" i="1" a="1"/>
  <c r="BU21" i="1" s="1"/>
  <c r="BU22" i="1" a="1"/>
  <c r="BU22" i="1" s="1"/>
  <c r="BU23" i="1" a="1"/>
  <c r="BU23" i="1" s="1"/>
  <c r="BU24" i="1" a="1"/>
  <c r="BU24" i="1" s="1"/>
  <c r="BU25" i="1" a="1"/>
  <c r="BU25" i="1" s="1"/>
  <c r="BU26" i="1" a="1"/>
  <c r="BU26" i="1" s="1"/>
  <c r="BU27" i="1" a="1"/>
  <c r="BU27" i="1" s="1"/>
  <c r="BU29" i="1" a="1"/>
  <c r="BU29" i="1" s="1"/>
  <c r="BU30" i="1" a="1"/>
  <c r="BU30" i="1" s="1"/>
  <c r="BU32" i="1" a="1"/>
  <c r="BU32" i="1" s="1"/>
  <c r="BU33" i="1" a="1"/>
  <c r="BU33" i="1" s="1"/>
  <c r="BU34" i="1" a="1"/>
  <c r="BU34" i="1" s="1"/>
  <c r="BU35" i="1" a="1"/>
  <c r="BU35" i="1" s="1"/>
  <c r="BU36" i="1" a="1"/>
  <c r="BU36" i="1" s="1"/>
  <c r="BU37" i="1" a="1"/>
  <c r="BU37" i="1" s="1"/>
  <c r="BU38" i="1" a="1"/>
  <c r="BU38" i="1" s="1"/>
  <c r="BU39" i="1" a="1"/>
  <c r="BU39" i="1" s="1"/>
  <c r="BU40" i="1" a="1"/>
  <c r="BU40" i="1" s="1"/>
  <c r="BU41" i="1" a="1"/>
  <c r="BU41" i="1" s="1"/>
  <c r="BU42" i="1" a="1"/>
  <c r="BU42" i="1" s="1"/>
  <c r="BU43" i="1" a="1"/>
  <c r="BU43" i="1" s="1"/>
  <c r="BU44" i="1" a="1"/>
  <c r="BU44" i="1" s="1"/>
  <c r="BK11" i="1" a="1"/>
  <c r="BK11" i="1" s="1"/>
  <c r="BK13" i="1" a="1"/>
  <c r="BK13" i="1" s="1"/>
  <c r="BK14" i="1" a="1"/>
  <c r="BK14" i="1" s="1"/>
  <c r="BK15" i="1" a="1"/>
  <c r="BK15" i="1" s="1"/>
  <c r="BK16" i="1" a="1"/>
  <c r="BK16" i="1" s="1"/>
  <c r="BK17" i="1" a="1"/>
  <c r="BK17" i="1" s="1"/>
  <c r="BK18" i="1" a="1"/>
  <c r="BK18" i="1" s="1"/>
  <c r="BK19" i="1" a="1"/>
  <c r="BK19" i="1" s="1"/>
  <c r="BK20" i="1" a="1"/>
  <c r="BK20" i="1" s="1"/>
  <c r="BK21" i="1" a="1"/>
  <c r="BK21" i="1" s="1"/>
  <c r="BK22" i="1" a="1"/>
  <c r="BK22" i="1" s="1"/>
  <c r="BK23" i="1" a="1"/>
  <c r="BK23" i="1" s="1"/>
  <c r="BK24" i="1" a="1"/>
  <c r="BK24" i="1" s="1"/>
  <c r="BK25" i="1" a="1"/>
  <c r="BK25" i="1" s="1"/>
  <c r="BK26" i="1" a="1"/>
  <c r="BK26" i="1" s="1"/>
  <c r="BK27" i="1" a="1"/>
  <c r="BK27" i="1" s="1"/>
  <c r="BK29" i="1" a="1"/>
  <c r="BK29" i="1" s="1"/>
  <c r="BK30" i="1" a="1"/>
  <c r="BK30" i="1" s="1"/>
  <c r="BK32" i="1" a="1"/>
  <c r="BK32" i="1" s="1"/>
  <c r="BK33" i="1" a="1"/>
  <c r="BK33" i="1" s="1"/>
  <c r="BK34" i="1" a="1"/>
  <c r="BK34" i="1" s="1"/>
  <c r="BK35" i="1" a="1"/>
  <c r="BK35" i="1" s="1"/>
  <c r="BK36" i="1" a="1"/>
  <c r="BK36" i="1" s="1"/>
  <c r="BK37" i="1" a="1"/>
  <c r="BK37" i="1" s="1"/>
  <c r="BK38" i="1" a="1"/>
  <c r="BK38" i="1" s="1"/>
  <c r="BK39" i="1" a="1"/>
  <c r="BK39" i="1" s="1"/>
  <c r="BK40" i="1" a="1"/>
  <c r="BK40" i="1" s="1"/>
  <c r="BK41" i="1" a="1"/>
  <c r="BK41" i="1" s="1"/>
  <c r="BK42" i="1" a="1"/>
  <c r="BK42" i="1" s="1"/>
  <c r="BK43" i="1" a="1"/>
  <c r="BK43" i="1" s="1"/>
  <c r="BK44" i="1" a="1"/>
  <c r="BK44" i="1" s="1"/>
  <c r="BH11" i="1" a="1"/>
  <c r="BH11" i="1" s="1"/>
  <c r="BH13" i="1" a="1"/>
  <c r="BH13" i="1" s="1"/>
  <c r="BH14" i="1" a="1"/>
  <c r="BH14" i="1" s="1"/>
  <c r="BH15" i="1" a="1"/>
  <c r="BH15" i="1" s="1"/>
  <c r="BH16" i="1" a="1"/>
  <c r="BH16" i="1" s="1"/>
  <c r="BH17" i="1" a="1"/>
  <c r="BH17" i="1" s="1"/>
  <c r="BH18" i="1" a="1"/>
  <c r="BH18" i="1" s="1"/>
  <c r="BH19" i="1" a="1"/>
  <c r="BH19" i="1" s="1"/>
  <c r="BH20" i="1" a="1"/>
  <c r="BH20" i="1" s="1"/>
  <c r="BH21" i="1" a="1"/>
  <c r="BH21" i="1" s="1"/>
  <c r="BH22" i="1" a="1"/>
  <c r="BH22" i="1" s="1"/>
  <c r="BH23" i="1" a="1"/>
  <c r="BH23" i="1" s="1"/>
  <c r="BH24" i="1" a="1"/>
  <c r="BH24" i="1" s="1"/>
  <c r="BH25" i="1" a="1"/>
  <c r="BH25" i="1" s="1"/>
  <c r="BH26" i="1" a="1"/>
  <c r="BH26" i="1" s="1"/>
  <c r="BH27" i="1" a="1"/>
  <c r="BH27" i="1" s="1"/>
  <c r="BH29" i="1" a="1"/>
  <c r="BH29" i="1" s="1"/>
  <c r="BH30" i="1" a="1"/>
  <c r="BH30" i="1" s="1"/>
  <c r="BH32" i="1" a="1"/>
  <c r="BH32" i="1" s="1"/>
  <c r="BH33" i="1" a="1"/>
  <c r="BH33" i="1" s="1"/>
  <c r="BH34" i="1" a="1"/>
  <c r="BH34" i="1" s="1"/>
  <c r="BH35" i="1" a="1"/>
  <c r="BH35" i="1" s="1"/>
  <c r="BH36" i="1" a="1"/>
  <c r="BH36" i="1" s="1"/>
  <c r="BH37" i="1" a="1"/>
  <c r="BH37" i="1" s="1"/>
  <c r="BH38" i="1" a="1"/>
  <c r="BH38" i="1" s="1"/>
  <c r="BH39" i="1" a="1"/>
  <c r="BH39" i="1" s="1"/>
  <c r="BH40" i="1" a="1"/>
  <c r="BH40" i="1" s="1"/>
  <c r="BH41" i="1" a="1"/>
  <c r="BH41" i="1" s="1"/>
  <c r="BH42" i="1" a="1"/>
  <c r="BH42" i="1" s="1"/>
  <c r="BH43" i="1" a="1"/>
  <c r="BH43" i="1" s="1"/>
  <c r="BH44" i="1" a="1"/>
  <c r="BH44" i="1" s="1"/>
  <c r="BE11" i="1" a="1"/>
  <c r="BE11" i="1" s="1"/>
  <c r="BE13" i="1" a="1"/>
  <c r="BE13" i="1" s="1"/>
  <c r="BE14" i="1" a="1"/>
  <c r="BE14" i="1" s="1"/>
  <c r="BE15" i="1" a="1"/>
  <c r="BE15" i="1" s="1"/>
  <c r="BE16" i="1" a="1"/>
  <c r="BE16" i="1" s="1"/>
  <c r="BE17" i="1" a="1"/>
  <c r="BE17" i="1" s="1"/>
  <c r="BE18" i="1" a="1"/>
  <c r="BE18" i="1" s="1"/>
  <c r="BE19" i="1" a="1"/>
  <c r="BE19" i="1" s="1"/>
  <c r="BE20" i="1" a="1"/>
  <c r="BE20" i="1" s="1"/>
  <c r="BE21" i="1" a="1"/>
  <c r="BE21" i="1" s="1"/>
  <c r="BE22" i="1" a="1"/>
  <c r="BE22" i="1" s="1"/>
  <c r="BE23" i="1" a="1"/>
  <c r="BE23" i="1" s="1"/>
  <c r="BE24" i="1" a="1"/>
  <c r="BE24" i="1" s="1"/>
  <c r="BE25" i="1" a="1"/>
  <c r="BE25" i="1" s="1"/>
  <c r="BE26" i="1" a="1"/>
  <c r="BE26" i="1" s="1"/>
  <c r="BE27" i="1" a="1"/>
  <c r="BE27" i="1" s="1"/>
  <c r="BE29" i="1" a="1"/>
  <c r="BE29" i="1" s="1"/>
  <c r="BE30" i="1" a="1"/>
  <c r="BE30" i="1" s="1"/>
  <c r="BE32" i="1" a="1"/>
  <c r="BE32" i="1" s="1"/>
  <c r="BE33" i="1" a="1"/>
  <c r="BE33" i="1" s="1"/>
  <c r="BE34" i="1" a="1"/>
  <c r="BE34" i="1" s="1"/>
  <c r="BE35" i="1" a="1"/>
  <c r="BE35" i="1" s="1"/>
  <c r="BE36" i="1" a="1"/>
  <c r="BE36" i="1" s="1"/>
  <c r="BE37" i="1" a="1"/>
  <c r="BE37" i="1" s="1"/>
  <c r="BE38" i="1" a="1"/>
  <c r="BE38" i="1" s="1"/>
  <c r="BE39" i="1" a="1"/>
  <c r="BE39" i="1" s="1"/>
  <c r="BE40" i="1" a="1"/>
  <c r="BE40" i="1" s="1"/>
  <c r="BE41" i="1" a="1"/>
  <c r="BE41" i="1" s="1"/>
  <c r="BE42" i="1" a="1"/>
  <c r="BE42" i="1" s="1"/>
  <c r="BE43" i="1" a="1"/>
  <c r="BE43" i="1" s="1"/>
  <c r="BE44" i="1" a="1"/>
  <c r="BE44" i="1" s="1"/>
  <c r="CD44" i="1" a="1"/>
  <c r="CD44" i="1" s="1"/>
  <c r="CA44" i="1" a="1"/>
  <c r="CA44" i="1" s="1"/>
  <c r="BR44" i="1" a="1"/>
  <c r="BR44" i="1" s="1"/>
  <c r="CD43" i="1" a="1"/>
  <c r="CD43" i="1" s="1"/>
  <c r="CA43" i="1" a="1"/>
  <c r="CA43" i="1" s="1"/>
  <c r="BR43" i="1" a="1"/>
  <c r="BR43" i="1" s="1"/>
  <c r="CD42" i="1" a="1"/>
  <c r="CD42" i="1" s="1"/>
  <c r="CA42" i="1" a="1"/>
  <c r="CA42" i="1" s="1"/>
  <c r="BR42" i="1" a="1"/>
  <c r="BR42" i="1" s="1"/>
  <c r="CD41" i="1" a="1"/>
  <c r="CD41" i="1" s="1"/>
  <c r="CA41" i="1" a="1"/>
  <c r="CA41" i="1" s="1"/>
  <c r="BR41" i="1" a="1"/>
  <c r="BR41" i="1" s="1"/>
  <c r="CD40" i="1" a="1"/>
  <c r="CD40" i="1" s="1"/>
  <c r="CA40" i="1" a="1"/>
  <c r="CA40" i="1" s="1"/>
  <c r="BR40" i="1" a="1"/>
  <c r="BR40" i="1" s="1"/>
  <c r="CD39" i="1" a="1"/>
  <c r="CD39" i="1" s="1"/>
  <c r="CA39" i="1" a="1"/>
  <c r="CA39" i="1" s="1"/>
  <c r="BR39" i="1" a="1"/>
  <c r="BR39" i="1" s="1"/>
  <c r="CD38" i="1" a="1"/>
  <c r="CD38" i="1" s="1"/>
  <c r="CA38" i="1" a="1"/>
  <c r="CA38" i="1" s="1"/>
  <c r="BR38" i="1" a="1"/>
  <c r="BR38" i="1" s="1"/>
  <c r="CD37" i="1" a="1"/>
  <c r="CD37" i="1" s="1"/>
  <c r="CA37" i="1" a="1"/>
  <c r="CA37" i="1" s="1"/>
  <c r="BR37" i="1" a="1"/>
  <c r="BR37" i="1" s="1"/>
  <c r="CD36" i="1" a="1"/>
  <c r="CD36" i="1" s="1"/>
  <c r="CA36" i="1" a="1"/>
  <c r="CA36" i="1" s="1"/>
  <c r="BR36" i="1" a="1"/>
  <c r="BR36" i="1" s="1"/>
  <c r="CD35" i="1" a="1"/>
  <c r="CD35" i="1" s="1"/>
  <c r="CA35" i="1" a="1"/>
  <c r="CA35" i="1" s="1"/>
  <c r="BR35" i="1" a="1"/>
  <c r="BR35" i="1" s="1"/>
  <c r="CD34" i="1" a="1"/>
  <c r="CD34" i="1" s="1"/>
  <c r="CA34" i="1" a="1"/>
  <c r="CA34" i="1" s="1"/>
  <c r="BR34" i="1" a="1"/>
  <c r="BR34" i="1" s="1"/>
  <c r="CD33" i="1" a="1"/>
  <c r="CD33" i="1" s="1"/>
  <c r="CA33" i="1" a="1"/>
  <c r="CA33" i="1" s="1"/>
  <c r="BR33" i="1" a="1"/>
  <c r="BR33" i="1" s="1"/>
  <c r="CD32" i="1" a="1"/>
  <c r="CD32" i="1" s="1"/>
  <c r="CA32" i="1" a="1"/>
  <c r="CA32" i="1" s="1"/>
  <c r="BR32" i="1" a="1"/>
  <c r="BR32" i="1" s="1"/>
  <c r="CD30" i="1" a="1"/>
  <c r="CD30" i="1" s="1"/>
  <c r="CA30" i="1" a="1"/>
  <c r="CA30" i="1" s="1"/>
  <c r="BR30" i="1" a="1"/>
  <c r="BR30" i="1" s="1"/>
  <c r="CD29" i="1" a="1"/>
  <c r="CD29" i="1" s="1"/>
  <c r="CA29" i="1" a="1"/>
  <c r="CA29" i="1" s="1"/>
  <c r="BR29" i="1" a="1"/>
  <c r="BR29" i="1" s="1"/>
  <c r="CD27" i="1" a="1"/>
  <c r="CD27" i="1" s="1"/>
  <c r="CA27" i="1" a="1"/>
  <c r="CA27" i="1" s="1"/>
  <c r="BR27" i="1" a="1"/>
  <c r="BR27" i="1" s="1"/>
  <c r="CD26" i="1" a="1"/>
  <c r="CD26" i="1" s="1"/>
  <c r="CA26" i="1" a="1"/>
  <c r="CA26" i="1" s="1"/>
  <c r="BR26" i="1" a="1"/>
  <c r="BR26" i="1" s="1"/>
  <c r="CD25" i="1" a="1"/>
  <c r="CD25" i="1" s="1"/>
  <c r="CA25" i="1" a="1"/>
  <c r="CA25" i="1" s="1"/>
  <c r="BR25" i="1" a="1"/>
  <c r="BR25" i="1" s="1"/>
  <c r="CD24" i="1" a="1"/>
  <c r="CD24" i="1" s="1"/>
  <c r="CA24" i="1" a="1"/>
  <c r="CA24" i="1" s="1"/>
  <c r="BR24" i="1" a="1"/>
  <c r="BR24" i="1" s="1"/>
  <c r="CD23" i="1" a="1"/>
  <c r="CD23" i="1" s="1"/>
  <c r="CA23" i="1" a="1"/>
  <c r="CA23" i="1" s="1"/>
  <c r="BR23" i="1" a="1"/>
  <c r="BR23" i="1" s="1"/>
  <c r="CD22" i="1" a="1"/>
  <c r="CD22" i="1" s="1"/>
  <c r="CA22" i="1" a="1"/>
  <c r="CA22" i="1" s="1"/>
  <c r="BR22" i="1" a="1"/>
  <c r="BR22" i="1" s="1"/>
  <c r="CD21" i="1" a="1"/>
  <c r="CD21" i="1" s="1"/>
  <c r="CA21" i="1" a="1"/>
  <c r="CA21" i="1" s="1"/>
  <c r="BR21" i="1" a="1"/>
  <c r="BR21" i="1" s="1"/>
  <c r="CD20" i="1" a="1"/>
  <c r="CD20" i="1" s="1"/>
  <c r="CA20" i="1" a="1"/>
  <c r="CA20" i="1" s="1"/>
  <c r="BR20" i="1" a="1"/>
  <c r="BR20" i="1" s="1"/>
  <c r="CD19" i="1" a="1"/>
  <c r="CD19" i="1" s="1"/>
  <c r="CA19" i="1" a="1"/>
  <c r="CA19" i="1" s="1"/>
  <c r="BR19" i="1" a="1"/>
  <c r="BR19" i="1" s="1"/>
  <c r="CD18" i="1" a="1"/>
  <c r="CD18" i="1" s="1"/>
  <c r="CA18" i="1" a="1"/>
  <c r="CA18" i="1" s="1"/>
  <c r="BR18" i="1" a="1"/>
  <c r="BR18" i="1" s="1"/>
  <c r="CD17" i="1" a="1"/>
  <c r="CD17" i="1" s="1"/>
  <c r="CA17" i="1" a="1"/>
  <c r="CA17" i="1" s="1"/>
  <c r="BR17" i="1" a="1"/>
  <c r="BR17" i="1" s="1"/>
  <c r="CD16" i="1" a="1"/>
  <c r="CD16" i="1" s="1"/>
  <c r="CA16" i="1" a="1"/>
  <c r="CA16" i="1" s="1"/>
  <c r="BR16" i="1" a="1"/>
  <c r="BR16" i="1" s="1"/>
  <c r="CD15" i="1" a="1"/>
  <c r="CD15" i="1" s="1"/>
  <c r="CA15" i="1" a="1"/>
  <c r="CA15" i="1" s="1"/>
  <c r="BR15" i="1" a="1"/>
  <c r="BR15" i="1" s="1"/>
  <c r="CD14" i="1" a="1"/>
  <c r="CD14" i="1" s="1"/>
  <c r="CA14" i="1" a="1"/>
  <c r="CA14" i="1" s="1"/>
  <c r="BR14" i="1" a="1"/>
  <c r="BR14" i="1" s="1"/>
  <c r="CD13" i="1" a="1"/>
  <c r="CD13" i="1" s="1"/>
  <c r="CA13" i="1" a="1"/>
  <c r="CA13" i="1" s="1"/>
  <c r="BR13" i="1" a="1"/>
  <c r="BR13" i="1" s="1"/>
  <c r="CD11" i="1" a="1"/>
  <c r="CD11" i="1" s="1"/>
  <c r="CA11" i="1" a="1"/>
  <c r="CA11" i="1" s="1"/>
  <c r="BR11" i="1" a="1"/>
  <c r="BR11" i="1" s="1"/>
  <c r="BX31" i="1" a="1"/>
  <c r="BH31" i="1" a="1"/>
  <c r="BE31" i="1" a="1"/>
  <c r="CD31" i="1" a="1"/>
  <c r="BK31" i="1" a="1"/>
  <c r="CA31" i="1" a="1"/>
  <c r="BU31" i="1" a="1"/>
  <c r="BR31" i="1" a="1"/>
  <c r="BO31" i="1" a="1"/>
  <c r="BK28" i="1" a="1"/>
  <c r="CD28" i="1" a="1"/>
  <c r="BO28" i="1" a="1"/>
  <c r="BR28" i="1" a="1"/>
  <c r="BH28" i="1" a="1"/>
  <c r="BU28" i="1" a="1"/>
  <c r="BX28" i="1" a="1"/>
  <c r="BE28" i="1" a="1"/>
  <c r="CA28" i="1" a="1"/>
  <c r="CD8" i="1" a="1"/>
  <c r="BX8" i="1" a="1"/>
  <c r="BR8" i="1" a="1"/>
  <c r="BE8" i="1" a="1"/>
  <c r="BK8" i="1" a="1"/>
  <c r="CA8" i="1" a="1"/>
  <c r="BO8" i="1" a="1"/>
  <c r="BH8" i="1" a="1"/>
  <c r="BU8" i="1" a="1"/>
  <c r="AA7" i="1" a="1"/>
  <c r="CW7" i="1" a="1"/>
  <c r="BH7" i="1" a="1"/>
  <c r="S7" i="1" a="1"/>
  <c r="BK7" i="1" a="1"/>
  <c r="BB7" i="1" a="1"/>
  <c r="AB7" i="1" a="1"/>
  <c r="BE7" i="1" a="1"/>
  <c r="BU31" i="1" l="1"/>
  <c r="BK31" i="1"/>
  <c r="BO31" i="1"/>
  <c r="BR31" i="1"/>
  <c r="CA31" i="1"/>
  <c r="CD31" i="1"/>
  <c r="BH31" i="1"/>
  <c r="BX31" i="1"/>
  <c r="BE31" i="1"/>
  <c r="BH8" i="1"/>
  <c r="BE8" i="1"/>
  <c r="BK8" i="1"/>
  <c r="BR8" i="1"/>
  <c r="CD8" i="1"/>
  <c r="BU8" i="1"/>
  <c r="BX8" i="1"/>
  <c r="CA8" i="1"/>
  <c r="BO8" i="1"/>
  <c r="BR28" i="1"/>
  <c r="CA28" i="1"/>
  <c r="BE28" i="1"/>
  <c r="BH28" i="1"/>
  <c r="CD28" i="1"/>
  <c r="BK28" i="1"/>
  <c r="BU28" i="1"/>
  <c r="BX28" i="1"/>
  <c r="BO28" i="1"/>
  <c r="CW7" i="1"/>
  <c r="BK7" i="1"/>
  <c r="BH7" i="1"/>
  <c r="BE7" i="1"/>
  <c r="BB7" i="1"/>
  <c r="AB7" i="1"/>
  <c r="AA7" i="1"/>
  <c r="DX7" i="1" s="1"/>
  <c r="S7" i="1"/>
  <c r="DQ7" i="1" s="1"/>
  <c r="DZ7" i="1" s="1" a="1"/>
  <c r="DZ7" i="1" s="1"/>
  <c r="DL40" i="1"/>
  <c r="DL32" i="1"/>
  <c r="DL39" i="1"/>
  <c r="DL31" i="1"/>
  <c r="DL38" i="1"/>
  <c r="DL30" i="1"/>
  <c r="DL37" i="1"/>
  <c r="DL29" i="1"/>
  <c r="DL36" i="1"/>
  <c r="DL28" i="1"/>
  <c r="DL43" i="1"/>
  <c r="DL35" i="1"/>
  <c r="DL27" i="1"/>
  <c r="DL42" i="1"/>
  <c r="DL34" i="1"/>
  <c r="DL26" i="1"/>
  <c r="DL41" i="1"/>
  <c r="DL33" i="1"/>
  <c r="DL25" i="1"/>
  <c r="DK39" i="1"/>
  <c r="DK31" i="1"/>
  <c r="DK38" i="1"/>
  <c r="DK30" i="1"/>
  <c r="DK37" i="1"/>
  <c r="DK29" i="1"/>
  <c r="DK36" i="1"/>
  <c r="DK28" i="1"/>
  <c r="DK43" i="1"/>
  <c r="DK35" i="1"/>
  <c r="DK27" i="1"/>
  <c r="DK42" i="1"/>
  <c r="DK34" i="1"/>
  <c r="DK26" i="1"/>
  <c r="DK41" i="1"/>
  <c r="DK33" i="1"/>
  <c r="DK25" i="1"/>
  <c r="DK40" i="1"/>
  <c r="DK32" i="1"/>
  <c r="DV7" i="1" l="1"/>
  <c r="AN7" i="1"/>
  <c r="AB8" i="1" a="1"/>
  <c r="AA8" i="1" a="1"/>
  <c r="AB8" i="1" l="1"/>
  <c r="AN8" i="1" s="1"/>
  <c r="AA8" i="1"/>
  <c r="DX8" i="1" s="1"/>
  <c r="DP8" i="1"/>
  <c r="EA8" i="1" s="1" a="1"/>
  <c r="EA8" i="1" s="1"/>
  <c r="DP10" i="1"/>
  <c r="AA9" i="1" l="1" a="1"/>
  <c r="AA9" i="1" s="1"/>
  <c r="DX9" i="1" s="1"/>
  <c r="AB9" i="1" a="1"/>
  <c r="AB9" i="1" s="1"/>
  <c r="AN9" i="1" s="1"/>
  <c r="DP9" i="1"/>
  <c r="B7" i="1"/>
  <c r="DI7" i="1" l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A7" i="1" a="1"/>
  <c r="DK7" i="1" l="1"/>
  <c r="DN7" i="1"/>
  <c r="DM7" i="1"/>
  <c r="DJ7" i="1"/>
  <c r="A7" i="1"/>
  <c r="DH7" i="1" s="1"/>
  <c r="CM7" i="1"/>
  <c r="CM8" i="1" s="1"/>
  <c r="CM9" i="1" s="1"/>
  <c r="CM10" i="1" s="1"/>
  <c r="CM11" i="1" s="1"/>
  <c r="CM12" i="1" s="1"/>
  <c r="CM13" i="1" s="1"/>
  <c r="CM14" i="1" s="1"/>
  <c r="CM15" i="1" s="1"/>
  <c r="CM16" i="1" s="1"/>
  <c r="CM17" i="1" s="1"/>
  <c r="CM18" i="1" s="1"/>
  <c r="CM19" i="1" s="1"/>
  <c r="CM20" i="1" s="1"/>
  <c r="CM21" i="1" s="1"/>
  <c r="CM22" i="1" s="1"/>
  <c r="CM23" i="1" s="1"/>
  <c r="CM24" i="1" s="1"/>
  <c r="CM25" i="1" s="1"/>
  <c r="CM26" i="1" s="1"/>
  <c r="CM27" i="1" s="1"/>
  <c r="CM28" i="1" s="1"/>
  <c r="CM29" i="1" s="1"/>
  <c r="CM30" i="1" s="1"/>
  <c r="CM31" i="1" s="1"/>
  <c r="CM32" i="1" s="1"/>
  <c r="CM33" i="1" s="1"/>
  <c r="CM34" i="1" s="1"/>
  <c r="CM35" i="1" s="1"/>
  <c r="CM36" i="1" s="1"/>
  <c r="CM37" i="1" s="1"/>
  <c r="CM38" i="1" s="1"/>
  <c r="CM39" i="1" s="1"/>
  <c r="CM40" i="1" s="1"/>
  <c r="CM41" i="1" s="1"/>
  <c r="CM42" i="1" s="1"/>
  <c r="CM43" i="1" s="1"/>
  <c r="CM44" i="1" s="1"/>
  <c r="DA44" i="1"/>
  <c r="CJ44" i="1"/>
  <c r="AS44" i="1"/>
  <c r="DA24" i="1"/>
  <c r="CJ24" i="1"/>
  <c r="AS24" i="1"/>
  <c r="DA23" i="1"/>
  <c r="CJ23" i="1"/>
  <c r="AS23" i="1"/>
  <c r="DA22" i="1"/>
  <c r="CJ22" i="1"/>
  <c r="AS22" i="1"/>
  <c r="DA21" i="1"/>
  <c r="AS21" i="1"/>
  <c r="DA20" i="1"/>
  <c r="AS20" i="1"/>
  <c r="DA19" i="1"/>
  <c r="AS19" i="1"/>
  <c r="DA18" i="1"/>
  <c r="AS18" i="1"/>
  <c r="DA17" i="1"/>
  <c r="AS17" i="1"/>
  <c r="DA16" i="1"/>
  <c r="AS16" i="1"/>
  <c r="DA15" i="1"/>
  <c r="AS15" i="1"/>
  <c r="DA14" i="1"/>
  <c r="AS14" i="1"/>
  <c r="DA13" i="1"/>
  <c r="AS13" i="1"/>
  <c r="DA12" i="1"/>
  <c r="AS12" i="1"/>
  <c r="DA11" i="1"/>
  <c r="AS11" i="1"/>
  <c r="DA10" i="1"/>
  <c r="AS10" i="1"/>
  <c r="DA9" i="1"/>
  <c r="AS9" i="1"/>
  <c r="DA8" i="1"/>
  <c r="AS8" i="1"/>
  <c r="CR7" i="1"/>
  <c r="CR8" i="1" s="1"/>
  <c r="CR9" i="1" s="1"/>
  <c r="CR10" i="1" s="1"/>
  <c r="CR11" i="1" s="1"/>
  <c r="CR12" i="1" s="1"/>
  <c r="CR13" i="1" s="1"/>
  <c r="CR14" i="1" s="1"/>
  <c r="CR15" i="1" s="1"/>
  <c r="CR16" i="1" s="1"/>
  <c r="CR17" i="1" s="1"/>
  <c r="CR18" i="1" s="1"/>
  <c r="CR19" i="1" s="1"/>
  <c r="CR20" i="1" s="1"/>
  <c r="CR21" i="1" s="1"/>
  <c r="CR22" i="1" s="1"/>
  <c r="CR23" i="1" s="1"/>
  <c r="CR24" i="1" s="1"/>
  <c r="BE9" i="1" a="1"/>
  <c r="BU9" i="1" a="1"/>
  <c r="BX9" i="1" a="1"/>
  <c r="BO9" i="1" a="1"/>
  <c r="BR9" i="1" a="1"/>
  <c r="CA9" i="1" a="1"/>
  <c r="CD9" i="1" a="1"/>
  <c r="BH9" i="1" a="1"/>
  <c r="BK9" i="1" a="1"/>
  <c r="BE10" i="1" a="1"/>
  <c r="BO10" i="1" a="1"/>
  <c r="BR10" i="1" a="1"/>
  <c r="BK10" i="1" a="1"/>
  <c r="BH10" i="1" a="1"/>
  <c r="BU10" i="1" a="1"/>
  <c r="CA10" i="1" a="1"/>
  <c r="CD10" i="1" a="1"/>
  <c r="BX10" i="1" a="1"/>
  <c r="AA10" i="1" a="1"/>
  <c r="AB10" i="1" a="1"/>
  <c r="BK12" i="1" a="1"/>
  <c r="CA12" i="1" a="1"/>
  <c r="BU12" i="1" a="1"/>
  <c r="BX12" i="1" a="1"/>
  <c r="BR12" i="1" a="1"/>
  <c r="BE12" i="1" a="1"/>
  <c r="CD12" i="1" a="1"/>
  <c r="BO12" i="1" a="1"/>
  <c r="BH12" i="1" a="1"/>
  <c r="DI17" i="1" l="1"/>
  <c r="DI16" i="1"/>
  <c r="DI15" i="1"/>
  <c r="DI13" i="1"/>
  <c r="DI12" i="1"/>
  <c r="DI14" i="1"/>
  <c r="DI11" i="1"/>
  <c r="DI10" i="1"/>
  <c r="DG7" i="1"/>
  <c r="AD7" i="1" s="1" a="1"/>
  <c r="AD7" i="1" s="1"/>
  <c r="DL7" i="1"/>
  <c r="BX12" i="1"/>
  <c r="BU12" i="1"/>
  <c r="BK12" i="1"/>
  <c r="CA12" i="1"/>
  <c r="BH12" i="1"/>
  <c r="CD12" i="1"/>
  <c r="BE12" i="1"/>
  <c r="BO12" i="1"/>
  <c r="BR12" i="1"/>
  <c r="AB10" i="1"/>
  <c r="AN10" i="1" s="1"/>
  <c r="AA10" i="1"/>
  <c r="DX10" i="1" s="1"/>
  <c r="BX10" i="1"/>
  <c r="CD10" i="1"/>
  <c r="CA10" i="1"/>
  <c r="BU10" i="1"/>
  <c r="BH10" i="1"/>
  <c r="BK10" i="1"/>
  <c r="BR10" i="1"/>
  <c r="BO10" i="1"/>
  <c r="BE10" i="1"/>
  <c r="CN7" i="1"/>
  <c r="CO7" i="1"/>
  <c r="DL44" i="1"/>
  <c r="DK44" i="1"/>
  <c r="DK23" i="1"/>
  <c r="DL23" i="1"/>
  <c r="DK22" i="1"/>
  <c r="DL22" i="1"/>
  <c r="DK21" i="1"/>
  <c r="DL21" i="1"/>
  <c r="DL24" i="1"/>
  <c r="DK24" i="1"/>
  <c r="DL20" i="1"/>
  <c r="DK20" i="1"/>
  <c r="DK19" i="1"/>
  <c r="DL19" i="1"/>
  <c r="DK18" i="1"/>
  <c r="DL18" i="1"/>
  <c r="DL17" i="1"/>
  <c r="DL13" i="1"/>
  <c r="DL12" i="1"/>
  <c r="DL11" i="1"/>
  <c r="BO11" i="1" a="1"/>
  <c r="BO11" i="1" s="1"/>
  <c r="DL10" i="1"/>
  <c r="BK9" i="1"/>
  <c r="BH9" i="1"/>
  <c r="CD9" i="1"/>
  <c r="CA9" i="1"/>
  <c r="BR9" i="1"/>
  <c r="BO9" i="1"/>
  <c r="BX9" i="1"/>
  <c r="BU9" i="1"/>
  <c r="BE9" i="1"/>
  <c r="CR44" i="1"/>
  <c r="CR25" i="1"/>
  <c r="CR26" i="1" s="1"/>
  <c r="CR27" i="1" s="1"/>
  <c r="CR28" i="1" s="1"/>
  <c r="CR29" i="1" s="1"/>
  <c r="CR30" i="1" s="1"/>
  <c r="CR31" i="1" s="1"/>
  <c r="CR32" i="1" s="1"/>
  <c r="CR33" i="1" s="1"/>
  <c r="CR34" i="1" s="1"/>
  <c r="CR35" i="1" s="1"/>
  <c r="CR36" i="1" s="1"/>
  <c r="CR37" i="1" s="1"/>
  <c r="CR38" i="1" s="1"/>
  <c r="CR39" i="1" s="1"/>
  <c r="CR40" i="1" s="1"/>
  <c r="CR41" i="1" s="1"/>
  <c r="CR42" i="1" s="1"/>
  <c r="CR43" i="1" s="1"/>
  <c r="AP7" i="1"/>
  <c r="AS7" i="1"/>
  <c r="DA7" i="1"/>
  <c r="DD7" i="1" l="1"/>
  <c r="DD43" i="1"/>
  <c r="DD8" i="1"/>
  <c r="DD44" i="1"/>
  <c r="DD35" i="1"/>
  <c r="DD36" i="1"/>
  <c r="DD37" i="1"/>
  <c r="DD38" i="1"/>
  <c r="DD39" i="1"/>
  <c r="DD40" i="1"/>
  <c r="DD41" i="1"/>
  <c r="DD42" i="1"/>
  <c r="DD34" i="1"/>
  <c r="DB36" i="1"/>
  <c r="DB37" i="1"/>
  <c r="DB42" i="1"/>
  <c r="DB43" i="1"/>
  <c r="DB8" i="1"/>
  <c r="DB44" i="1"/>
  <c r="DB35" i="1"/>
  <c r="DB38" i="1"/>
  <c r="DB39" i="1"/>
  <c r="DB40" i="1"/>
  <c r="DB41" i="1"/>
  <c r="DB7" i="1"/>
  <c r="DB34" i="1"/>
  <c r="CZ7" i="1"/>
  <c r="CZ43" i="1"/>
  <c r="CZ8" i="1"/>
  <c r="CZ44" i="1"/>
  <c r="CZ38" i="1"/>
  <c r="CZ40" i="1"/>
  <c r="CZ41" i="1"/>
  <c r="CZ34" i="1"/>
  <c r="CZ35" i="1"/>
  <c r="CZ36" i="1"/>
  <c r="CZ37" i="1"/>
  <c r="CZ39" i="1"/>
  <c r="CZ42" i="1"/>
  <c r="CX7" i="1"/>
  <c r="CY7" i="1" s="1"/>
  <c r="CX43" i="1"/>
  <c r="CX8" i="1"/>
  <c r="CX44" i="1"/>
  <c r="CX34" i="1"/>
  <c r="CX35" i="1"/>
  <c r="CX36" i="1"/>
  <c r="CX37" i="1"/>
  <c r="CX38" i="1"/>
  <c r="CX39" i="1"/>
  <c r="CX40" i="1"/>
  <c r="CX41" i="1"/>
  <c r="CX42" i="1"/>
  <c r="CE20" i="1"/>
  <c r="CE32" i="1"/>
  <c r="CE44" i="1"/>
  <c r="CE9" i="1"/>
  <c r="CE21" i="1"/>
  <c r="CE33" i="1"/>
  <c r="CE10" i="1"/>
  <c r="CE22" i="1"/>
  <c r="CE34" i="1"/>
  <c r="CE11" i="1"/>
  <c r="CE23" i="1"/>
  <c r="CE35" i="1"/>
  <c r="CE12" i="1"/>
  <c r="CE24" i="1"/>
  <c r="CE36" i="1"/>
  <c r="CE13" i="1"/>
  <c r="CE25" i="1"/>
  <c r="CE37" i="1"/>
  <c r="CE15" i="1"/>
  <c r="CE39" i="1"/>
  <c r="CE28" i="1"/>
  <c r="CE29" i="1"/>
  <c r="CE41" i="1"/>
  <c r="CE30" i="1"/>
  <c r="CE42" i="1"/>
  <c r="CE19" i="1"/>
  <c r="CE31" i="1"/>
  <c r="CE14" i="1"/>
  <c r="CE26" i="1"/>
  <c r="CE38" i="1"/>
  <c r="CE27" i="1"/>
  <c r="CE16" i="1"/>
  <c r="CE40" i="1"/>
  <c r="CE17" i="1"/>
  <c r="CE18" i="1"/>
  <c r="CE43" i="1"/>
  <c r="CB43" i="1"/>
  <c r="CB36" i="1"/>
  <c r="CB44" i="1"/>
  <c r="CB34" i="1"/>
  <c r="CB35" i="1"/>
  <c r="CB37" i="1"/>
  <c r="CB42" i="1"/>
  <c r="CB38" i="1"/>
  <c r="CB39" i="1"/>
  <c r="CB40" i="1"/>
  <c r="CB41" i="1"/>
  <c r="BY44" i="1"/>
  <c r="BY35" i="1"/>
  <c r="BY41" i="1"/>
  <c r="BY43" i="1"/>
  <c r="BY42" i="1"/>
  <c r="BY34" i="1"/>
  <c r="BY36" i="1"/>
  <c r="BY37" i="1"/>
  <c r="BY38" i="1"/>
  <c r="BY39" i="1"/>
  <c r="BY40" i="1"/>
  <c r="BV43" i="1"/>
  <c r="BV44" i="1"/>
  <c r="BV36" i="1"/>
  <c r="BV37" i="1"/>
  <c r="BV35" i="1"/>
  <c r="BV38" i="1"/>
  <c r="BV39" i="1"/>
  <c r="BV40" i="1"/>
  <c r="BV41" i="1"/>
  <c r="BV34" i="1"/>
  <c r="BV42" i="1"/>
  <c r="BS43" i="1"/>
  <c r="BS35" i="1"/>
  <c r="BS44" i="1"/>
  <c r="BS34" i="1"/>
  <c r="BS36" i="1"/>
  <c r="BS37" i="1"/>
  <c r="BS38" i="1"/>
  <c r="BS39" i="1"/>
  <c r="BS40" i="1"/>
  <c r="BS41" i="1"/>
  <c r="BS42" i="1"/>
  <c r="BP34" i="1"/>
  <c r="BP35" i="1"/>
  <c r="BP36" i="1"/>
  <c r="BP37" i="1"/>
  <c r="BP38" i="1"/>
  <c r="BP39" i="1"/>
  <c r="BP40" i="1"/>
  <c r="BP41" i="1"/>
  <c r="BP43" i="1"/>
  <c r="BP42" i="1"/>
  <c r="BP44" i="1"/>
  <c r="BL44" i="1"/>
  <c r="BL34" i="1"/>
  <c r="BL37" i="1"/>
  <c r="BL42" i="1"/>
  <c r="BL35" i="1"/>
  <c r="BL36" i="1"/>
  <c r="BL43" i="1"/>
  <c r="BL38" i="1"/>
  <c r="BL39" i="1"/>
  <c r="BL40" i="1"/>
  <c r="BL41" i="1"/>
  <c r="BI43" i="1"/>
  <c r="BI36" i="1"/>
  <c r="BI44" i="1"/>
  <c r="BI35" i="1"/>
  <c r="BI39" i="1"/>
  <c r="BI40" i="1"/>
  <c r="BI41" i="1"/>
  <c r="BI34" i="1"/>
  <c r="BI37" i="1"/>
  <c r="BI38" i="1"/>
  <c r="BI42" i="1"/>
  <c r="BF36" i="1"/>
  <c r="BF37" i="1"/>
  <c r="BF38" i="1"/>
  <c r="BF40" i="1"/>
  <c r="BF42" i="1"/>
  <c r="BF43" i="1"/>
  <c r="BF34" i="1"/>
  <c r="BF35" i="1"/>
  <c r="BF41" i="1"/>
  <c r="BF39" i="1"/>
  <c r="BF44" i="1"/>
  <c r="BC42" i="1"/>
  <c r="BC44" i="1"/>
  <c r="BC34" i="1"/>
  <c r="BC35" i="1"/>
  <c r="BC40" i="1"/>
  <c r="BC41" i="1"/>
  <c r="BC36" i="1"/>
  <c r="BC37" i="1"/>
  <c r="BC39" i="1"/>
  <c r="BC43" i="1"/>
  <c r="BC38" i="1"/>
  <c r="AW7" i="1"/>
  <c r="AW43" i="1"/>
  <c r="AW34" i="1"/>
  <c r="AW35" i="1"/>
  <c r="AW38" i="1"/>
  <c r="AW40" i="1"/>
  <c r="AW41" i="1"/>
  <c r="AW8" i="1"/>
  <c r="AW44" i="1"/>
  <c r="AW36" i="1"/>
  <c r="AW37" i="1"/>
  <c r="AW39" i="1"/>
  <c r="AW42" i="1"/>
  <c r="AT7" i="1"/>
  <c r="AU7" i="1" s="1"/>
  <c r="AT36" i="1"/>
  <c r="AT38" i="1"/>
  <c r="AT39" i="1"/>
  <c r="AT41" i="1"/>
  <c r="AT42" i="1"/>
  <c r="AT43" i="1"/>
  <c r="AT8" i="1"/>
  <c r="AT44" i="1"/>
  <c r="AT34" i="1"/>
  <c r="AT35" i="1"/>
  <c r="AT37" i="1"/>
  <c r="AT40" i="1"/>
  <c r="AL7" i="1"/>
  <c r="AM7" i="1" s="1"/>
  <c r="AL43" i="1"/>
  <c r="AL8" i="1"/>
  <c r="AL44" i="1"/>
  <c r="AL37" i="1"/>
  <c r="AL38" i="1"/>
  <c r="AL42" i="1"/>
  <c r="AL35" i="1"/>
  <c r="AL41" i="1"/>
  <c r="AL34" i="1"/>
  <c r="AL36" i="1"/>
  <c r="AL39" i="1"/>
  <c r="AL40" i="1"/>
  <c r="AE34" i="1"/>
  <c r="AE35" i="1"/>
  <c r="AE36" i="1"/>
  <c r="AE37" i="1"/>
  <c r="AE38" i="1"/>
  <c r="AE39" i="1"/>
  <c r="AE40" i="1"/>
  <c r="AE41" i="1"/>
  <c r="AE42" i="1"/>
  <c r="AE43" i="1"/>
  <c r="AE8" i="1"/>
  <c r="AF8" i="1" s="1"/>
  <c r="AE44" i="1"/>
  <c r="DR46" i="1"/>
  <c r="AB11" i="1" a="1"/>
  <c r="AB11" i="1" s="1"/>
  <c r="AN11" i="1" s="1"/>
  <c r="DK12" i="1"/>
  <c r="DK11" i="1"/>
  <c r="DK14" i="1"/>
  <c r="DK13" i="1"/>
  <c r="DK15" i="1"/>
  <c r="DK10" i="1"/>
  <c r="DK16" i="1"/>
  <c r="DK17" i="1"/>
  <c r="DL16" i="1"/>
  <c r="DL15" i="1"/>
  <c r="DL14" i="1"/>
  <c r="DV8" i="1"/>
  <c r="DP7" i="1"/>
  <c r="EA7" i="1" s="1" a="1"/>
  <c r="EA7" i="1" s="1"/>
  <c r="AA11" i="1" a="1"/>
  <c r="AA11" i="1" s="1"/>
  <c r="DX11" i="1" s="1"/>
  <c r="AR7" i="1"/>
  <c r="DA46" i="1"/>
  <c r="DE36" i="1" l="1"/>
  <c r="DE35" i="1"/>
  <c r="DE44" i="1"/>
  <c r="DV9" i="1"/>
  <c r="DV10" i="1" s="1"/>
  <c r="DV11" i="1" s="1"/>
  <c r="DV12" i="1" s="1"/>
  <c r="DV13" i="1" s="1"/>
  <c r="DV14" i="1" s="1"/>
  <c r="DV15" i="1" s="1"/>
  <c r="DV16" i="1" s="1"/>
  <c r="DV17" i="1" s="1"/>
  <c r="DV18" i="1" s="1"/>
  <c r="DV19" i="1" s="1"/>
  <c r="DV20" i="1" s="1"/>
  <c r="DV21" i="1" s="1"/>
  <c r="DV22" i="1" s="1"/>
  <c r="DV23" i="1" s="1"/>
  <c r="DV24" i="1" s="1"/>
  <c r="DV25" i="1" s="1"/>
  <c r="DV26" i="1" s="1"/>
  <c r="DV27" i="1" s="1"/>
  <c r="DE40" i="1"/>
  <c r="DE41" i="1"/>
  <c r="DE7" i="1"/>
  <c r="DE39" i="1"/>
  <c r="DE38" i="1"/>
  <c r="DE34" i="1"/>
  <c r="DE43" i="1"/>
  <c r="DE42" i="1"/>
  <c r="DE37" i="1"/>
  <c r="AG7" i="1"/>
  <c r="AH7" i="1"/>
  <c r="DS43" i="1"/>
  <c r="AF43" i="1"/>
  <c r="DS42" i="1"/>
  <c r="AF42" i="1"/>
  <c r="DS41" i="1"/>
  <c r="AF41" i="1"/>
  <c r="DS38" i="1"/>
  <c r="AF38" i="1"/>
  <c r="DS37" i="1"/>
  <c r="AF37" i="1"/>
  <c r="DS40" i="1"/>
  <c r="AF40" i="1"/>
  <c r="DS39" i="1"/>
  <c r="AF39" i="1"/>
  <c r="DS36" i="1"/>
  <c r="AF36" i="1"/>
  <c r="DS35" i="1"/>
  <c r="AF35" i="1"/>
  <c r="DS44" i="1"/>
  <c r="AF44" i="1"/>
  <c r="DS34" i="1"/>
  <c r="AF34" i="1"/>
  <c r="AP8" i="1"/>
  <c r="AB12" i="1" a="1"/>
  <c r="AA12" i="1" a="1"/>
  <c r="AE7" i="1" l="1"/>
  <c r="CE7" i="1"/>
  <c r="CF7" i="1" s="1"/>
  <c r="DT38" i="1"/>
  <c r="DT34" i="1"/>
  <c r="DT35" i="1"/>
  <c r="DT42" i="1"/>
  <c r="DT39" i="1"/>
  <c r="DT44" i="1"/>
  <c r="DT41" i="1"/>
  <c r="DT36" i="1"/>
  <c r="DT37" i="1"/>
  <c r="DT40" i="1"/>
  <c r="DT43" i="1"/>
  <c r="BC7" i="1"/>
  <c r="BD7" i="1" s="1"/>
  <c r="AB12" i="1"/>
  <c r="AN12" i="1" s="1"/>
  <c r="AA12" i="1"/>
  <c r="DX12" i="1" s="1"/>
  <c r="BC8" i="1" l="1"/>
  <c r="CK7" i="1"/>
  <c r="CE8" i="1"/>
  <c r="CH7" i="1"/>
  <c r="DS7" i="1"/>
  <c r="DT7" i="1" s="1"/>
  <c r="AF7" i="1"/>
  <c r="BF7" i="1"/>
  <c r="AB13" i="1" a="1"/>
  <c r="AB13" i="1" s="1"/>
  <c r="AN13" i="1" s="1"/>
  <c r="AA13" i="1" a="1"/>
  <c r="AA13" i="1" s="1"/>
  <c r="DX13" i="1" s="1"/>
  <c r="BI7" i="1" l="1"/>
  <c r="BG7" i="1"/>
  <c r="BF8" i="1" s="1"/>
  <c r="AB14" i="1" a="1"/>
  <c r="AB14" i="1" s="1"/>
  <c r="AN14" i="1" s="1"/>
  <c r="AA14" i="1" a="1"/>
  <c r="AA14" i="1" s="1"/>
  <c r="DX14" i="1" s="1"/>
  <c r="BJ7" i="1" l="1"/>
  <c r="BI8" i="1" s="1"/>
  <c r="BL7" i="1"/>
  <c r="AB15" i="1" a="1"/>
  <c r="AB15" i="1" s="1"/>
  <c r="AN15" i="1" s="1"/>
  <c r="AA15" i="1" a="1"/>
  <c r="AA15" i="1" s="1"/>
  <c r="DX15" i="1" s="1"/>
  <c r="CN8" i="1"/>
  <c r="CO8" i="1"/>
  <c r="BM7" i="1" l="1"/>
  <c r="BP7" i="1"/>
  <c r="AB16" i="1" a="1"/>
  <c r="AB16" i="1" s="1"/>
  <c r="AN16" i="1" s="1"/>
  <c r="AA16" i="1" a="1"/>
  <c r="AA16" i="1" s="1"/>
  <c r="DX16" i="1" s="1"/>
  <c r="BQ7" i="1" l="1"/>
  <c r="BP8" i="1" s="1"/>
  <c r="BS7" i="1"/>
  <c r="BL8" i="1"/>
  <c r="AB17" i="1" a="1"/>
  <c r="AB17" i="1" s="1"/>
  <c r="AN17" i="1" s="1"/>
  <c r="AA17" i="1" a="1"/>
  <c r="AA17" i="1" s="1"/>
  <c r="DX17" i="1" s="1"/>
  <c r="BT7" i="1" l="1"/>
  <c r="BV7" i="1"/>
  <c r="BW7" i="1" s="1"/>
  <c r="BV8" i="1" s="1"/>
  <c r="AB18" i="1" a="1"/>
  <c r="AB18" i="1" s="1"/>
  <c r="AN18" i="1" s="1"/>
  <c r="AA18" i="1" a="1"/>
  <c r="AA18" i="1" s="1"/>
  <c r="DX18" i="1" s="1"/>
  <c r="DC7" i="1"/>
  <c r="BS8" i="1" l="1"/>
  <c r="BY7" i="1"/>
  <c r="BZ7" i="1" s="1"/>
  <c r="BY8" i="1" s="1"/>
  <c r="AB19" i="1" a="1"/>
  <c r="AB19" i="1" s="1"/>
  <c r="AN19" i="1" s="1"/>
  <c r="AA19" i="1" a="1"/>
  <c r="AA19" i="1" s="1"/>
  <c r="DX19" i="1" s="1"/>
  <c r="CU7" i="1"/>
  <c r="CF8" i="1"/>
  <c r="CB7" i="1" l="1"/>
  <c r="CC7" i="1" s="1"/>
  <c r="AB20" i="1" a="1"/>
  <c r="AB20" i="1" s="1"/>
  <c r="AN20" i="1" s="1"/>
  <c r="AA20" i="1" a="1"/>
  <c r="AA20" i="1" s="1"/>
  <c r="DX20" i="1" s="1"/>
  <c r="CB8" i="1" l="1"/>
  <c r="CG7" i="1"/>
  <c r="DU7" i="1" s="1"/>
  <c r="AB21" i="1" a="1"/>
  <c r="AB21" i="1" s="1"/>
  <c r="AN21" i="1" s="1"/>
  <c r="AA21" i="1" a="1"/>
  <c r="AA21" i="1" s="1"/>
  <c r="DX21" i="1" s="1"/>
  <c r="AD8" i="1" l="1" a="1"/>
  <c r="AD8" i="1" s="1"/>
  <c r="AG8" i="1"/>
  <c r="CI7" i="1"/>
  <c r="DY7" i="1" s="1" a="1"/>
  <c r="DY7" i="1" s="1"/>
  <c r="DW7" i="1"/>
  <c r="CQ7" i="1"/>
  <c r="CS7" i="1" s="1"/>
  <c r="CS8" i="1" s="1"/>
  <c r="CS9" i="1" s="1"/>
  <c r="CS10" i="1" s="1"/>
  <c r="CS11" i="1" s="1"/>
  <c r="CS12" i="1" s="1"/>
  <c r="CS13" i="1" s="1"/>
  <c r="CS14" i="1" s="1"/>
  <c r="CS15" i="1" s="1"/>
  <c r="CS16" i="1" s="1"/>
  <c r="CS17" i="1" s="1"/>
  <c r="CS18" i="1" s="1"/>
  <c r="CS19" i="1" s="1"/>
  <c r="CS20" i="1" s="1"/>
  <c r="CS21" i="1" s="1"/>
  <c r="CS22" i="1" s="1"/>
  <c r="CS23" i="1" s="1"/>
  <c r="CS24" i="1" s="1"/>
  <c r="CS25" i="1" s="1"/>
  <c r="CS26" i="1" s="1"/>
  <c r="CS27" i="1" s="1"/>
  <c r="CS28" i="1" s="1"/>
  <c r="CS29" i="1" s="1"/>
  <c r="CS30" i="1" s="1"/>
  <c r="CS31" i="1" s="1"/>
  <c r="CS32" i="1" s="1"/>
  <c r="CS33" i="1" s="1"/>
  <c r="CS34" i="1" s="1"/>
  <c r="CS35" i="1" s="1"/>
  <c r="CS36" i="1" s="1"/>
  <c r="CS37" i="1" s="1"/>
  <c r="CS38" i="1" s="1"/>
  <c r="CS39" i="1" s="1"/>
  <c r="CS40" i="1" s="1"/>
  <c r="CS41" i="1" s="1"/>
  <c r="CS42" i="1" s="1"/>
  <c r="CS43" i="1" s="1"/>
  <c r="CT7" i="1"/>
  <c r="CV7" i="1" s="1"/>
  <c r="AB22" i="1" a="1"/>
  <c r="AB22" i="1" s="1"/>
  <c r="AN22" i="1" s="1"/>
  <c r="AA22" i="1" a="1"/>
  <c r="AA22" i="1" s="1"/>
  <c r="DX22" i="1" s="1"/>
  <c r="EB7" i="1" l="1"/>
  <c r="AH8" i="1"/>
  <c r="CQ8" i="1"/>
  <c r="CQ9" i="1" s="1"/>
  <c r="CQ10" i="1" s="1"/>
  <c r="CQ11" i="1" s="1"/>
  <c r="CQ12" i="1" s="1"/>
  <c r="CQ13" i="1" s="1"/>
  <c r="CQ14" i="1" s="1"/>
  <c r="CQ15" i="1" s="1"/>
  <c r="CQ16" i="1" s="1"/>
  <c r="CQ17" i="1" s="1"/>
  <c r="CQ18" i="1" s="1"/>
  <c r="CQ19" i="1" s="1"/>
  <c r="CQ20" i="1" s="1"/>
  <c r="CQ21" i="1" s="1"/>
  <c r="CQ22" i="1" s="1"/>
  <c r="CQ23" i="1" s="1"/>
  <c r="CQ24" i="1" s="1"/>
  <c r="CQ25" i="1" s="1"/>
  <c r="CQ26" i="1" s="1"/>
  <c r="CQ27" i="1" s="1"/>
  <c r="CQ28" i="1" s="1"/>
  <c r="CQ29" i="1" s="1"/>
  <c r="CQ30" i="1" s="1"/>
  <c r="CQ31" i="1" s="1"/>
  <c r="CQ32" i="1" s="1"/>
  <c r="CQ33" i="1" s="1"/>
  <c r="CQ34" i="1" s="1"/>
  <c r="CQ35" i="1" s="1"/>
  <c r="CQ36" i="1" s="1"/>
  <c r="CQ37" i="1" s="1"/>
  <c r="CQ38" i="1" s="1"/>
  <c r="CQ39" i="1" s="1"/>
  <c r="CQ40" i="1" s="1"/>
  <c r="CQ41" i="1" s="1"/>
  <c r="CQ42" i="1" s="1"/>
  <c r="CQ43" i="1" s="1"/>
  <c r="CQ44" i="1" s="1"/>
  <c r="CS44" i="1"/>
  <c r="AB23" i="1" a="1"/>
  <c r="AB23" i="1" s="1"/>
  <c r="AN23" i="1" s="1"/>
  <c r="AA23" i="1" a="1"/>
  <c r="AA23" i="1" s="1"/>
  <c r="DX23" i="1" s="1"/>
  <c r="ED7" i="1" l="1" a="1"/>
  <c r="ED7" i="1" s="1"/>
  <c r="EE7" i="1" s="1"/>
  <c r="EF7" i="1"/>
  <c r="EC7" i="1"/>
  <c r="AB24" i="1" a="1"/>
  <c r="AB24" i="1" s="1"/>
  <c r="AN24" i="1" s="1"/>
  <c r="AA24" i="1" a="1"/>
  <c r="AA24" i="1" s="1"/>
  <c r="DX24" i="1" s="1"/>
  <c r="EG7" i="1" l="1"/>
  <c r="AB25" i="1" a="1"/>
  <c r="AB25" i="1" s="1"/>
  <c r="AN25" i="1" s="1"/>
  <c r="AA25" i="1" a="1"/>
  <c r="AA25" i="1" s="1"/>
  <c r="DX25" i="1" s="1"/>
  <c r="AB26" i="1" l="1" a="1"/>
  <c r="AB26" i="1" s="1"/>
  <c r="AN26" i="1" s="1"/>
  <c r="AA26" i="1" a="1"/>
  <c r="AA26" i="1" s="1"/>
  <c r="DX26" i="1" s="1"/>
  <c r="AB27" i="1" l="1" a="1"/>
  <c r="AB27" i="1" s="1"/>
  <c r="AN27" i="1" s="1"/>
  <c r="AA27" i="1" a="1"/>
  <c r="AA27" i="1" s="1"/>
  <c r="DX27" i="1" s="1"/>
  <c r="CN9" i="1"/>
  <c r="CO10" i="1" l="1"/>
  <c r="CN10" i="1"/>
  <c r="CO11" i="1"/>
  <c r="CN11" i="1"/>
  <c r="CO9" i="1"/>
  <c r="AB28" i="1" a="1"/>
  <c r="AA28" i="1" a="1"/>
  <c r="AA28" i="1" l="1"/>
  <c r="DX28" i="1" s="1"/>
  <c r="AB28" i="1"/>
  <c r="AN28" i="1" s="1"/>
  <c r="CO12" i="1"/>
  <c r="CN12" i="1"/>
  <c r="AA29" i="1" l="1" a="1"/>
  <c r="AA29" i="1" s="1"/>
  <c r="DX29" i="1" s="1"/>
  <c r="AB29" i="1" a="1"/>
  <c r="AB29" i="1" s="1"/>
  <c r="AN29" i="1" s="1"/>
  <c r="CO13" i="1"/>
  <c r="CN13" i="1"/>
  <c r="AB30" i="1" l="1" a="1"/>
  <c r="AB30" i="1" s="1"/>
  <c r="AN30" i="1" s="1"/>
  <c r="AA30" i="1" a="1"/>
  <c r="AA30" i="1" s="1"/>
  <c r="DX30" i="1" s="1"/>
  <c r="CF9" i="1"/>
  <c r="CF10" i="1" l="1"/>
  <c r="AA31" i="1" a="1"/>
  <c r="AB31" i="1" a="1"/>
  <c r="AA31" i="1" l="1"/>
  <c r="AB31" i="1"/>
  <c r="CF11" i="1"/>
  <c r="AN31" i="1" l="1"/>
  <c r="AB32" i="1" a="1"/>
  <c r="AB32" i="1" s="1"/>
  <c r="DX31" i="1"/>
  <c r="AA32" i="1" a="1"/>
  <c r="AA32" i="1" s="1"/>
  <c r="CF12" i="1"/>
  <c r="AN32" i="1" l="1"/>
  <c r="AB33" i="1" a="1"/>
  <c r="AB33" i="1" s="1"/>
  <c r="DX32" i="1"/>
  <c r="AA33" i="1" a="1"/>
  <c r="AA33" i="1" s="1"/>
  <c r="CF13" i="1"/>
  <c r="AN33" i="1" l="1"/>
  <c r="AB34" i="1" a="1"/>
  <c r="AB34" i="1" s="1"/>
  <c r="DX33" i="1"/>
  <c r="AA34" i="1" a="1"/>
  <c r="AA34" i="1" s="1"/>
  <c r="CF14" i="1"/>
  <c r="DX34" i="1" l="1"/>
  <c r="AA35" i="1" a="1"/>
  <c r="AA35" i="1" s="1"/>
  <c r="AN34" i="1"/>
  <c r="AB35" i="1" a="1"/>
  <c r="AB35" i="1" s="1"/>
  <c r="CF15" i="1"/>
  <c r="AN35" i="1" l="1"/>
  <c r="AB36" i="1" a="1"/>
  <c r="AB36" i="1" s="1"/>
  <c r="DX35" i="1"/>
  <c r="AA36" i="1" a="1"/>
  <c r="AA36" i="1" s="1"/>
  <c r="CF16" i="1"/>
  <c r="DX36" i="1" l="1"/>
  <c r="AA37" i="1" a="1"/>
  <c r="AA37" i="1" s="1"/>
  <c r="AN36" i="1"/>
  <c r="AB37" i="1" a="1"/>
  <c r="AB37" i="1" s="1"/>
  <c r="CF17" i="1"/>
  <c r="AN37" i="1" l="1"/>
  <c r="AB38" i="1" a="1"/>
  <c r="AB38" i="1" s="1"/>
  <c r="DX37" i="1"/>
  <c r="AA38" i="1" a="1"/>
  <c r="AA38" i="1" s="1"/>
  <c r="CF18" i="1"/>
  <c r="DX38" i="1" l="1"/>
  <c r="AA39" i="1" a="1"/>
  <c r="AA39" i="1" s="1"/>
  <c r="AN38" i="1"/>
  <c r="AB39" i="1" a="1"/>
  <c r="AB39" i="1" s="1"/>
  <c r="CF19" i="1"/>
  <c r="AN39" i="1" l="1"/>
  <c r="AB40" i="1" a="1"/>
  <c r="AB40" i="1" s="1"/>
  <c r="DX39" i="1"/>
  <c r="AA40" i="1" a="1"/>
  <c r="AA40" i="1" s="1"/>
  <c r="CF20" i="1"/>
  <c r="DX40" i="1" l="1"/>
  <c r="AA41" i="1" a="1"/>
  <c r="AA41" i="1" s="1"/>
  <c r="AN40" i="1"/>
  <c r="AB41" i="1" a="1"/>
  <c r="AB41" i="1" s="1"/>
  <c r="CF21" i="1"/>
  <c r="AN41" i="1" l="1"/>
  <c r="AB42" i="1" a="1"/>
  <c r="AB42" i="1" s="1"/>
  <c r="DX41" i="1"/>
  <c r="AA42" i="1" a="1"/>
  <c r="AA42" i="1" s="1"/>
  <c r="CF22" i="1"/>
  <c r="DX42" i="1" l="1"/>
  <c r="AA43" i="1" a="1"/>
  <c r="AA43" i="1" s="1"/>
  <c r="AN42" i="1"/>
  <c r="AB43" i="1" a="1"/>
  <c r="AB43" i="1" s="1"/>
  <c r="CF23" i="1"/>
  <c r="AN43" i="1" l="1"/>
  <c r="AB44" i="1" a="1"/>
  <c r="AB44" i="1" s="1"/>
  <c r="AN44" i="1" s="1"/>
  <c r="DX43" i="1"/>
  <c r="AA44" i="1" a="1"/>
  <c r="AA44" i="1" s="1"/>
  <c r="DX44" i="1" s="1"/>
  <c r="CF24" i="1"/>
  <c r="CN14" i="1"/>
  <c r="CO14" i="1"/>
  <c r="CO15" i="1"/>
  <c r="CN15" i="1"/>
  <c r="CF25" i="1" l="1"/>
  <c r="CF44" i="1"/>
  <c r="CO16" i="1"/>
  <c r="CN16" i="1"/>
  <c r="CF26" i="1" l="1"/>
  <c r="CO17" i="1"/>
  <c r="CN17" i="1"/>
  <c r="CF27" i="1" l="1"/>
  <c r="CO18" i="1"/>
  <c r="CN18" i="1"/>
  <c r="CF28" i="1" l="1"/>
  <c r="CF29" i="1" s="1"/>
  <c r="CO19" i="1"/>
  <c r="CN19" i="1"/>
  <c r="CF30" i="1" l="1"/>
  <c r="CO20" i="1"/>
  <c r="CN20" i="1"/>
  <c r="CF31" i="1" l="1"/>
  <c r="CO21" i="1"/>
  <c r="CN21" i="1"/>
  <c r="CF32" i="1" l="1"/>
  <c r="CN22" i="1"/>
  <c r="CO22" i="1"/>
  <c r="CF33" i="1" l="1"/>
  <c r="CO23" i="1"/>
  <c r="CN23" i="1"/>
  <c r="CF34" i="1" l="1"/>
  <c r="CO24" i="1"/>
  <c r="CN24" i="1"/>
  <c r="CF35" i="1" l="1"/>
  <c r="CN25" i="1"/>
  <c r="CO25" i="1"/>
  <c r="CF36" i="1" l="1"/>
  <c r="CN26" i="1"/>
  <c r="CO26" i="1"/>
  <c r="CF37" i="1" l="1"/>
  <c r="CO27" i="1"/>
  <c r="CN27" i="1"/>
  <c r="CF38" i="1" l="1"/>
  <c r="CO28" i="1"/>
  <c r="CN28" i="1"/>
  <c r="CF39" i="1" l="1"/>
  <c r="CN29" i="1"/>
  <c r="CO29" i="1"/>
  <c r="CF40" i="1" l="1"/>
  <c r="CN30" i="1"/>
  <c r="CO30" i="1"/>
  <c r="CF41" i="1" l="1"/>
  <c r="CO31" i="1"/>
  <c r="CN31" i="1"/>
  <c r="CF42" i="1" l="1"/>
  <c r="CO32" i="1"/>
  <c r="CN32" i="1"/>
  <c r="CF43" i="1" l="1"/>
  <c r="CO33" i="1"/>
  <c r="CN33" i="1"/>
  <c r="CO34" i="1" l="1"/>
  <c r="CN34" i="1"/>
  <c r="CO35" i="1" l="1"/>
  <c r="CN35" i="1"/>
  <c r="CN36" i="1" l="1"/>
  <c r="CO36" i="1"/>
  <c r="CO37" i="1" l="1"/>
  <c r="CN37" i="1"/>
  <c r="CN38" i="1" l="1"/>
  <c r="CO38" i="1"/>
  <c r="CO39" i="1" l="1"/>
  <c r="CN39" i="1"/>
  <c r="CO40" i="1" l="1"/>
  <c r="CN40" i="1"/>
  <c r="CO41" i="1" l="1"/>
  <c r="CN41" i="1"/>
  <c r="CO42" i="1" l="1"/>
  <c r="CN42" i="1"/>
  <c r="CO43" i="1" l="1"/>
  <c r="CN43" i="1"/>
  <c r="CO44" i="1" l="1"/>
  <c r="CN44" i="1"/>
  <c r="DI8" i="1" l="1"/>
  <c r="DK8" i="1" l="1"/>
  <c r="DI9" i="1"/>
  <c r="DL8" i="1"/>
  <c r="DK9" i="1" l="1"/>
  <c r="DL9" i="1"/>
  <c r="CY8" i="1" l="1"/>
  <c r="AM8" i="1"/>
  <c r="DS8" i="1"/>
  <c r="CJ7" i="1"/>
  <c r="DT8" i="1" l="1"/>
  <c r="AR8" i="1"/>
  <c r="AU8" i="1" l="1"/>
  <c r="AP9" i="1" s="1"/>
  <c r="CJ13" i="1" l="1"/>
  <c r="CJ15" i="1" l="1"/>
  <c r="CJ16" i="1" l="1"/>
  <c r="CJ17" i="1" l="1"/>
  <c r="CJ19" i="1" l="1"/>
  <c r="CJ20" i="1" l="1"/>
  <c r="CJ21" i="1" l="1"/>
  <c r="CJ18" i="1" l="1"/>
  <c r="CJ14" i="1"/>
  <c r="CJ12" i="1"/>
  <c r="CJ11" i="1"/>
  <c r="CJ10" i="1"/>
  <c r="BD8" i="1" l="1"/>
  <c r="BG8" i="1" l="1"/>
  <c r="BJ8" i="1"/>
  <c r="CJ8" i="1"/>
  <c r="BM8" i="1" l="1"/>
  <c r="BQ8" i="1" l="1"/>
  <c r="BT8" i="1" l="1"/>
  <c r="BZ8" i="1" l="1"/>
  <c r="CC8" i="1" l="1"/>
  <c r="BW8" i="1"/>
  <c r="CG8" i="1" l="1"/>
  <c r="AD9" i="1" s="1" a="1"/>
  <c r="AD9" i="1" s="1"/>
  <c r="CI8" i="1" l="1"/>
  <c r="DY8" i="1" s="1" a="1"/>
  <c r="DY8" i="1" s="1"/>
  <c r="DZ8" i="1" s="1" a="1"/>
  <c r="DZ8" i="1" s="1"/>
  <c r="EA9" i="1" s="1" a="1"/>
  <c r="EA9" i="1" s="1"/>
  <c r="AG9" i="1"/>
  <c r="AH9" i="1"/>
  <c r="CT8" i="1"/>
  <c r="DU8" i="1"/>
  <c r="DW8" i="1" s="1"/>
  <c r="EB8" i="1" l="1"/>
  <c r="DU9" i="1"/>
  <c r="DW9" i="1" s="1"/>
  <c r="ED8" i="1" l="1" a="1"/>
  <c r="ED8" i="1" s="1"/>
  <c r="EE8" i="1" s="1"/>
  <c r="DC8" i="1"/>
  <c r="CU8" i="1" s="1"/>
  <c r="CV8" i="1" s="1"/>
  <c r="CV9" i="1" s="1"/>
  <c r="CV10" i="1" s="1"/>
  <c r="CV11" i="1" s="1"/>
  <c r="CV12" i="1" s="1"/>
  <c r="CV13" i="1" s="1"/>
  <c r="CV14" i="1" s="1"/>
  <c r="CV15" i="1" s="1"/>
  <c r="CV16" i="1" s="1"/>
  <c r="CV17" i="1" s="1"/>
  <c r="CV18" i="1" s="1"/>
  <c r="CV19" i="1" s="1"/>
  <c r="CV20" i="1" s="1"/>
  <c r="CV21" i="1" s="1"/>
  <c r="CV22" i="1" s="1"/>
  <c r="CV23" i="1" s="1"/>
  <c r="CV24" i="1" s="1"/>
  <c r="CV25" i="1" s="1"/>
  <c r="CV26" i="1" s="1"/>
  <c r="CV27" i="1" s="1"/>
  <c r="DU10" i="1"/>
  <c r="DW10" i="1" s="1"/>
  <c r="CJ9" i="1"/>
  <c r="EG8" i="1" l="1"/>
  <c r="EF8" i="1"/>
  <c r="DE8" i="1"/>
  <c r="DU11" i="1"/>
  <c r="DW11" i="1" s="1"/>
  <c r="EC8" i="1"/>
  <c r="DU12" i="1" l="1"/>
  <c r="DW12" i="1" s="1"/>
  <c r="DU13" i="1" l="1"/>
  <c r="DW13" i="1" s="1"/>
  <c r="DU14" i="1" l="1"/>
  <c r="DW14" i="1" s="1"/>
  <c r="DU15" i="1" l="1"/>
  <c r="DW15" i="1" s="1"/>
  <c r="DU16" i="1" l="1"/>
  <c r="DW16" i="1" s="1"/>
  <c r="DU17" i="1" l="1"/>
  <c r="DW17" i="1" s="1"/>
  <c r="DU18" i="1" l="1"/>
  <c r="DW18" i="1" s="1"/>
  <c r="DU19" i="1" l="1"/>
  <c r="DW19" i="1" s="1"/>
  <c r="DU20" i="1" l="1"/>
  <c r="DW20" i="1" s="1"/>
  <c r="DU21" i="1" l="1"/>
  <c r="DW21" i="1" s="1"/>
  <c r="DU22" i="1" l="1"/>
  <c r="DW22" i="1" s="1"/>
  <c r="DU23" i="1" l="1"/>
  <c r="DW23" i="1" s="1"/>
  <c r="DU24" i="1" l="1"/>
  <c r="DW24" i="1" s="1"/>
  <c r="DU25" i="1" l="1"/>
  <c r="DW25" i="1" s="1"/>
  <c r="DU26" i="1" l="1"/>
  <c r="DW26" i="1" s="1"/>
  <c r="DU27" i="1" l="1"/>
  <c r="DW27" i="1" s="1"/>
  <c r="CV28" i="1" l="1"/>
  <c r="CV29" i="1" l="1"/>
  <c r="CV30" i="1" l="1"/>
  <c r="CV31" i="1" l="1"/>
  <c r="CV32" i="1" l="1"/>
  <c r="CV33" i="1" l="1"/>
  <c r="CV34" i="1" l="1"/>
  <c r="CV35" i="1" s="1"/>
  <c r="CV36" i="1" s="1"/>
  <c r="CV37" i="1" s="1"/>
  <c r="CV38" i="1" s="1"/>
  <c r="CV39" i="1" s="1"/>
  <c r="CV40" i="1" s="1"/>
  <c r="CV41" i="1" s="1"/>
  <c r="CV42" i="1" s="1"/>
  <c r="CV43" i="1" s="1"/>
  <c r="CV44" i="1" s="1"/>
  <c r="DV28" i="1" l="1"/>
  <c r="DU28" i="1"/>
  <c r="DV29" i="1" l="1"/>
  <c r="DV30" i="1" s="1"/>
  <c r="DV31" i="1" s="1"/>
  <c r="DW28" i="1"/>
  <c r="DU29" i="1"/>
  <c r="DW29" i="1" l="1"/>
  <c r="DU30" i="1"/>
  <c r="DV32" i="1"/>
  <c r="DW30" i="1" l="1"/>
  <c r="DU31" i="1"/>
  <c r="DV33" i="1"/>
  <c r="DW31" i="1" l="1"/>
  <c r="DV34" i="1"/>
  <c r="DU32" i="1"/>
  <c r="DW32" i="1" s="1"/>
  <c r="DV35" i="1" l="1"/>
  <c r="DU33" i="1"/>
  <c r="DW33" i="1" s="1"/>
  <c r="DV36" i="1" l="1"/>
  <c r="DU34" i="1"/>
  <c r="DW34" i="1" s="1"/>
  <c r="DU35" i="1" l="1"/>
  <c r="DW35" i="1" s="1"/>
  <c r="DV37" i="1"/>
  <c r="DV38" i="1" l="1"/>
  <c r="DU36" i="1"/>
  <c r="DW36" i="1" s="1"/>
  <c r="DU37" i="1" l="1"/>
  <c r="DW37" i="1" s="1"/>
  <c r="DV39" i="1"/>
  <c r="DV40" i="1" l="1"/>
  <c r="DU38" i="1"/>
  <c r="DW38" i="1" s="1"/>
  <c r="DV41" i="1" l="1"/>
  <c r="DU39" i="1"/>
  <c r="DW39" i="1" s="1"/>
  <c r="DV42" i="1" l="1"/>
  <c r="DU40" i="1"/>
  <c r="DW40" i="1" s="1"/>
  <c r="DU41" i="1" l="1"/>
  <c r="DW41" i="1" s="1"/>
  <c r="DV43" i="1"/>
  <c r="DU42" i="1" l="1"/>
  <c r="DW42" i="1" s="1"/>
  <c r="DV44" i="1"/>
  <c r="DU43" i="1" l="1"/>
  <c r="DW43" i="1" s="1"/>
  <c r="DU44" i="1" l="1"/>
  <c r="DW44" i="1" s="1"/>
  <c r="AC44" i="1"/>
  <c r="AC38" i="1"/>
  <c r="AC35" i="1"/>
  <c r="AC36" i="1"/>
  <c r="AC40" i="1"/>
  <c r="AC8" i="1"/>
  <c r="AC39" i="1"/>
  <c r="AC41" i="1"/>
  <c r="AC43" i="1"/>
  <c r="AC34" i="1"/>
  <c r="AC37" i="1"/>
  <c r="AC42" i="1"/>
  <c r="AC21" i="1"/>
  <c r="AE21" i="1"/>
  <c r="AF21" i="1" s="1"/>
  <c r="AC29" i="1"/>
  <c r="AE29" i="1" s="1"/>
  <c r="AC14" i="1"/>
  <c r="AE14" i="1"/>
  <c r="DS14" i="1" s="1"/>
  <c r="DT14" i="1" s="1"/>
  <c r="AC20" i="1"/>
  <c r="AE20" i="1"/>
  <c r="DS20" i="1" s="1"/>
  <c r="DT20" i="1" s="1"/>
  <c r="AC19" i="1"/>
  <c r="AE19" i="1" s="1"/>
  <c r="AC30" i="1"/>
  <c r="AE30" i="1"/>
  <c r="DS30" i="1" s="1"/>
  <c r="DT30" i="1" s="1"/>
  <c r="AC17" i="1"/>
  <c r="AE17" i="1"/>
  <c r="DS17" i="1" s="1"/>
  <c r="DT17" i="1" s="1"/>
  <c r="AC28" i="1"/>
  <c r="AE28" i="1" s="1"/>
  <c r="AC27" i="1"/>
  <c r="AE27" i="1"/>
  <c r="AF27" i="1" s="1"/>
  <c r="AC13" i="1"/>
  <c r="AE13" i="1"/>
  <c r="DS13" i="1" s="1"/>
  <c r="DT13" i="1" s="1"/>
  <c r="AC24" i="1"/>
  <c r="AE24" i="1" s="1"/>
  <c r="AC23" i="1"/>
  <c r="AE23" i="1"/>
  <c r="DS23" i="1" s="1"/>
  <c r="DT23" i="1" s="1"/>
  <c r="AC11" i="1"/>
  <c r="AE11" i="1"/>
  <c r="DS11" i="1" s="1"/>
  <c r="DT11" i="1" s="1"/>
  <c r="AC33" i="1"/>
  <c r="AE33" i="1" s="1"/>
  <c r="AC32" i="1"/>
  <c r="AE32" i="1"/>
  <c r="DS32" i="1" s="1"/>
  <c r="DT32" i="1" s="1"/>
  <c r="AC31" i="1"/>
  <c r="AE31" i="1"/>
  <c r="DS31" i="1" s="1"/>
  <c r="DT31" i="1" s="1"/>
  <c r="AC18" i="1"/>
  <c r="AE18" i="1" s="1"/>
  <c r="AC16" i="1"/>
  <c r="AE16" i="1"/>
  <c r="AF16" i="1" s="1"/>
  <c r="AC15" i="1"/>
  <c r="AE15" i="1"/>
  <c r="DS15" i="1" s="1"/>
  <c r="DT15" i="1" s="1"/>
  <c r="AC26" i="1"/>
  <c r="AE26" i="1" s="1"/>
  <c r="AC25" i="1"/>
  <c r="AE25" i="1"/>
  <c r="DS25" i="1" s="1"/>
  <c r="DT25" i="1" s="1"/>
  <c r="AC12" i="1"/>
  <c r="AE12" i="1"/>
  <c r="AF12" i="1" s="1"/>
  <c r="AC22" i="1"/>
  <c r="AE22" i="1" s="1"/>
  <c r="AC10" i="1"/>
  <c r="AE10" i="1"/>
  <c r="AC9" i="1"/>
  <c r="AE9" i="1"/>
  <c r="AF9" i="1" s="1"/>
  <c r="AE3" i="1"/>
  <c r="DS27" i="1" l="1"/>
  <c r="DT27" i="1" s="1"/>
  <c r="DS16" i="1"/>
  <c r="DT16" i="1" s="1"/>
  <c r="DS12" i="1"/>
  <c r="DT12" i="1" s="1"/>
  <c r="DS21" i="1"/>
  <c r="DT21" i="1" s="1"/>
  <c r="DS9" i="1"/>
  <c r="DT9" i="1" s="1"/>
  <c r="AF22" i="1"/>
  <c r="DS22" i="1"/>
  <c r="AF26" i="1"/>
  <c r="DS26" i="1"/>
  <c r="AF29" i="1"/>
  <c r="DS29" i="1"/>
  <c r="AF33" i="1"/>
  <c r="DS33" i="1"/>
  <c r="BF9" i="1"/>
  <c r="BG9" i="1" s="1"/>
  <c r="BC9" i="1"/>
  <c r="BD9" i="1" s="1"/>
  <c r="AF18" i="1"/>
  <c r="DS18" i="1"/>
  <c r="DS24" i="1"/>
  <c r="AF24" i="1"/>
  <c r="AF28" i="1"/>
  <c r="DS28" i="1"/>
  <c r="AF19" i="1"/>
  <c r="DS19" i="1"/>
  <c r="AF20" i="1"/>
  <c r="DS10" i="1"/>
  <c r="AF13" i="1"/>
  <c r="AF25" i="1"/>
  <c r="AF32" i="1"/>
  <c r="AF14" i="1"/>
  <c r="AF31" i="1"/>
  <c r="AF17" i="1"/>
  <c r="AF10" i="1"/>
  <c r="AF30" i="1"/>
  <c r="AF23" i="1"/>
  <c r="AF15" i="1"/>
  <c r="CX9" i="1"/>
  <c r="CY9" i="1" s="1"/>
  <c r="AL9" i="1"/>
  <c r="AQ9" i="1" s="1"/>
  <c r="CZ9" i="1"/>
  <c r="AF11" i="1"/>
  <c r="CX10" i="1"/>
  <c r="CZ10" i="1" s="1"/>
  <c r="AR9" i="1" l="1"/>
  <c r="DT26" i="1"/>
  <c r="AM9" i="1"/>
  <c r="AT9" i="1"/>
  <c r="DT19" i="1"/>
  <c r="CY10" i="1"/>
  <c r="DT22" i="1"/>
  <c r="DT24" i="1"/>
  <c r="DT33" i="1"/>
  <c r="BI9" i="1"/>
  <c r="DS46" i="1"/>
  <c r="BD10" i="1"/>
  <c r="BF10" i="1"/>
  <c r="BC10" i="1"/>
  <c r="DT28" i="1"/>
  <c r="DB9" i="1"/>
  <c r="DT10" i="1"/>
  <c r="DT18" i="1"/>
  <c r="DT29" i="1"/>
  <c r="BG10" i="1" l="1"/>
  <c r="BJ9" i="1"/>
  <c r="BL9" i="1"/>
  <c r="CX11" i="1"/>
  <c r="AU9" i="1"/>
  <c r="AW9" i="1"/>
  <c r="BC11" i="1"/>
  <c r="AL10" i="1"/>
  <c r="DT46" i="1"/>
  <c r="DC9" i="1"/>
  <c r="DD9" i="1"/>
  <c r="BI10" i="1" l="1"/>
  <c r="AP10" i="1"/>
  <c r="BF11" i="1"/>
  <c r="BG11" i="1" s="1"/>
  <c r="CZ11" i="1"/>
  <c r="DE9" i="1"/>
  <c r="CY11" i="1"/>
  <c r="BM9" i="1"/>
  <c r="BS9" i="1"/>
  <c r="BT9" i="1" s="1"/>
  <c r="BP9" i="1"/>
  <c r="BQ9" i="1" s="1"/>
  <c r="CU9" i="1"/>
  <c r="DB10" i="1"/>
  <c r="AM10" i="1"/>
  <c r="BV9" i="1"/>
  <c r="BW9" i="1" s="1"/>
  <c r="BD11" i="1"/>
  <c r="DD10" i="1" l="1"/>
  <c r="BL10" i="1"/>
  <c r="BP10" i="1" s="1"/>
  <c r="BJ10" i="1"/>
  <c r="BI11" i="1" s="1"/>
  <c r="CX12" i="1"/>
  <c r="DC10" i="1"/>
  <c r="DB11" i="1" s="1"/>
  <c r="AQ10" i="1"/>
  <c r="BC12" i="1"/>
  <c r="AL11" i="1"/>
  <c r="BY9" i="1"/>
  <c r="BZ9" i="1" s="1"/>
  <c r="DD11" i="1" l="1"/>
  <c r="DE11" i="1" s="1"/>
  <c r="BL11" i="1"/>
  <c r="BQ10" i="1"/>
  <c r="BS10" i="1"/>
  <c r="BT10" i="1" s="1"/>
  <c r="CZ12" i="1"/>
  <c r="BF12" i="1"/>
  <c r="BG12" i="1" s="1"/>
  <c r="BM10" i="1"/>
  <c r="BD12" i="1"/>
  <c r="CY12" i="1"/>
  <c r="DE10" i="1"/>
  <c r="AT10" i="1"/>
  <c r="AU10" i="1" s="1"/>
  <c r="BJ11" i="1"/>
  <c r="AR10" i="1"/>
  <c r="AM11" i="1"/>
  <c r="CB9" i="1"/>
  <c r="CC9" i="1" s="1"/>
  <c r="AD10" i="1" s="1" a="1"/>
  <c r="AD10" i="1" s="1"/>
  <c r="CU10" i="1"/>
  <c r="DC11" i="1"/>
  <c r="DB12" i="1" s="1"/>
  <c r="CG9" i="1"/>
  <c r="CT9" i="1" s="1"/>
  <c r="DD12" i="1" l="1"/>
  <c r="DE12" i="1" s="1"/>
  <c r="DE69" i="1" s="1"/>
  <c r="BP11" i="1"/>
  <c r="BS11" i="1" s="1"/>
  <c r="BT11" i="1" s="1"/>
  <c r="BI12" i="1"/>
  <c r="DE65" i="1"/>
  <c r="DE61" i="1"/>
  <c r="AP11" i="1"/>
  <c r="AQ11" i="1" s="1"/>
  <c r="AL12" i="1"/>
  <c r="AM12" i="1" s="1"/>
  <c r="BV10" i="1"/>
  <c r="BW10" i="1" s="1"/>
  <c r="BJ12" i="1"/>
  <c r="CX13" i="1"/>
  <c r="BC13" i="1"/>
  <c r="CU11" i="1"/>
  <c r="DC12" i="1"/>
  <c r="AW10" i="1"/>
  <c r="DE60" i="1" s="1"/>
  <c r="BM11" i="1"/>
  <c r="CI9" i="1"/>
  <c r="DY9" i="1" s="1" a="1"/>
  <c r="DY9" i="1" s="1"/>
  <c r="DZ9" i="1" s="1" a="1"/>
  <c r="DZ9" i="1" s="1"/>
  <c r="EA10" i="1" s="1" a="1"/>
  <c r="EA10" i="1" s="1"/>
  <c r="AT11" i="1" l="1"/>
  <c r="AU11" i="1" s="1"/>
  <c r="AW11" i="1"/>
  <c r="DE64" i="1" s="1"/>
  <c r="AH10" i="1"/>
  <c r="AG10" i="1"/>
  <c r="CZ13" i="1"/>
  <c r="CU12" i="1"/>
  <c r="CY13" i="1"/>
  <c r="BF13" i="1"/>
  <c r="BG13" i="1" s="1"/>
  <c r="BD13" i="1"/>
  <c r="AR11" i="1"/>
  <c r="BL12" i="1"/>
  <c r="BM12" i="1" s="1"/>
  <c r="AL13" i="1"/>
  <c r="BQ11" i="1"/>
  <c r="BY10" i="1"/>
  <c r="BZ10" i="1" s="1"/>
  <c r="BV11" i="1"/>
  <c r="BY11" i="1" s="1"/>
  <c r="EB9" i="1"/>
  <c r="ED9" i="1" s="1" a="1"/>
  <c r="ED9" i="1" s="1"/>
  <c r="EF9" i="1" l="1"/>
  <c r="EE9" i="1"/>
  <c r="BL13" i="1"/>
  <c r="BM13" i="1" s="1"/>
  <c r="BZ11" i="1"/>
  <c r="BW11" i="1"/>
  <c r="CX14" i="1"/>
  <c r="CY14" i="1" s="1"/>
  <c r="AP12" i="1"/>
  <c r="AQ12" i="1" s="1"/>
  <c r="CB10" i="1"/>
  <c r="CC10" i="1" s="1"/>
  <c r="BI13" i="1"/>
  <c r="BJ13" i="1" s="1"/>
  <c r="EC9" i="1"/>
  <c r="EG9" i="1"/>
  <c r="AM13" i="1"/>
  <c r="BC14" i="1"/>
  <c r="BS12" i="1"/>
  <c r="BT12" i="1" s="1"/>
  <c r="DB13" i="1"/>
  <c r="BP12" i="1"/>
  <c r="BV12" i="1" s="1"/>
  <c r="CG10" i="1" l="1"/>
  <c r="CT10" i="1" s="1"/>
  <c r="AR12" i="1"/>
  <c r="BP13" i="1"/>
  <c r="BF14" i="1"/>
  <c r="BG14" i="1" s="1"/>
  <c r="BQ12" i="1"/>
  <c r="CI10" i="1"/>
  <c r="DY10" i="1" s="1" a="1"/>
  <c r="DY10" i="1" s="1"/>
  <c r="DZ10" i="1" s="1" a="1"/>
  <c r="DZ10" i="1" s="1"/>
  <c r="EA11" i="1" s="1" a="1"/>
  <c r="EA11" i="1" s="1"/>
  <c r="AL14" i="1"/>
  <c r="AM14" i="1" s="1"/>
  <c r="BY12" i="1"/>
  <c r="BD14" i="1"/>
  <c r="AT12" i="1"/>
  <c r="AU12" i="1" s="1"/>
  <c r="AW12" i="1"/>
  <c r="DE68" i="1" s="1"/>
  <c r="CZ14" i="1"/>
  <c r="CB11" i="1"/>
  <c r="CC11" i="1" s="1"/>
  <c r="DC13" i="1"/>
  <c r="DD13" i="1"/>
  <c r="CX15" i="1"/>
  <c r="CY15" i="1" s="1"/>
  <c r="BW12" i="1"/>
  <c r="AD11" i="1" l="1" a="1"/>
  <c r="AD11" i="1" s="1"/>
  <c r="CG11" i="1"/>
  <c r="CT11" i="1" s="1"/>
  <c r="CI11" i="1"/>
  <c r="DY11" i="1" s="1" a="1"/>
  <c r="DY11" i="1" s="1"/>
  <c r="DZ11" i="1" s="1" a="1"/>
  <c r="DZ11" i="1" s="1"/>
  <c r="EA12" i="1" s="1" a="1"/>
  <c r="EA12" i="1" s="1"/>
  <c r="CB12" i="1"/>
  <c r="CC12" i="1" s="1"/>
  <c r="AL15" i="1"/>
  <c r="CZ15" i="1"/>
  <c r="DE13" i="1"/>
  <c r="BI14" i="1"/>
  <c r="AG11" i="1"/>
  <c r="AH11" i="1"/>
  <c r="BZ12" i="1"/>
  <c r="AP13" i="1"/>
  <c r="EB10" i="1"/>
  <c r="CU13" i="1"/>
  <c r="BC15" i="1"/>
  <c r="BQ13" i="1"/>
  <c r="CX16" i="1"/>
  <c r="BS13" i="1"/>
  <c r="DB14" i="1"/>
  <c r="DD14" i="1" s="1"/>
  <c r="DE14" i="1" s="1"/>
  <c r="AD13" i="1" l="1" a="1"/>
  <c r="AD13" i="1" s="1"/>
  <c r="AD12" i="1" a="1"/>
  <c r="AD12" i="1" s="1"/>
  <c r="AH12" i="1" s="1"/>
  <c r="BT13" i="1"/>
  <c r="BV13" i="1"/>
  <c r="CZ16" i="1"/>
  <c r="DC14" i="1"/>
  <c r="AQ13" i="1"/>
  <c r="AR13" i="1" s="1"/>
  <c r="CY16" i="1"/>
  <c r="AM15" i="1"/>
  <c r="BF15" i="1"/>
  <c r="BG15" i="1" s="1"/>
  <c r="BD15" i="1"/>
  <c r="BJ14" i="1"/>
  <c r="BL14" i="1"/>
  <c r="EC10" i="1"/>
  <c r="CG12" i="1"/>
  <c r="CT12" i="1" s="1"/>
  <c r="CI12" i="1"/>
  <c r="DY12" i="1" s="1" a="1"/>
  <c r="DY12" i="1" s="1"/>
  <c r="DZ12" i="1" s="1" a="1"/>
  <c r="DZ12" i="1" s="1"/>
  <c r="EA13" i="1" s="1" a="1"/>
  <c r="EA13" i="1" s="1"/>
  <c r="ED10" i="1" a="1"/>
  <c r="ED10" i="1" s="1"/>
  <c r="EF10" i="1" s="1"/>
  <c r="AG12" i="1" l="1"/>
  <c r="CU14" i="1"/>
  <c r="DB15" i="1"/>
  <c r="DD15" i="1" s="1"/>
  <c r="DE15" i="1" s="1"/>
  <c r="EE10" i="1"/>
  <c r="CX17" i="1"/>
  <c r="BC16" i="1"/>
  <c r="BM14" i="1"/>
  <c r="AL16" i="1"/>
  <c r="AM16" i="1" s="1"/>
  <c r="EB11" i="1"/>
  <c r="BY13" i="1"/>
  <c r="BZ13" i="1" s="1"/>
  <c r="BW13" i="1"/>
  <c r="AT13" i="1"/>
  <c r="AU13" i="1" s="1"/>
  <c r="AW13" i="1"/>
  <c r="EG10" i="1"/>
  <c r="BI15" i="1"/>
  <c r="BP14" i="1"/>
  <c r="BQ14" i="1" s="1"/>
  <c r="EC11" i="1" l="1"/>
  <c r="AL17" i="1"/>
  <c r="BV14" i="1"/>
  <c r="BW14" i="1" s="1"/>
  <c r="BF16" i="1"/>
  <c r="BG16" i="1" s="1"/>
  <c r="BI16" i="1"/>
  <c r="BD16" i="1"/>
  <c r="BL15" i="1"/>
  <c r="BJ15" i="1"/>
  <c r="CB13" i="1"/>
  <c r="CC13" i="1" s="1"/>
  <c r="DC15" i="1"/>
  <c r="CZ17" i="1"/>
  <c r="AP14" i="1"/>
  <c r="BS14" i="1"/>
  <c r="BT14" i="1" s="1"/>
  <c r="CY17" i="1"/>
  <c r="AH13" i="1"/>
  <c r="AG13" i="1"/>
  <c r="ED11" i="1" a="1"/>
  <c r="ED11" i="1" s="1"/>
  <c r="EF11" i="1" s="1"/>
  <c r="EB12" i="1" l="1"/>
  <c r="ED12" i="1" s="1" a="1"/>
  <c r="ED12" i="1" s="1"/>
  <c r="EE12" i="1" s="1"/>
  <c r="CX18" i="1"/>
  <c r="CY18" i="1" s="1"/>
  <c r="BM15" i="1"/>
  <c r="EE11" i="1"/>
  <c r="BC17" i="1"/>
  <c r="CU15" i="1"/>
  <c r="DB16" i="1"/>
  <c r="DD16" i="1" s="1"/>
  <c r="DE16" i="1" s="1"/>
  <c r="AQ14" i="1"/>
  <c r="AR14" i="1" s="1"/>
  <c r="BP15" i="1"/>
  <c r="BS15" i="1"/>
  <c r="BT15" i="1" s="1"/>
  <c r="CG13" i="1"/>
  <c r="CT13" i="1" s="1"/>
  <c r="EG11" i="1"/>
  <c r="BY14" i="1"/>
  <c r="BZ14" i="1" s="1"/>
  <c r="BL16" i="1"/>
  <c r="AM17" i="1"/>
  <c r="BJ16" i="1"/>
  <c r="EC12" i="1"/>
  <c r="AD14" i="1" l="1" a="1"/>
  <c r="AD14" i="1" s="1"/>
  <c r="AH14" i="1"/>
  <c r="CI13" i="1"/>
  <c r="DY13" i="1" s="1" a="1"/>
  <c r="DY13" i="1" s="1"/>
  <c r="DZ13" i="1" s="1" a="1"/>
  <c r="DZ13" i="1" s="1"/>
  <c r="EA14" i="1" s="1" a="1"/>
  <c r="EA14" i="1" s="1"/>
  <c r="EF12" i="1"/>
  <c r="EG12" i="1"/>
  <c r="CX19" i="1"/>
  <c r="BM16" i="1"/>
  <c r="DC16" i="1"/>
  <c r="AT14" i="1"/>
  <c r="AU14" i="1" s="1"/>
  <c r="BF17" i="1"/>
  <c r="BG17" i="1" s="1"/>
  <c r="BI17" i="1"/>
  <c r="BJ17" i="1" s="1"/>
  <c r="CB14" i="1"/>
  <c r="CC14" i="1" s="1"/>
  <c r="AL18" i="1"/>
  <c r="AM18" i="1" s="1"/>
  <c r="CZ18" i="1"/>
  <c r="BD17" i="1"/>
  <c r="BQ15" i="1"/>
  <c r="BV15" i="1"/>
  <c r="BY15" i="1"/>
  <c r="BZ15" i="1" s="1"/>
  <c r="EB13" i="1" l="1"/>
  <c r="ED13" i="1" s="1" a="1"/>
  <c r="ED13" i="1" s="1"/>
  <c r="EF13" i="1" s="1"/>
  <c r="AG14" i="1"/>
  <c r="CG14" i="1"/>
  <c r="CT14" i="1" s="1"/>
  <c r="AL19" i="1"/>
  <c r="CB15" i="1"/>
  <c r="CC15" i="1" s="1"/>
  <c r="BW15" i="1"/>
  <c r="AW14" i="1"/>
  <c r="BL17" i="1"/>
  <c r="BP16" i="1"/>
  <c r="BQ16" i="1" s="1"/>
  <c r="BC18" i="1"/>
  <c r="CZ19" i="1"/>
  <c r="AP15" i="1"/>
  <c r="CY19" i="1"/>
  <c r="CU16" i="1"/>
  <c r="DB17" i="1"/>
  <c r="DD17" i="1" s="1"/>
  <c r="DE17" i="1" s="1"/>
  <c r="CI14" i="1"/>
  <c r="AD15" i="1" l="1" a="1"/>
  <c r="AD15" i="1" s="1"/>
  <c r="AH15" i="1" s="1"/>
  <c r="EC13" i="1"/>
  <c r="DY14" i="1" a="1"/>
  <c r="DY14" i="1" s="1"/>
  <c r="CG15" i="1"/>
  <c r="CT15" i="1" s="1"/>
  <c r="AQ15" i="1"/>
  <c r="AM19" i="1"/>
  <c r="EE13" i="1"/>
  <c r="EG13" i="1"/>
  <c r="DC17" i="1"/>
  <c r="CX20" i="1"/>
  <c r="CY20" i="1" s="1"/>
  <c r="BS16" i="1"/>
  <c r="BT16" i="1" s="1"/>
  <c r="BF18" i="1"/>
  <c r="BG18" i="1" s="1"/>
  <c r="BM17" i="1"/>
  <c r="BD18" i="1"/>
  <c r="BP17" i="1"/>
  <c r="AD16" i="1" l="1" a="1"/>
  <c r="AD16" i="1" s="1"/>
  <c r="EB14" i="1"/>
  <c r="DZ14" i="1" a="1"/>
  <c r="DZ14" i="1" s="1"/>
  <c r="EA15" i="1" s="1" a="1"/>
  <c r="EA15" i="1" s="1"/>
  <c r="AG15" i="1"/>
  <c r="EC14" i="1"/>
  <c r="CI15" i="1"/>
  <c r="CX21" i="1"/>
  <c r="AT15" i="1"/>
  <c r="AU15" i="1" s="1"/>
  <c r="AW15" i="1"/>
  <c r="AL20" i="1"/>
  <c r="AM20" i="1" s="1"/>
  <c r="BL18" i="1"/>
  <c r="BC19" i="1"/>
  <c r="AR15" i="1"/>
  <c r="BS17" i="1"/>
  <c r="BV17" i="1" s="1"/>
  <c r="BV16" i="1"/>
  <c r="BW16" i="1" s="1"/>
  <c r="CZ20" i="1"/>
  <c r="BI18" i="1"/>
  <c r="CU17" i="1"/>
  <c r="DB18" i="1"/>
  <c r="DD18" i="1" s="1"/>
  <c r="DE18" i="1" s="1"/>
  <c r="BQ17" i="1"/>
  <c r="ED14" i="1" l="1" a="1"/>
  <c r="ED14" i="1" s="1"/>
  <c r="EF14" i="1" s="1"/>
  <c r="DY15" i="1" a="1"/>
  <c r="DY15" i="1" s="1"/>
  <c r="EF15" i="1"/>
  <c r="AL21" i="1"/>
  <c r="BM18" i="1"/>
  <c r="BF19" i="1"/>
  <c r="BG19" i="1" s="1"/>
  <c r="AP16" i="1"/>
  <c r="BW17" i="1"/>
  <c r="BY16" i="1"/>
  <c r="BZ16" i="1" s="1"/>
  <c r="BS18" i="1"/>
  <c r="BD19" i="1"/>
  <c r="AQ16" i="1"/>
  <c r="CZ21" i="1"/>
  <c r="DC18" i="1"/>
  <c r="BT17" i="1"/>
  <c r="CY21" i="1"/>
  <c r="BJ18" i="1"/>
  <c r="BP18" i="1"/>
  <c r="BV18" i="1" s="1"/>
  <c r="EE14" i="1"/>
  <c r="EG14" i="1"/>
  <c r="AG16" i="1"/>
  <c r="AH16" i="1"/>
  <c r="EB15" i="1" l="1"/>
  <c r="EC15" i="1" s="1"/>
  <c r="DZ15" i="1" a="1"/>
  <c r="DZ15" i="1" s="1"/>
  <c r="EE15" i="1"/>
  <c r="AR16" i="1"/>
  <c r="BT18" i="1"/>
  <c r="BC20" i="1"/>
  <c r="BW18" i="1"/>
  <c r="CB16" i="1"/>
  <c r="CC16" i="1" s="1"/>
  <c r="BQ18" i="1"/>
  <c r="BY17" i="1"/>
  <c r="BZ17" i="1" s="1"/>
  <c r="CX22" i="1"/>
  <c r="CY22" i="1" s="1"/>
  <c r="CU18" i="1"/>
  <c r="DB19" i="1"/>
  <c r="DD19" i="1" s="1"/>
  <c r="DE19" i="1" s="1"/>
  <c r="AT16" i="1"/>
  <c r="AU16" i="1" s="1"/>
  <c r="BI19" i="1"/>
  <c r="AM21" i="1"/>
  <c r="AD17" i="1" l="1" a="1"/>
  <c r="AD17" i="1" s="1"/>
  <c r="ED15" i="1" a="1"/>
  <c r="ED15" i="1" s="1"/>
  <c r="EG15" i="1" s="1"/>
  <c r="EA16" i="1" a="1"/>
  <c r="EA16" i="1" s="1"/>
  <c r="BY18" i="1"/>
  <c r="CX23" i="1"/>
  <c r="CY23" i="1" s="1"/>
  <c r="BI20" i="1"/>
  <c r="BL20" i="1"/>
  <c r="BF20" i="1"/>
  <c r="BG20" i="1" s="1"/>
  <c r="BD20" i="1"/>
  <c r="BJ19" i="1"/>
  <c r="CI16" i="1"/>
  <c r="DY16" i="1" s="1" a="1"/>
  <c r="DY16" i="1" s="1"/>
  <c r="DZ16" i="1" s="1" a="1"/>
  <c r="DZ16" i="1" s="1"/>
  <c r="EA17" i="1" s="1" a="1"/>
  <c r="EA17" i="1" s="1"/>
  <c r="CZ22" i="1"/>
  <c r="AL22" i="1"/>
  <c r="CB17" i="1"/>
  <c r="CC17" i="1" s="1"/>
  <c r="AW16" i="1"/>
  <c r="DC19" i="1"/>
  <c r="CG16" i="1"/>
  <c r="CT16" i="1" s="1"/>
  <c r="BP19" i="1"/>
  <c r="BL19" i="1"/>
  <c r="BM19" i="1" s="1"/>
  <c r="AP17" i="1"/>
  <c r="CG17" i="1" l="1"/>
  <c r="CT17" i="1" s="1"/>
  <c r="EB16" i="1"/>
  <c r="ED16" i="1" s="1" a="1"/>
  <c r="ED16" i="1" s="1"/>
  <c r="BJ20" i="1"/>
  <c r="CU19" i="1"/>
  <c r="DB20" i="1"/>
  <c r="DD20" i="1" s="1"/>
  <c r="DE20" i="1" s="1"/>
  <c r="CZ23" i="1"/>
  <c r="BQ19" i="1"/>
  <c r="BC21" i="1"/>
  <c r="BD21" i="1" s="1"/>
  <c r="CX24" i="1"/>
  <c r="AQ17" i="1"/>
  <c r="AM22" i="1"/>
  <c r="CB18" i="1"/>
  <c r="CC18" i="1" s="1"/>
  <c r="BZ18" i="1"/>
  <c r="BM20" i="1"/>
  <c r="BS19" i="1"/>
  <c r="BT19" i="1" s="1"/>
  <c r="AD18" i="1" l="1" a="1"/>
  <c r="AD18" i="1" s="1"/>
  <c r="AG18" i="1" s="1"/>
  <c r="EC16" i="1"/>
  <c r="EF16" i="1"/>
  <c r="CI17" i="1"/>
  <c r="DY17" i="1" s="1" a="1"/>
  <c r="DY17" i="1" s="1"/>
  <c r="DZ17" i="1" s="1" a="1"/>
  <c r="DZ17" i="1" s="1"/>
  <c r="EA18" i="1" s="1" a="1"/>
  <c r="EA18" i="1" s="1"/>
  <c r="EE16" i="1"/>
  <c r="EG16" i="1"/>
  <c r="AH17" i="1"/>
  <c r="AG17" i="1"/>
  <c r="CB19" i="1"/>
  <c r="CC19" i="1" s="1"/>
  <c r="AT17" i="1"/>
  <c r="AU17" i="1" s="1"/>
  <c r="AW17" i="1"/>
  <c r="CI18" i="1"/>
  <c r="DY18" i="1" s="1" a="1"/>
  <c r="DY18" i="1" s="1"/>
  <c r="CG18" i="1"/>
  <c r="CT18" i="1" s="1"/>
  <c r="CZ24" i="1"/>
  <c r="DC20" i="1"/>
  <c r="CY24" i="1"/>
  <c r="BV19" i="1"/>
  <c r="BW19" i="1" s="1"/>
  <c r="BF21" i="1"/>
  <c r="BG21" i="1" s="1"/>
  <c r="AR17" i="1"/>
  <c r="BY19" i="1"/>
  <c r="BZ19" i="1" s="1"/>
  <c r="AL23" i="1"/>
  <c r="AM23" i="1" s="1"/>
  <c r="BC22" i="1"/>
  <c r="BD22" i="1" s="1"/>
  <c r="BP20" i="1"/>
  <c r="BQ20" i="1" s="1"/>
  <c r="AD19" i="1" l="1" a="1"/>
  <c r="AD19" i="1" s="1"/>
  <c r="DZ18" i="1" a="1"/>
  <c r="DZ18" i="1" s="1"/>
  <c r="EA19" i="1" s="1" a="1"/>
  <c r="EA19" i="1" s="1"/>
  <c r="AH18" i="1"/>
  <c r="BC23" i="1"/>
  <c r="AL24" i="1"/>
  <c r="CG19" i="1"/>
  <c r="CT19" i="1" s="1"/>
  <c r="BP21" i="1"/>
  <c r="BQ21" i="1" s="1"/>
  <c r="BL21" i="1"/>
  <c r="BM21" i="1" s="1"/>
  <c r="EB17" i="1"/>
  <c r="BI21" i="1"/>
  <c r="BJ21" i="1" s="1"/>
  <c r="CU20" i="1"/>
  <c r="DB21" i="1"/>
  <c r="DD21" i="1" s="1"/>
  <c r="DE21" i="1" s="1"/>
  <c r="AP18" i="1"/>
  <c r="AQ18" i="1" s="1"/>
  <c r="BF22" i="1"/>
  <c r="BI22" i="1"/>
  <c r="CY44" i="1"/>
  <c r="CX25" i="1"/>
  <c r="CY25" i="1" s="1"/>
  <c r="BS20" i="1"/>
  <c r="BT20" i="1" s="1"/>
  <c r="BV20" i="1"/>
  <c r="BW20" i="1" s="1"/>
  <c r="AD20" i="1" l="1" a="1"/>
  <c r="AD20" i="1" s="1"/>
  <c r="EC17" i="1"/>
  <c r="CI19" i="1"/>
  <c r="DY19" i="1" s="1" a="1"/>
  <c r="DY19" i="1" s="1"/>
  <c r="DZ19" i="1" s="1" a="1"/>
  <c r="DZ19" i="1" s="1"/>
  <c r="EA20" i="1" s="1" a="1"/>
  <c r="EA20" i="1" s="1"/>
  <c r="ED17" i="1" a="1"/>
  <c r="ED17" i="1" s="1"/>
  <c r="EE17" i="1" s="1"/>
  <c r="BL22" i="1"/>
  <c r="BG22" i="1"/>
  <c r="AT18" i="1"/>
  <c r="AU18" i="1" s="1"/>
  <c r="BS21" i="1"/>
  <c r="AM24" i="1"/>
  <c r="BY20" i="1"/>
  <c r="BZ20" i="1" s="1"/>
  <c r="BF23" i="1"/>
  <c r="DC21" i="1"/>
  <c r="BD23" i="1"/>
  <c r="AR18" i="1"/>
  <c r="AG19" i="1"/>
  <c r="AH19" i="1"/>
  <c r="CZ25" i="1"/>
  <c r="BJ22" i="1"/>
  <c r="CX26" i="1"/>
  <c r="CY26" i="1" s="1"/>
  <c r="EG17" i="1" l="1"/>
  <c r="EF17" i="1"/>
  <c r="CX27" i="1"/>
  <c r="CY27" i="1" s="1"/>
  <c r="CB20" i="1"/>
  <c r="CC20" i="1" s="1"/>
  <c r="EB18" i="1"/>
  <c r="AP19" i="1"/>
  <c r="AQ19" i="1" s="1"/>
  <c r="BP22" i="1"/>
  <c r="BQ22" i="1" s="1"/>
  <c r="AM44" i="1"/>
  <c r="AL25" i="1"/>
  <c r="AM25" i="1" s="1"/>
  <c r="BL23" i="1"/>
  <c r="BP23" i="1"/>
  <c r="AW18" i="1"/>
  <c r="CZ26" i="1"/>
  <c r="BV21" i="1"/>
  <c r="BC24" i="1"/>
  <c r="CU21" i="1"/>
  <c r="DB22" i="1"/>
  <c r="DD22" i="1" s="1"/>
  <c r="DE22" i="1" s="1"/>
  <c r="AH20" i="1"/>
  <c r="AG20" i="1"/>
  <c r="BI23" i="1"/>
  <c r="CG20" i="1"/>
  <c r="CT20" i="1" s="1"/>
  <c r="BM22" i="1"/>
  <c r="BG23" i="1"/>
  <c r="BT21" i="1"/>
  <c r="AD21" i="1" l="1" a="1"/>
  <c r="AD21" i="1" s="1"/>
  <c r="EC18" i="1"/>
  <c r="AL26" i="1"/>
  <c r="CB21" i="1"/>
  <c r="CC21" i="1" s="1"/>
  <c r="ED18" i="1" a="1"/>
  <c r="ED18" i="1" s="1"/>
  <c r="EE18" i="1" s="1"/>
  <c r="BW21" i="1"/>
  <c r="BY21" i="1"/>
  <c r="BZ21" i="1" s="1"/>
  <c r="BJ23" i="1"/>
  <c r="BQ23" i="1"/>
  <c r="DC22" i="1"/>
  <c r="CI20" i="1"/>
  <c r="DY20" i="1" s="1" a="1"/>
  <c r="DY20" i="1" s="1"/>
  <c r="DZ20" i="1" s="1" a="1"/>
  <c r="DZ20" i="1" s="1"/>
  <c r="EA21" i="1" s="1" a="1"/>
  <c r="EA21" i="1" s="1"/>
  <c r="CZ27" i="1"/>
  <c r="BF24" i="1"/>
  <c r="BG24" i="1" s="1"/>
  <c r="BI24" i="1"/>
  <c r="CX28" i="1"/>
  <c r="CY28" i="1" s="1"/>
  <c r="AT19" i="1"/>
  <c r="AU19" i="1" s="1"/>
  <c r="AW19" i="1"/>
  <c r="AR19" i="1"/>
  <c r="BS22" i="1"/>
  <c r="BM23" i="1"/>
  <c r="BD24" i="1"/>
  <c r="EF18" i="1" l="1"/>
  <c r="CX29" i="1"/>
  <c r="CY29" i="1" s="1"/>
  <c r="CG21" i="1"/>
  <c r="EG18" i="1"/>
  <c r="BV22" i="1"/>
  <c r="BY22" i="1" s="1"/>
  <c r="BZ22" i="1" s="1"/>
  <c r="BD44" i="1"/>
  <c r="BC25" i="1"/>
  <c r="CU22" i="1"/>
  <c r="DB23" i="1"/>
  <c r="DD23" i="1" s="1"/>
  <c r="DE23" i="1" s="1"/>
  <c r="EB19" i="1"/>
  <c r="BJ24" i="1"/>
  <c r="AP20" i="1"/>
  <c r="BT22" i="1"/>
  <c r="BL24" i="1"/>
  <c r="CZ28" i="1"/>
  <c r="AM26" i="1"/>
  <c r="BG44" i="1"/>
  <c r="AH21" i="1"/>
  <c r="AG21" i="1"/>
  <c r="AQ20" i="1"/>
  <c r="CT21" i="1" l="1"/>
  <c r="AD22" i="1" a="1"/>
  <c r="AD22" i="1" s="1"/>
  <c r="AH22" i="1" s="1"/>
  <c r="CI21" i="1"/>
  <c r="DY21" i="1" s="1" a="1"/>
  <c r="DY21" i="1" s="1"/>
  <c r="DZ21" i="1" s="1" a="1"/>
  <c r="DZ21" i="1" s="1"/>
  <c r="EA22" i="1" s="1" a="1"/>
  <c r="EA22" i="1" s="1"/>
  <c r="EC19" i="1"/>
  <c r="BW22" i="1"/>
  <c r="ED19" i="1" a="1"/>
  <c r="ED19" i="1" s="1"/>
  <c r="EE19" i="1" s="1"/>
  <c r="AL27" i="1"/>
  <c r="BL25" i="1"/>
  <c r="BF25" i="1"/>
  <c r="BG25" i="1" s="1"/>
  <c r="BI25" i="1"/>
  <c r="BJ25" i="1" s="1"/>
  <c r="AG22" i="1"/>
  <c r="BP24" i="1"/>
  <c r="BQ24" i="1" s="1"/>
  <c r="BJ44" i="1"/>
  <c r="BD25" i="1"/>
  <c r="DC23" i="1"/>
  <c r="BS23" i="1"/>
  <c r="CZ29" i="1"/>
  <c r="BM24" i="1"/>
  <c r="CX30" i="1"/>
  <c r="CB22" i="1"/>
  <c r="CC22" i="1" s="1"/>
  <c r="EB20" i="1"/>
  <c r="AW20" i="1"/>
  <c r="AT20" i="1"/>
  <c r="AU20" i="1" s="1"/>
  <c r="AR20" i="1"/>
  <c r="EC20" i="1" l="1"/>
  <c r="EB21" i="1" s="1"/>
  <c r="EF19" i="1"/>
  <c r="EG19" i="1"/>
  <c r="BV23" i="1"/>
  <c r="BW23" i="1" s="1"/>
  <c r="BY23" i="1"/>
  <c r="BZ23" i="1" s="1"/>
  <c r="AM27" i="1"/>
  <c r="ED20" i="1" a="1"/>
  <c r="ED20" i="1" s="1"/>
  <c r="EE20" i="1" s="1"/>
  <c r="BQ44" i="1"/>
  <c r="CZ30" i="1"/>
  <c r="BT23" i="1"/>
  <c r="CY30" i="1"/>
  <c r="CU23" i="1"/>
  <c r="DB24" i="1"/>
  <c r="DD24" i="1" s="1"/>
  <c r="DE24" i="1" s="1"/>
  <c r="BM25" i="1"/>
  <c r="BM44" i="1"/>
  <c r="BC26" i="1"/>
  <c r="CG22" i="1"/>
  <c r="AD23" i="1" s="1" a="1"/>
  <c r="AD23" i="1" s="1"/>
  <c r="BP25" i="1"/>
  <c r="AP21" i="1"/>
  <c r="AQ21" i="1" s="1"/>
  <c r="CT22" i="1" l="1"/>
  <c r="CI22" i="1"/>
  <c r="DY22" i="1" s="1" a="1"/>
  <c r="DY22" i="1" s="1"/>
  <c r="DZ22" i="1" s="1" a="1"/>
  <c r="DZ22" i="1" s="1"/>
  <c r="EA23" i="1" s="1" a="1"/>
  <c r="EA23" i="1" s="1"/>
  <c r="ED21" i="1" a="1"/>
  <c r="ED21" i="1" s="1"/>
  <c r="EE21" i="1" s="1"/>
  <c r="EF21" i="1"/>
  <c r="EF20" i="1"/>
  <c r="AG23" i="1"/>
  <c r="EG20" i="1"/>
  <c r="DC24" i="1"/>
  <c r="CU24" i="1" s="1"/>
  <c r="AT21" i="1"/>
  <c r="AU21" i="1" s="1"/>
  <c r="AW21" i="1"/>
  <c r="AR21" i="1"/>
  <c r="CX31" i="1"/>
  <c r="CY31" i="1" s="1"/>
  <c r="BI26" i="1"/>
  <c r="BJ26" i="1" s="1"/>
  <c r="BF26" i="1"/>
  <c r="BG26" i="1" s="1"/>
  <c r="EC21" i="1"/>
  <c r="CB23" i="1"/>
  <c r="CC23" i="1" s="1"/>
  <c r="BD26" i="1"/>
  <c r="BQ25" i="1"/>
  <c r="DB25" i="1"/>
  <c r="DD25" i="1" s="1"/>
  <c r="DE25" i="1" s="1"/>
  <c r="BS24" i="1"/>
  <c r="AL28" i="1"/>
  <c r="AM28" i="1" s="1"/>
  <c r="EG21" i="1" l="1"/>
  <c r="DC44" i="1"/>
  <c r="CU44" i="1" s="1"/>
  <c r="EB22" i="1"/>
  <c r="EC22" i="1" s="1"/>
  <c r="AH23" i="1"/>
  <c r="AL29" i="1"/>
  <c r="AM29" i="1" s="1"/>
  <c r="BV24" i="1"/>
  <c r="BW24" i="1" s="1"/>
  <c r="DC25" i="1"/>
  <c r="CG23" i="1"/>
  <c r="CT23" i="1" s="1"/>
  <c r="BT24" i="1"/>
  <c r="BC27" i="1"/>
  <c r="BD27" i="1" s="1"/>
  <c r="CX32" i="1"/>
  <c r="CY32" i="1" s="1"/>
  <c r="AP22" i="1"/>
  <c r="BL26" i="1"/>
  <c r="BM26" i="1" s="1"/>
  <c r="CZ31" i="1"/>
  <c r="AD24" i="1" l="1" a="1"/>
  <c r="AD24" i="1" s="1"/>
  <c r="ED22" i="1" a="1"/>
  <c r="ED22" i="1" s="1"/>
  <c r="EE22" i="1" s="1"/>
  <c r="CI23" i="1"/>
  <c r="EF22" i="1"/>
  <c r="AQ22" i="1"/>
  <c r="BP26" i="1"/>
  <c r="CU25" i="1"/>
  <c r="DB26" i="1"/>
  <c r="DD26" i="1" s="1"/>
  <c r="DE26" i="1" s="1"/>
  <c r="BF27" i="1"/>
  <c r="BG27" i="1" s="1"/>
  <c r="BY24" i="1"/>
  <c r="BC28" i="1"/>
  <c r="BW44" i="1"/>
  <c r="CZ32" i="1"/>
  <c r="CX33" i="1"/>
  <c r="CY33" i="1" s="1"/>
  <c r="CY34" i="1" s="1"/>
  <c r="CY35" i="1" s="1"/>
  <c r="CY36" i="1" s="1"/>
  <c r="CY37" i="1" s="1"/>
  <c r="CY38" i="1" s="1"/>
  <c r="CY39" i="1" s="1"/>
  <c r="CY40" i="1" s="1"/>
  <c r="CY41" i="1" s="1"/>
  <c r="CY42" i="1" s="1"/>
  <c r="CY43" i="1" s="1"/>
  <c r="BT44" i="1"/>
  <c r="BS25" i="1"/>
  <c r="AL30" i="1"/>
  <c r="EG22" i="1" l="1"/>
  <c r="DY23" i="1" a="1"/>
  <c r="DY23" i="1" s="1"/>
  <c r="BQ26" i="1"/>
  <c r="BZ24" i="1"/>
  <c r="CB24" i="1"/>
  <c r="CC24" i="1" s="1"/>
  <c r="DC26" i="1"/>
  <c r="BI27" i="1"/>
  <c r="BJ27" i="1" s="1"/>
  <c r="AT22" i="1"/>
  <c r="AU22" i="1" s="1"/>
  <c r="AW22" i="1"/>
  <c r="BV25" i="1"/>
  <c r="BW25" i="1" s="1"/>
  <c r="BT25" i="1"/>
  <c r="BF28" i="1"/>
  <c r="BG28" i="1" s="1"/>
  <c r="AG24" i="1"/>
  <c r="AH24" i="1"/>
  <c r="CZ33" i="1"/>
  <c r="AM30" i="1"/>
  <c r="BD28" i="1"/>
  <c r="AR22" i="1"/>
  <c r="AD25" i="1" l="1" a="1"/>
  <c r="AD25" i="1" s="1"/>
  <c r="EB23" i="1"/>
  <c r="EC23" i="1" s="1"/>
  <c r="DZ23" i="1" a="1"/>
  <c r="DZ23" i="1" s="1"/>
  <c r="BS26" i="1"/>
  <c r="BT26" i="1" s="1"/>
  <c r="BV26" i="1"/>
  <c r="CU26" i="1"/>
  <c r="DB27" i="1"/>
  <c r="DD27" i="1" s="1"/>
  <c r="DE27" i="1" s="1"/>
  <c r="BZ44" i="1"/>
  <c r="CG24" i="1"/>
  <c r="CT24" i="1" s="1"/>
  <c r="BC29" i="1"/>
  <c r="CZ46" i="1"/>
  <c r="BL27" i="1"/>
  <c r="BM27" i="1" s="1"/>
  <c r="BY25" i="1"/>
  <c r="BZ25" i="1" s="1"/>
  <c r="EE23" i="1"/>
  <c r="CC44" i="1"/>
  <c r="CB25" i="1"/>
  <c r="CC25" i="1" s="1"/>
  <c r="AL31" i="1"/>
  <c r="BI28" i="1"/>
  <c r="BJ28" i="1" s="1"/>
  <c r="AP23" i="1"/>
  <c r="AQ23" i="1" s="1"/>
  <c r="AD26" i="1" l="1" a="1"/>
  <c r="AD26" i="1" s="1"/>
  <c r="ED23" i="1" a="1"/>
  <c r="ED23" i="1" s="1"/>
  <c r="EF23" i="1" s="1"/>
  <c r="EA24" i="1" a="1"/>
  <c r="EA24" i="1" s="1"/>
  <c r="EG23" i="1"/>
  <c r="AH25" i="1"/>
  <c r="CI24" i="1"/>
  <c r="CG25" i="1"/>
  <c r="CT25" i="1" s="1"/>
  <c r="AT23" i="1"/>
  <c r="AU23" i="1" s="1"/>
  <c r="AW23" i="1"/>
  <c r="AR23" i="1"/>
  <c r="CB26" i="1"/>
  <c r="CC26" i="1" s="1"/>
  <c r="DC27" i="1"/>
  <c r="CG44" i="1"/>
  <c r="CT44" i="1" s="1"/>
  <c r="CI44" i="1"/>
  <c r="DY44" i="1" s="1" a="1"/>
  <c r="DY44" i="1" s="1"/>
  <c r="BL28" i="1"/>
  <c r="BM28" i="1" s="1"/>
  <c r="BI29" i="1"/>
  <c r="BF29" i="1"/>
  <c r="BG29" i="1" s="1"/>
  <c r="BD29" i="1"/>
  <c r="BW26" i="1"/>
  <c r="AM31" i="1"/>
  <c r="BY26" i="1"/>
  <c r="BZ26" i="1" s="1"/>
  <c r="BP27" i="1"/>
  <c r="BQ27" i="1" s="1"/>
  <c r="BS27" i="1"/>
  <c r="BY27" i="1" s="1"/>
  <c r="BV27" i="1"/>
  <c r="CB27" i="1" s="1"/>
  <c r="DY24" i="1" l="1" a="1"/>
  <c r="DY24" i="1" s="1"/>
  <c r="AG25" i="1"/>
  <c r="CI25" i="1"/>
  <c r="CC27" i="1"/>
  <c r="AP24" i="1"/>
  <c r="AQ24" i="1"/>
  <c r="BT27" i="1"/>
  <c r="AD28" i="1" s="1" a="1"/>
  <c r="AD28" i="1" s="1"/>
  <c r="BP28" i="1"/>
  <c r="BQ28" i="1" s="1"/>
  <c r="BW27" i="1"/>
  <c r="CG26" i="1"/>
  <c r="CU27" i="1"/>
  <c r="DB28" i="1"/>
  <c r="DD28" i="1" s="1"/>
  <c r="DE28" i="1" s="1"/>
  <c r="BJ29" i="1"/>
  <c r="BC30" i="1"/>
  <c r="BZ27" i="1"/>
  <c r="BL29" i="1"/>
  <c r="BP29" i="1" s="1"/>
  <c r="CG27" i="1"/>
  <c r="CT27" i="1" s="1"/>
  <c r="AL32" i="1"/>
  <c r="AM32" i="1" s="1"/>
  <c r="CT26" i="1" l="1"/>
  <c r="AD27" i="1" a="1"/>
  <c r="AD27" i="1" s="1"/>
  <c r="DZ24" i="1" a="1"/>
  <c r="DZ24" i="1" s="1"/>
  <c r="EA25" i="1" s="1" a="1"/>
  <c r="EA25" i="1" s="1"/>
  <c r="DY25" i="1" a="1"/>
  <c r="DY25" i="1" s="1"/>
  <c r="EB24" i="1"/>
  <c r="EC24" i="1" s="1"/>
  <c r="AH27" i="1"/>
  <c r="EF24" i="1"/>
  <c r="CI26" i="1"/>
  <c r="DY26" i="1" s="1" a="1"/>
  <c r="DY26" i="1" s="1"/>
  <c r="BF30" i="1"/>
  <c r="BG30" i="1" s="1"/>
  <c r="BQ29" i="1"/>
  <c r="BD30" i="1"/>
  <c r="AT24" i="1"/>
  <c r="AU24" i="1" s="1"/>
  <c r="AR24" i="1"/>
  <c r="CI27" i="1"/>
  <c r="DY27" i="1" s="1" a="1"/>
  <c r="DY27" i="1" s="1"/>
  <c r="DC28" i="1"/>
  <c r="BM29" i="1"/>
  <c r="AL33" i="1"/>
  <c r="AH26" i="1"/>
  <c r="AG26" i="1"/>
  <c r="BS28" i="1"/>
  <c r="BV28" i="1" s="1"/>
  <c r="BW28" i="1" s="1"/>
  <c r="DZ25" i="1" l="1" a="1"/>
  <c r="DZ25" i="1" s="1"/>
  <c r="EA26" i="1" s="1" a="1"/>
  <c r="EA26" i="1" s="1"/>
  <c r="EB25" i="1"/>
  <c r="ED24" i="1" a="1"/>
  <c r="ED24" i="1" s="1"/>
  <c r="AG27" i="1"/>
  <c r="BT28" i="1"/>
  <c r="AP44" i="1"/>
  <c r="AR44" i="1" s="1"/>
  <c r="AP25" i="1"/>
  <c r="AU44" i="1"/>
  <c r="AH28" i="1"/>
  <c r="AG28" i="1"/>
  <c r="BI30" i="1"/>
  <c r="BJ30" i="1" s="1"/>
  <c r="CU28" i="1"/>
  <c r="DB29" i="1"/>
  <c r="DD29" i="1" s="1"/>
  <c r="DE29" i="1" s="1"/>
  <c r="BS29" i="1"/>
  <c r="AM33" i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BY28" i="1"/>
  <c r="BZ28" i="1" s="1"/>
  <c r="AW24" i="1"/>
  <c r="BC31" i="1"/>
  <c r="BD31" i="1" s="1"/>
  <c r="DZ26" i="1" l="1" a="1"/>
  <c r="DZ26" i="1" s="1"/>
  <c r="EC25" i="1"/>
  <c r="EB26" i="1" s="1"/>
  <c r="EC26" i="1" s="1"/>
  <c r="ED25" i="1" a="1"/>
  <c r="ED25" i="1" s="1"/>
  <c r="EE25" i="1" s="1"/>
  <c r="EE24" i="1"/>
  <c r="EG24" i="1"/>
  <c r="EF25" i="1"/>
  <c r="BV29" i="1"/>
  <c r="BW29" i="1" s="1"/>
  <c r="BT29" i="1"/>
  <c r="AQ25" i="1"/>
  <c r="DC29" i="1"/>
  <c r="BL30" i="1"/>
  <c r="BP30" i="1" s="1"/>
  <c r="BQ30" i="1" s="1"/>
  <c r="BC32" i="1"/>
  <c r="BF31" i="1"/>
  <c r="BG31" i="1" s="1"/>
  <c r="CB28" i="1"/>
  <c r="CC28" i="1" s="1"/>
  <c r="DZ27" i="1" l="1" a="1"/>
  <c r="DZ27" i="1" s="1"/>
  <c r="EA28" i="1" s="1" a="1"/>
  <c r="EA28" i="1" s="1"/>
  <c r="EA27" i="1" a="1"/>
  <c r="EA27" i="1" s="1"/>
  <c r="EB27" i="1" s="1"/>
  <c r="ED26" i="1" a="1"/>
  <c r="ED26" i="1" s="1"/>
  <c r="EE26" i="1" s="1"/>
  <c r="EG25" i="1"/>
  <c r="EF26" i="1"/>
  <c r="AT25" i="1"/>
  <c r="AU25" i="1" s="1"/>
  <c r="BS30" i="1"/>
  <c r="BM30" i="1"/>
  <c r="BY29" i="1"/>
  <c r="BZ29" i="1" s="1"/>
  <c r="CG28" i="1"/>
  <c r="CT28" i="1" s="1"/>
  <c r="BI31" i="1"/>
  <c r="BJ31" i="1" s="1"/>
  <c r="CU29" i="1"/>
  <c r="DB30" i="1"/>
  <c r="DD30" i="1" s="1"/>
  <c r="DE30" i="1" s="1"/>
  <c r="CB29" i="1"/>
  <c r="CC29" i="1" s="1"/>
  <c r="CI28" i="1"/>
  <c r="DY28" i="1" s="1" a="1"/>
  <c r="DY28" i="1" s="1"/>
  <c r="DZ28" i="1" s="1" a="1"/>
  <c r="DZ28" i="1" s="1"/>
  <c r="EA29" i="1" s="1" a="1"/>
  <c r="EA29" i="1" s="1"/>
  <c r="AR25" i="1"/>
  <c r="BI32" i="1"/>
  <c r="BF32" i="1"/>
  <c r="BG32" i="1" s="1"/>
  <c r="BD32" i="1"/>
  <c r="EG26" i="1" l="1"/>
  <c r="AD29" i="1" a="1"/>
  <c r="AD29" i="1" s="1"/>
  <c r="CG29" i="1"/>
  <c r="CT29" i="1" s="1"/>
  <c r="CI29" i="1"/>
  <c r="DY29" i="1" s="1" a="1"/>
  <c r="DY29" i="1" s="1"/>
  <c r="DZ29" i="1" s="1" a="1"/>
  <c r="DZ29" i="1" s="1"/>
  <c r="EA30" i="1" s="1" a="1"/>
  <c r="EA30" i="1" s="1"/>
  <c r="DC30" i="1"/>
  <c r="BV30" i="1"/>
  <c r="BW30" i="1" s="1"/>
  <c r="BY30" i="1"/>
  <c r="BZ30" i="1" s="1"/>
  <c r="BJ32" i="1"/>
  <c r="AW25" i="1"/>
  <c r="BT30" i="1"/>
  <c r="AP26" i="1"/>
  <c r="AQ26" i="1" s="1"/>
  <c r="ED27" i="1" a="1"/>
  <c r="ED27" i="1" s="1"/>
  <c r="EE27" i="1" s="1"/>
  <c r="BC33" i="1"/>
  <c r="BD33" i="1" s="1"/>
  <c r="EC27" i="1"/>
  <c r="BL31" i="1"/>
  <c r="AD30" i="1" l="1" a="1"/>
  <c r="AD30" i="1" s="1"/>
  <c r="EF27" i="1"/>
  <c r="AR26" i="1"/>
  <c r="BD34" i="1"/>
  <c r="CU30" i="1"/>
  <c r="DB31" i="1"/>
  <c r="DD31" i="1" s="1"/>
  <c r="DE31" i="1" s="1"/>
  <c r="BP31" i="1"/>
  <c r="BQ31" i="1" s="1"/>
  <c r="CB30" i="1"/>
  <c r="CC30" i="1" s="1"/>
  <c r="BM31" i="1"/>
  <c r="AH29" i="1"/>
  <c r="AG29" i="1"/>
  <c r="BS31" i="1"/>
  <c r="BV31" i="1" s="1"/>
  <c r="BW31" i="1" s="1"/>
  <c r="BF33" i="1"/>
  <c r="BG33" i="1" s="1"/>
  <c r="BG34" i="1" s="1"/>
  <c r="BG35" i="1" s="1"/>
  <c r="BG36" i="1" s="1"/>
  <c r="BG37" i="1" s="1"/>
  <c r="BG38" i="1" s="1"/>
  <c r="BG39" i="1" s="1"/>
  <c r="BG40" i="1" s="1"/>
  <c r="BG41" i="1" s="1"/>
  <c r="BG42" i="1" s="1"/>
  <c r="BG43" i="1" s="1"/>
  <c r="BI33" i="1"/>
  <c r="EB28" i="1"/>
  <c r="EG27" i="1"/>
  <c r="AW26" i="1"/>
  <c r="AT26" i="1"/>
  <c r="AU26" i="1" s="1"/>
  <c r="AD31" i="1" l="1" a="1"/>
  <c r="AD31" i="1" s="1"/>
  <c r="EC28" i="1"/>
  <c r="EB29" i="1" s="1"/>
  <c r="AG30" i="1"/>
  <c r="AH30" i="1"/>
  <c r="BD35" i="1"/>
  <c r="DC31" i="1"/>
  <c r="BL32" i="1"/>
  <c r="BM32" i="1" s="1"/>
  <c r="BL33" i="1" s="1"/>
  <c r="BT31" i="1"/>
  <c r="AP27" i="1"/>
  <c r="BY31" i="1"/>
  <c r="BZ31" i="1" s="1"/>
  <c r="CG30" i="1"/>
  <c r="CI30" i="1" s="1"/>
  <c r="DY30" i="1" s="1" a="1"/>
  <c r="DY30" i="1" s="1"/>
  <c r="DZ30" i="1" s="1" a="1"/>
  <c r="DZ30" i="1" s="1"/>
  <c r="EA31" i="1" s="1" a="1"/>
  <c r="EA31" i="1" s="1"/>
  <c r="BJ33" i="1"/>
  <c r="BJ34" i="1" s="1"/>
  <c r="BJ35" i="1" s="1"/>
  <c r="BJ36" i="1" s="1"/>
  <c r="BJ37" i="1" s="1"/>
  <c r="BJ38" i="1" s="1"/>
  <c r="BJ39" i="1" s="1"/>
  <c r="BJ40" i="1" s="1"/>
  <c r="BJ41" i="1" s="1"/>
  <c r="BJ42" i="1" s="1"/>
  <c r="BJ43" i="1" s="1"/>
  <c r="ED28" i="1" a="1"/>
  <c r="ED28" i="1" s="1"/>
  <c r="EE28" i="1" s="1"/>
  <c r="EC29" i="1" l="1"/>
  <c r="EF28" i="1"/>
  <c r="BP33" i="1"/>
  <c r="CB31" i="1"/>
  <c r="CC31" i="1" s="1"/>
  <c r="CU31" i="1"/>
  <c r="DB32" i="1"/>
  <c r="DD32" i="1" s="1"/>
  <c r="DE32" i="1" s="1"/>
  <c r="AQ27" i="1"/>
  <c r="AR27" i="1" s="1"/>
  <c r="BD36" i="1"/>
  <c r="ED29" i="1" a="1"/>
  <c r="ED29" i="1" s="1"/>
  <c r="EE29" i="1" s="1"/>
  <c r="EG28" i="1"/>
  <c r="BM33" i="1"/>
  <c r="CT30" i="1"/>
  <c r="BS32" i="1"/>
  <c r="CB32" i="1" s="1"/>
  <c r="BV32" i="1"/>
  <c r="BW32" i="1" s="1"/>
  <c r="BY32" i="1"/>
  <c r="BZ32" i="1" s="1"/>
  <c r="BP32" i="1"/>
  <c r="BQ32" i="1" s="1"/>
  <c r="EF29" i="1" l="1"/>
  <c r="EG29" i="1"/>
  <c r="AG31" i="1"/>
  <c r="AH31" i="1"/>
  <c r="BT32" i="1"/>
  <c r="CC32" i="1"/>
  <c r="BD37" i="1"/>
  <c r="BM34" i="1"/>
  <c r="DC32" i="1"/>
  <c r="AT27" i="1"/>
  <c r="AU27" i="1" s="1"/>
  <c r="EB30" i="1"/>
  <c r="BS33" i="1"/>
  <c r="BV33" i="1" s="1"/>
  <c r="BQ33" i="1"/>
  <c r="CG31" i="1"/>
  <c r="CI31" i="1" l="1"/>
  <c r="DY31" i="1" s="1" a="1"/>
  <c r="DY31" i="1" s="1"/>
  <c r="DZ31" i="1" s="1" a="1"/>
  <c r="DZ31" i="1" s="1"/>
  <c r="EA32" i="1" s="1" a="1"/>
  <c r="EA32" i="1" s="1"/>
  <c r="AD32" i="1" a="1"/>
  <c r="AD32" i="1" s="1"/>
  <c r="EC30" i="1"/>
  <c r="EB31" i="1" s="1"/>
  <c r="ED30" i="1" a="1"/>
  <c r="ED30" i="1" s="1"/>
  <c r="EE30" i="1" s="1"/>
  <c r="BW33" i="1"/>
  <c r="BW34" i="1" s="1"/>
  <c r="BW35" i="1" s="1"/>
  <c r="BW36" i="1" s="1"/>
  <c r="BW37" i="1" s="1"/>
  <c r="BW38" i="1" s="1"/>
  <c r="BW39" i="1" s="1"/>
  <c r="BW40" i="1" s="1"/>
  <c r="BW41" i="1" s="1"/>
  <c r="BW42" i="1" s="1"/>
  <c r="BW43" i="1" s="1"/>
  <c r="AP28" i="1"/>
  <c r="BT33" i="1"/>
  <c r="CT31" i="1"/>
  <c r="AW27" i="1"/>
  <c r="BQ34" i="1"/>
  <c r="BQ35" i="1" s="1"/>
  <c r="BQ36" i="1" s="1"/>
  <c r="BQ37" i="1" s="1"/>
  <c r="BQ38" i="1" s="1"/>
  <c r="BQ39" i="1" s="1"/>
  <c r="BQ40" i="1" s="1"/>
  <c r="BQ41" i="1" s="1"/>
  <c r="BQ42" i="1" s="1"/>
  <c r="BQ43" i="1" s="1"/>
  <c r="CU32" i="1"/>
  <c r="DB33" i="1"/>
  <c r="DC33" i="1" s="1"/>
  <c r="BD38" i="1"/>
  <c r="BY33" i="1"/>
  <c r="BZ33" i="1" s="1"/>
  <c r="BZ34" i="1" s="1"/>
  <c r="BZ35" i="1" s="1"/>
  <c r="BZ36" i="1" s="1"/>
  <c r="BZ37" i="1" s="1"/>
  <c r="BZ38" i="1" s="1"/>
  <c r="BZ39" i="1" s="1"/>
  <c r="BZ40" i="1" s="1"/>
  <c r="BZ41" i="1" s="1"/>
  <c r="BZ42" i="1" s="1"/>
  <c r="BZ43" i="1" s="1"/>
  <c r="BM35" i="1"/>
  <c r="CG32" i="1"/>
  <c r="CT32" i="1" s="1"/>
  <c r="AD33" i="1" l="1" a="1"/>
  <c r="AD33" i="1" s="1"/>
  <c r="EG30" i="1"/>
  <c r="ED31" i="1" a="1"/>
  <c r="ED31" i="1" s="1"/>
  <c r="EG31" i="1" s="1"/>
  <c r="CI32" i="1"/>
  <c r="EC31" i="1"/>
  <c r="EF31" i="1"/>
  <c r="EF30" i="1"/>
  <c r="CU33" i="1"/>
  <c r="DC34" i="1"/>
  <c r="EE31" i="1"/>
  <c r="BT34" i="1"/>
  <c r="AQ28" i="1"/>
  <c r="DB46" i="1"/>
  <c r="DD33" i="1"/>
  <c r="BD39" i="1"/>
  <c r="CB33" i="1"/>
  <c r="CC33" i="1" s="1"/>
  <c r="CC34" i="1" s="1"/>
  <c r="CC35" i="1" s="1"/>
  <c r="CC36" i="1" s="1"/>
  <c r="CC37" i="1" s="1"/>
  <c r="CC38" i="1" s="1"/>
  <c r="CC39" i="1" s="1"/>
  <c r="CC40" i="1" s="1"/>
  <c r="CC41" i="1" s="1"/>
  <c r="CC42" i="1" s="1"/>
  <c r="CC43" i="1" s="1"/>
  <c r="AH32" i="1"/>
  <c r="AG32" i="1"/>
  <c r="BM36" i="1"/>
  <c r="DY32" i="1" l="1" a="1"/>
  <c r="DY32" i="1" s="1"/>
  <c r="DZ32" i="1" s="1" a="1"/>
  <c r="DZ32" i="1" s="1"/>
  <c r="EA33" i="1" s="1" a="1"/>
  <c r="EA33" i="1" s="1"/>
  <c r="BD40" i="1"/>
  <c r="AT28" i="1"/>
  <c r="AU28" i="1" s="1"/>
  <c r="BT35" i="1"/>
  <c r="CG34" i="1"/>
  <c r="CT34" i="1" s="1"/>
  <c r="DD46" i="1"/>
  <c r="DE33" i="1"/>
  <c r="DE46" i="1" s="1"/>
  <c r="AH33" i="1"/>
  <c r="AG33" i="1"/>
  <c r="CU34" i="1"/>
  <c r="DC35" i="1"/>
  <c r="BM37" i="1"/>
  <c r="CG33" i="1"/>
  <c r="AR28" i="1"/>
  <c r="CT33" i="1" l="1"/>
  <c r="AD34" i="1" a="1"/>
  <c r="AD34" i="1" s="1"/>
  <c r="AD35" i="1" a="1"/>
  <c r="AD35" i="1" s="1"/>
  <c r="EB32" i="1"/>
  <c r="EC32" i="1" s="1"/>
  <c r="AH35" i="1"/>
  <c r="CI34" i="1"/>
  <c r="DY34" i="1" s="1" a="1"/>
  <c r="DY34" i="1" s="1"/>
  <c r="CI33" i="1"/>
  <c r="EF32" i="1"/>
  <c r="AP29" i="1"/>
  <c r="AQ29" i="1" s="1"/>
  <c r="BM38" i="1"/>
  <c r="AW28" i="1"/>
  <c r="CU35" i="1"/>
  <c r="DC36" i="1"/>
  <c r="BD41" i="1"/>
  <c r="BT36" i="1"/>
  <c r="CG35" i="1"/>
  <c r="CT35" i="1" s="1"/>
  <c r="AD36" i="1" l="1" a="1"/>
  <c r="AD36" i="1" s="1"/>
  <c r="ED32" i="1" a="1"/>
  <c r="ED32" i="1" s="1"/>
  <c r="EE32" i="1" s="1"/>
  <c r="DY33" i="1" a="1"/>
  <c r="DY33" i="1" s="1"/>
  <c r="AG35" i="1"/>
  <c r="CI35" i="1"/>
  <c r="DY35" i="1" s="1" a="1"/>
  <c r="DY35" i="1" s="1"/>
  <c r="AT29" i="1"/>
  <c r="AU29" i="1" s="1"/>
  <c r="AR29" i="1"/>
  <c r="BT37" i="1"/>
  <c r="CG36" i="1"/>
  <c r="CT36" i="1" s="1"/>
  <c r="AH34" i="1"/>
  <c r="AG34" i="1"/>
  <c r="BD42" i="1"/>
  <c r="BM39" i="1"/>
  <c r="CU36" i="1"/>
  <c r="DC37" i="1"/>
  <c r="AD37" i="1" l="1" a="1"/>
  <c r="AD37" i="1" s="1"/>
  <c r="EG32" i="1"/>
  <c r="DZ33" i="1" a="1"/>
  <c r="DZ33" i="1" s="1"/>
  <c r="EB33" i="1"/>
  <c r="EC33" i="1" s="1"/>
  <c r="AH37" i="1"/>
  <c r="CI36" i="1"/>
  <c r="DY36" i="1" s="1" a="1"/>
  <c r="DY36" i="1" s="1"/>
  <c r="EF33" i="1"/>
  <c r="BT38" i="1"/>
  <c r="CG37" i="1"/>
  <c r="CT37" i="1" s="1"/>
  <c r="CI37" i="1"/>
  <c r="DY37" i="1" s="1" a="1"/>
  <c r="DY37" i="1" s="1"/>
  <c r="BM40" i="1"/>
  <c r="BD43" i="1"/>
  <c r="CU37" i="1"/>
  <c r="DC38" i="1"/>
  <c r="AP30" i="1"/>
  <c r="AQ30" i="1" s="1"/>
  <c r="AH36" i="1"/>
  <c r="AG36" i="1"/>
  <c r="AW29" i="1"/>
  <c r="AD38" i="1" l="1" a="1"/>
  <c r="AD38" i="1" s="1"/>
  <c r="DZ34" i="1" a="1"/>
  <c r="DZ34" i="1" s="1"/>
  <c r="EA34" i="1" a="1"/>
  <c r="EA34" i="1" s="1"/>
  <c r="EB34" i="1" s="1"/>
  <c r="EC34" i="1" s="1"/>
  <c r="ED33" i="1" a="1"/>
  <c r="ED33" i="1" s="1"/>
  <c r="AG37" i="1"/>
  <c r="AT30" i="1"/>
  <c r="AU30" i="1" s="1"/>
  <c r="AR30" i="1"/>
  <c r="BT39" i="1"/>
  <c r="CG38" i="1"/>
  <c r="CT38" i="1" s="1"/>
  <c r="CU38" i="1"/>
  <c r="DC39" i="1"/>
  <c r="BM41" i="1"/>
  <c r="AD39" i="1" l="1" a="1"/>
  <c r="AD39" i="1" s="1"/>
  <c r="DZ35" i="1" a="1"/>
  <c r="DZ35" i="1" s="1"/>
  <c r="EA35" i="1" a="1"/>
  <c r="EA35" i="1" s="1"/>
  <c r="EB35" i="1" s="1"/>
  <c r="EC35" i="1" s="1"/>
  <c r="ED34" i="1" a="1"/>
  <c r="ED34" i="1" s="1"/>
  <c r="EE33" i="1"/>
  <c r="EG33" i="1"/>
  <c r="CI38" i="1"/>
  <c r="DY38" i="1" s="1" a="1"/>
  <c r="DY38" i="1" s="1"/>
  <c r="EE34" i="1"/>
  <c r="EG34" i="1"/>
  <c r="EF34" i="1"/>
  <c r="EF35" i="1"/>
  <c r="BM42" i="1"/>
  <c r="BT40" i="1"/>
  <c r="CG39" i="1"/>
  <c r="CT39" i="1" s="1"/>
  <c r="CU39" i="1"/>
  <c r="DC40" i="1"/>
  <c r="AH38" i="1"/>
  <c r="AG38" i="1"/>
  <c r="AP31" i="1"/>
  <c r="AW30" i="1"/>
  <c r="AD40" i="1" l="1" a="1"/>
  <c r="AD40" i="1" s="1"/>
  <c r="ED35" i="1" a="1"/>
  <c r="ED35" i="1" s="1"/>
  <c r="EE35" i="1" s="1"/>
  <c r="DZ36" i="1" a="1"/>
  <c r="DZ36" i="1" s="1"/>
  <c r="EA36" i="1" a="1"/>
  <c r="EA36" i="1" s="1"/>
  <c r="EB36" i="1" s="1"/>
  <c r="EC36" i="1" s="1"/>
  <c r="CI39" i="1"/>
  <c r="DY39" i="1" s="1" a="1"/>
  <c r="DY39" i="1" s="1"/>
  <c r="AQ31" i="1"/>
  <c r="BM43" i="1"/>
  <c r="BT41" i="1"/>
  <c r="CG40" i="1"/>
  <c r="CT40" i="1" s="1"/>
  <c r="CU40" i="1"/>
  <c r="DC41" i="1"/>
  <c r="AH39" i="1"/>
  <c r="AG39" i="1"/>
  <c r="AD41" i="1" l="1" a="1"/>
  <c r="AD41" i="1" s="1"/>
  <c r="EG35" i="1"/>
  <c r="DZ37" i="1" a="1"/>
  <c r="DZ37" i="1" s="1"/>
  <c r="EA37" i="1" a="1"/>
  <c r="EA37" i="1" s="1"/>
  <c r="EB37" i="1" s="1"/>
  <c r="ED36" i="1" a="1"/>
  <c r="ED36" i="1" s="1"/>
  <c r="EE36" i="1" s="1"/>
  <c r="AG41" i="1"/>
  <c r="CI40" i="1"/>
  <c r="DY40" i="1" s="1" a="1"/>
  <c r="DY40" i="1" s="1"/>
  <c r="EF36" i="1"/>
  <c r="BT42" i="1"/>
  <c r="CG41" i="1"/>
  <c r="CT41" i="1" s="1"/>
  <c r="CI41" i="1"/>
  <c r="DY41" i="1" s="1" a="1"/>
  <c r="DY41" i="1" s="1"/>
  <c r="DC42" i="1"/>
  <c r="CU41" i="1"/>
  <c r="AT31" i="1"/>
  <c r="AU31" i="1" s="1"/>
  <c r="AG40" i="1"/>
  <c r="AH40" i="1"/>
  <c r="AR31" i="1"/>
  <c r="AD42" i="1" l="1" a="1"/>
  <c r="AD42" i="1" s="1"/>
  <c r="EG36" i="1"/>
  <c r="EA38" i="1" a="1"/>
  <c r="EA38" i="1" s="1"/>
  <c r="DZ38" i="1" a="1"/>
  <c r="DZ38" i="1" s="1"/>
  <c r="AH41" i="1"/>
  <c r="EC37" i="1"/>
  <c r="AW31" i="1"/>
  <c r="BT43" i="1"/>
  <c r="CG42" i="1"/>
  <c r="CT42" i="1" s="1"/>
  <c r="ED37" i="1" a="1"/>
  <c r="ED37" i="1" s="1"/>
  <c r="EE37" i="1" s="1"/>
  <c r="DC43" i="1"/>
  <c r="CU43" i="1" s="1"/>
  <c r="CU42" i="1"/>
  <c r="AP32" i="1"/>
  <c r="AQ32" i="1" s="1"/>
  <c r="AD43" i="1" l="1" a="1"/>
  <c r="AD43" i="1" s="1"/>
  <c r="EA39" i="1" a="1"/>
  <c r="EA39" i="1" s="1"/>
  <c r="DZ39" i="1" a="1"/>
  <c r="DZ39" i="1" s="1"/>
  <c r="CI42" i="1"/>
  <c r="DY42" i="1" s="1" a="1"/>
  <c r="DY42" i="1" s="1"/>
  <c r="EF37" i="1"/>
  <c r="AT32" i="1"/>
  <c r="AU32" i="1" s="1"/>
  <c r="AW32" i="1"/>
  <c r="AR32" i="1"/>
  <c r="CG43" i="1"/>
  <c r="CT43" i="1" s="1"/>
  <c r="CI43" i="1"/>
  <c r="DY43" i="1" s="1" a="1"/>
  <c r="DY43" i="1" s="1"/>
  <c r="EB38" i="1"/>
  <c r="EG37" i="1"/>
  <c r="AH42" i="1"/>
  <c r="AG42" i="1"/>
  <c r="AD44" i="1" l="1" a="1"/>
  <c r="AD44" i="1" s="1"/>
  <c r="EA40" i="1" a="1"/>
  <c r="EA40" i="1" s="1"/>
  <c r="DZ40" i="1" a="1"/>
  <c r="DZ40" i="1" s="1"/>
  <c r="EC38" i="1"/>
  <c r="AG43" i="1"/>
  <c r="AH43" i="1"/>
  <c r="ED38" i="1" a="1"/>
  <c r="ED38" i="1" s="1"/>
  <c r="EE38" i="1" s="1"/>
  <c r="AP33" i="1"/>
  <c r="AQ33" i="1" s="1"/>
  <c r="AR33" i="1" s="1"/>
  <c r="EA41" i="1" l="1" a="1"/>
  <c r="EA41" i="1" s="1"/>
  <c r="DZ41" i="1" a="1"/>
  <c r="DZ41" i="1" s="1"/>
  <c r="EF38" i="1"/>
  <c r="AT33" i="1"/>
  <c r="AU33" i="1" s="1"/>
  <c r="EB39" i="1"/>
  <c r="EG38" i="1"/>
  <c r="AG44" i="1"/>
  <c r="AH44" i="1"/>
  <c r="EA42" i="1" l="1" a="1"/>
  <c r="EA42" i="1" s="1"/>
  <c r="DZ42" i="1" a="1"/>
  <c r="DZ42" i="1" s="1"/>
  <c r="EC39" i="1"/>
  <c r="AW33" i="1"/>
  <c r="AP34" i="1"/>
  <c r="AR34" i="1" s="1"/>
  <c r="AU34" i="1"/>
  <c r="ED39" i="1" a="1"/>
  <c r="ED39" i="1" s="1"/>
  <c r="EE39" i="1" s="1"/>
  <c r="DZ43" i="1" l="1" a="1"/>
  <c r="DZ43" i="1" s="1"/>
  <c r="EA43" i="1" a="1"/>
  <c r="EA43" i="1" s="1"/>
  <c r="EF39" i="1"/>
  <c r="EB40" i="1"/>
  <c r="AP35" i="1"/>
  <c r="AR35" i="1" s="1"/>
  <c r="AU35" i="1"/>
  <c r="EG39" i="1"/>
  <c r="DZ44" i="1" l="1" a="1"/>
  <c r="DZ44" i="1" s="1"/>
  <c r="EA44" i="1" a="1"/>
  <c r="EA44" i="1" s="1"/>
  <c r="EC40" i="1"/>
  <c r="AP36" i="1"/>
  <c r="AR36" i="1" s="1"/>
  <c r="AU36" i="1"/>
  <c r="ED40" i="1" a="1"/>
  <c r="ED40" i="1" s="1"/>
  <c r="EE40" i="1" s="1"/>
  <c r="EF40" i="1" l="1"/>
  <c r="EB41" i="1"/>
  <c r="AP37" i="1"/>
  <c r="AR37" i="1" s="1"/>
  <c r="AU37" i="1"/>
  <c r="EG40" i="1"/>
  <c r="EC41" i="1" l="1"/>
  <c r="AP38" i="1"/>
  <c r="AR38" i="1" s="1"/>
  <c r="AU38" i="1"/>
  <c r="ED41" i="1" a="1"/>
  <c r="ED41" i="1" s="1"/>
  <c r="EE41" i="1" s="1"/>
  <c r="EF41" i="1" l="1"/>
  <c r="AP39" i="1"/>
  <c r="AR39" i="1" s="1"/>
  <c r="AU39" i="1"/>
  <c r="EB42" i="1"/>
  <c r="EG41" i="1"/>
  <c r="EC42" i="1" l="1"/>
  <c r="ED42" i="1" a="1"/>
  <c r="ED42" i="1" s="1"/>
  <c r="EF42" i="1" s="1"/>
  <c r="AU40" i="1"/>
  <c r="AP40" i="1"/>
  <c r="AR40" i="1" s="1"/>
  <c r="AP41" i="1" l="1"/>
  <c r="AR41" i="1" s="1"/>
  <c r="AU41" i="1"/>
  <c r="EB43" i="1"/>
  <c r="EA46" i="1"/>
  <c r="EE42" i="1"/>
  <c r="EG42" i="1"/>
  <c r="EC43" i="1" l="1"/>
  <c r="EB44" i="1" s="1"/>
  <c r="AP42" i="1"/>
  <c r="AR42" i="1" s="1"/>
  <c r="AU42" i="1"/>
  <c r="DY46" i="1"/>
  <c r="ED43" i="1" a="1"/>
  <c r="ED43" i="1" s="1"/>
  <c r="EE43" i="1" s="1"/>
  <c r="EB46" i="1" l="1"/>
  <c r="EF43" i="1"/>
  <c r="ED44" i="1" a="1"/>
  <c r="ED44" i="1" s="1"/>
  <c r="EF44" i="1" s="1"/>
  <c r="EF46" i="1" s="1"/>
  <c r="AU43" i="1"/>
  <c r="AP43" i="1"/>
  <c r="AR43" i="1" s="1"/>
  <c r="EG43" i="1"/>
  <c r="EC44" i="1"/>
  <c r="EE44" i="1" l="1"/>
  <c r="EE46" i="1" s="1"/>
  <c r="ED46" i="1"/>
  <c r="EG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<sst xmlns="http://schemas.openxmlformats.org/spreadsheetml/2006/main" count="568" uniqueCount="411">
  <si>
    <t>สัญญาซื้อขาย</t>
  </si>
  <si>
    <t>Client_No</t>
  </si>
  <si>
    <t>ใบเสร็จ</t>
  </si>
  <si>
    <t>เพิ่ม column</t>
  </si>
  <si>
    <t>payment (include VAT)</t>
  </si>
  <si>
    <t>VAT</t>
  </si>
  <si>
    <t>net payment</t>
  </si>
  <si>
    <t>coll (collateral ยึด/คืนทรัพย์)</t>
  </si>
  <si>
    <t>ถ้า part ไหนหมดให้เอาไปเติม part ที่เหลือ</t>
  </si>
  <si>
    <t>ช่องนี้จะมีเฉพาะกรณีที่ต้องคิด vat</t>
  </si>
  <si>
    <t>pam code</t>
  </si>
  <si>
    <t>ใบส่วนลด</t>
  </si>
  <si>
    <t>ต้องเฉลี่ย 1. เกณฑ์สิทธิ์ที่ต้องเสียภาษามูลค่าเพิ่ม 2. ไม่ต้องเสีย -- ถ้ามีการจ่ายเงินเข้ามา ให้เอายอดจ่ายนั้น * สัดส่วนภาษี ผลที่ได้ คือเงินก้อนนั้นต้องเอาเอามาหัก vat ในออกก่อน ค่อยเอาไปตัดเงินตามสิทธิ์</t>
  </si>
  <si>
    <t>การ์ดเกณฑ์บัญชี</t>
  </si>
  <si>
    <t>link to sheet "EIR"</t>
  </si>
  <si>
    <t>การ์ดเกณฑ์สิทธิ์</t>
  </si>
  <si>
    <t>ถ้าช่องนี้มี ช่องอื่นต้องไม่มี</t>
  </si>
  <si>
    <t>การ์ดภาษี</t>
  </si>
  <si>
    <t>ถ้ามีการเปลี่ยนแปลง ภาระหนี้ตามสิทธิ์ เช่น tdr, discount, addition ต้องเปลี่ยน Tax ratio</t>
  </si>
  <si>
    <t>A</t>
  </si>
  <si>
    <t>วันที่บันทึกรายการใน card</t>
  </si>
  <si>
    <t>วันที่มีผลจริง</t>
  </si>
  <si>
    <t>ราคาประเมิน หรือ ราคาขาย</t>
  </si>
  <si>
    <t>สัดส่วนภาษี หาว่าภาระหนี้ที่ต้องเสียภาษีคิดเป็นกี๋ % ของภาระหนี้ทั้งหมด</t>
  </si>
  <si>
    <t>Expense</t>
  </si>
  <si>
    <t>Interest</t>
  </si>
  <si>
    <t>Cost</t>
  </si>
  <si>
    <t>Gain</t>
  </si>
  <si>
    <t>Revaluation</t>
  </si>
  <si>
    <t>Outlay</t>
  </si>
  <si>
    <t>Loss</t>
  </si>
  <si>
    <t>Penalty</t>
  </si>
  <si>
    <t>Opportunity_cost</t>
  </si>
  <si>
    <t>Charge</t>
  </si>
  <si>
    <t>Principal</t>
  </si>
  <si>
    <t>Replacement</t>
  </si>
  <si>
    <t>All</t>
  </si>
  <si>
    <t>outstanding_balance_excluding_vat</t>
  </si>
  <si>
    <t>vat_remain</t>
  </si>
  <si>
    <t>outstanding_balance_including_vat</t>
  </si>
  <si>
    <t>os_part_vat</t>
  </si>
  <si>
    <t>os_part_novat</t>
  </si>
  <si>
    <t>Day1</t>
  </si>
  <si>
    <t>pam_code</t>
  </si>
  <si>
    <t>Port</t>
  </si>
  <si>
    <t>product</t>
  </si>
  <si>
    <t>status</t>
  </si>
  <si>
    <t>mode</t>
  </si>
  <si>
    <t>vat_principal</t>
  </si>
  <si>
    <t>int_principal</t>
  </si>
  <si>
    <t>DOC_NO</t>
  </si>
  <si>
    <t>Doc_Type</t>
  </si>
  <si>
    <t>code</t>
  </si>
  <si>
    <t>TR_Date</t>
  </si>
  <si>
    <t>EFF_Date</t>
  </si>
  <si>
    <t>Cash_outflow</t>
  </si>
  <si>
    <t>Cash_inflow</t>
  </si>
  <si>
    <t>Suspend</t>
  </si>
  <si>
    <t>Asset_value</t>
  </si>
  <si>
    <t>Discount</t>
  </si>
  <si>
    <t>Addition</t>
  </si>
  <si>
    <t>Int_rate</t>
  </si>
  <si>
    <t>EIR_rate</t>
  </si>
  <si>
    <t>VAT_rate</t>
  </si>
  <si>
    <t>vat_ratio</t>
  </si>
  <si>
    <t>VAT_amt</t>
  </si>
  <si>
    <t>net_Cash_inflow</t>
  </si>
  <si>
    <t>payment_part_vat</t>
  </si>
  <si>
    <t>payment_part_novat</t>
  </si>
  <si>
    <t>exp_dr</t>
  </si>
  <si>
    <t>exp_cr</t>
  </si>
  <si>
    <t>exp_balance</t>
  </si>
  <si>
    <t>EIR</t>
  </si>
  <si>
    <t>days</t>
  </si>
  <si>
    <t>int_dr</t>
  </si>
  <si>
    <t>int_cr</t>
  </si>
  <si>
    <t>int_balance</t>
  </si>
  <si>
    <t>cost_dr</t>
  </si>
  <si>
    <t>cost_cr</t>
  </si>
  <si>
    <t>cost_balance</t>
  </si>
  <si>
    <t>gain_dr</t>
  </si>
  <si>
    <t>gain_cr</t>
  </si>
  <si>
    <t>otl_dr</t>
  </si>
  <si>
    <t>otl_cr</t>
  </si>
  <si>
    <t>otl_balance</t>
  </si>
  <si>
    <t>lss_dr</t>
  </si>
  <si>
    <t>lss_cr</t>
  </si>
  <si>
    <t>lss_balance</t>
  </si>
  <si>
    <t>pnt_dr</t>
  </si>
  <si>
    <t>pnt_cr</t>
  </si>
  <si>
    <t>pnt_balance</t>
  </si>
  <si>
    <t>opc_dr</t>
  </si>
  <si>
    <t>opc_cr</t>
  </si>
  <si>
    <t>opc_balance</t>
  </si>
  <si>
    <t>chg_dr</t>
  </si>
  <si>
    <t>chg_cr</t>
  </si>
  <si>
    <t>chg_balance</t>
  </si>
  <si>
    <t>prn_dr</t>
  </si>
  <si>
    <t>prn_cr</t>
  </si>
  <si>
    <t>prn_balance</t>
  </si>
  <si>
    <t>rpm_dr</t>
  </si>
  <si>
    <t>rpm_cr</t>
  </si>
  <si>
    <t>rpm_balance</t>
  </si>
  <si>
    <t>all_dr</t>
  </si>
  <si>
    <t>all_cr</t>
  </si>
  <si>
    <t>all_balance</t>
  </si>
  <si>
    <t>สิทธิ์ Day1</t>
  </si>
  <si>
    <t>ทุน Day1</t>
  </si>
  <si>
    <t xml:space="preserve">Tax ratio - </t>
  </si>
  <si>
    <t>สิทธิ์คงเหลือ</t>
  </si>
  <si>
    <t>ทุนคงเหลือ</t>
  </si>
  <si>
    <t>Tax ratio ที่นำไปใช้</t>
  </si>
  <si>
    <t>กำไรทางภาษีตามสัดส่วน</t>
  </si>
  <si>
    <t>Dr_Cost</t>
  </si>
  <si>
    <t>Cr_Cost</t>
  </si>
  <si>
    <t>Cost_Balance</t>
  </si>
  <si>
    <t>กำไรส่วนที่เหลือ</t>
  </si>
  <si>
    <t>รวมกำไรทางภาษี</t>
  </si>
  <si>
    <t>import data</t>
  </si>
  <si>
    <t>aq</t>
  </si>
  <si>
    <t>pm</t>
  </si>
  <si>
    <t>choose</t>
  </si>
  <si>
    <t>fill</t>
  </si>
  <si>
    <t>auto</t>
  </si>
  <si>
    <t>trigger</t>
  </si>
  <si>
    <t>hp_car</t>
  </si>
  <si>
    <t>jm</t>
  </si>
  <si>
    <t>jm_all_vat</t>
  </si>
  <si>
    <t>if …or ( ="sue",="esue")</t>
  </si>
  <si>
    <t>if … select from ... table</t>
  </si>
  <si>
    <t>IF(L7="add_expense",R7,0)</t>
  </si>
  <si>
    <t>IF(K7="coll",P7-X7-AE7-AJ7-AM7,0)</t>
  </si>
  <si>
    <t>if มี mode ว่าต้องคิด vat ให้ดูว่าคิด vat จากอะไร อาจจะเขียนสูตร lock ไว้ตาม product and status</t>
  </si>
  <si>
    <t>Note</t>
  </si>
  <si>
    <t>if(L8 = "addition...",R8,0</t>
  </si>
  <si>
    <r>
      <t>Note</t>
    </r>
    <r>
      <rPr>
        <b/>
        <sz val="10"/>
        <color rgb="FF0070C0"/>
        <rFont val="Aptos Narrow"/>
        <family val="2"/>
        <scheme val="minor"/>
      </rPr>
      <t xml:space="preserve"> A</t>
    </r>
  </si>
  <si>
    <t>if … select from daily payment table</t>
  </si>
  <si>
    <t>Revaluation คือรายการที่เกิดจากการตีโอนทรัพย์ชำระหนี้ที่มูลค่ารับชำระสูงว่าต้นทุนที่ซื้อมาและทรัพย์ยังไม่ได้ขายให้บุคคลภายนอก จึงจะตั้งเป็นส่วนเกินมูลค่าทรัพย์-Revaluation (รายได้รอรับรู้)</t>
  </si>
  <si>
    <t>CODE</t>
  </si>
  <si>
    <t>min(payment ,CB column) ให้ noti ถ้าเลือก CB column แสดงว่าลูกหนี้ชำระเกิน</t>
  </si>
  <si>
    <t>ซึ่งจะรับรู้ส่วนเกินมูลค่าทรัพย์เป็นรายได้ เมื่อมีการขายทรัพย์ดังกล่าวให้แก่บุคคลภายนอก</t>
  </si>
  <si>
    <t>AQ</t>
  </si>
  <si>
    <t>Acquisition</t>
  </si>
  <si>
    <t>รับโอนลูกหนี้จากสถาบันการเงินอื่น</t>
  </si>
  <si>
    <t>acquisition</t>
  </si>
  <si>
    <t>meaning</t>
  </si>
  <si>
    <t>TD</t>
  </si>
  <si>
    <t>TDR</t>
  </si>
  <si>
    <t>เซ็นสัญญาปรับโครงสร้างหนี้</t>
  </si>
  <si>
    <t>payment</t>
  </si>
  <si>
    <t>ตัดเงินได้</t>
  </si>
  <si>
    <t>EXP</t>
  </si>
  <si>
    <t>ค่าฤชา + ค่าทนาย ตามศาลสั่ง (กรณี PAM ฟ้องเอง)</t>
  </si>
  <si>
    <t>land_mortgage</t>
  </si>
  <si>
    <t>ที่ดินจดจำนอง</t>
  </si>
  <si>
    <t>EP</t>
  </si>
  <si>
    <r>
      <t xml:space="preserve">ค่าใช้จ่ายเกี่ยวกับลูกหนี้ </t>
    </r>
    <r>
      <rPr>
        <sz val="10"/>
        <color rgb="FFFF0000"/>
        <rFont val="Aptos Narrow"/>
        <family val="2"/>
        <scheme val="minor"/>
      </rPr>
      <t>(และต้องเป็นค่าใช้จ่ายส่วนที่เรียกเก็บได้จากลูกหนี้)</t>
    </r>
  </si>
  <si>
    <t>OTL</t>
  </si>
  <si>
    <t>ค่าฤชา + ค่าทนาย ตามศาลสั่งกรณีมีคำพิพากษาแล้ว</t>
  </si>
  <si>
    <t>land_non_mortgage</t>
  </si>
  <si>
    <t>ที่ดินไม่จดจำนอง</t>
  </si>
  <si>
    <t xml:space="preserve">กรณีที่ทุนทางภาษีมียอดคงเหลือ ณ วันที่จ่ายชำระ NTDR ครบแล้ว ทุนดังกล่าวสามารถนำมาตัดจำหน่าย(write-off) </t>
  </si>
  <si>
    <t>Tax cal</t>
  </si>
  <si>
    <t>PM</t>
  </si>
  <si>
    <t>Payment</t>
  </si>
  <si>
    <t>รับชำระเป็นเงิน</t>
  </si>
  <si>
    <t>esue</t>
  </si>
  <si>
    <t>early sue</t>
  </si>
  <si>
    <t>hold รอการตัดเงิน</t>
  </si>
  <si>
    <t>LSS</t>
  </si>
  <si>
    <t>ค่าเสียหาย หรือ ภาระหนี้อื่นๆ ที่ไม่ใช่ เงินต้นและดอกเบี้ย</t>
  </si>
  <si>
    <t>car_for_cash</t>
  </si>
  <si>
    <t>จำนำเล่มทะเบียนรถยนต์</t>
  </si>
  <si>
    <t>เป็นรายจ่ายทางภาษีได้  ในกรณีที่บริษัทฯปฏิบัติตามเงื่อนไข "กฎกระทรวงฉบับที่ 374  พ.ศ. 2564"</t>
  </si>
  <si>
    <t>CL</t>
  </si>
  <si>
    <t>Coll</t>
  </si>
  <si>
    <t>ตีโอนทรัพย์ชำระหนี้</t>
  </si>
  <si>
    <t>sue</t>
  </si>
  <si>
    <t>PNT</t>
  </si>
  <si>
    <t>ค่าปรับต่างๆ กรณีผิดนัด</t>
  </si>
  <si>
    <t>mc_for_cash</t>
  </si>
  <si>
    <t>จำนำเล่มทะเบียนมอเตอร์ไซค์</t>
  </si>
  <si>
    <t>https://www.rd.go.th/fileadmin/user_upload/kormor/newlaw/mr374.pdf</t>
  </si>
  <si>
    <t>กำไรก่อนภาษี</t>
  </si>
  <si>
    <t>XX</t>
  </si>
  <si>
    <t>กำไรก่อนภาษีดูจากตรงไหน</t>
  </si>
  <si>
    <t>CT</t>
  </si>
  <si>
    <t>Cancel TDR</t>
  </si>
  <si>
    <t>ยกเลิกการปรับโครงสร้างหนี้</t>
  </si>
  <si>
    <t>INT</t>
  </si>
  <si>
    <t>ดอกเบี้ย (calculate)</t>
  </si>
  <si>
    <t>sme_for_cash</t>
  </si>
  <si>
    <t>จำนำเล่มทะเบียนโดยนิติบุคคล หรือจำนำเล่มทะเบียนที่ไม่อยู่ภายใต้ สคบ.</t>
  </si>
  <si>
    <t>หักออก : กำไรทางบัญชี</t>
  </si>
  <si>
    <t>coll</t>
  </si>
  <si>
    <t>collateral</t>
  </si>
  <si>
    <t>repo ยึด/คืนทรัพย์</t>
  </si>
  <si>
    <t>OPC</t>
  </si>
  <si>
    <t>ค่าขาดประโยชน์ก่อนฟ้อง ตามศาลสั่ง</t>
  </si>
  <si>
    <t>machine_for_cash</t>
  </si>
  <si>
    <t>จำนำเล่มทะเบียนเครื่องจักร</t>
  </si>
  <si>
    <t>บวกกลับ : กำไรทางภาษี</t>
  </si>
  <si>
    <t>sale</t>
  </si>
  <si>
    <t>asset sale</t>
  </si>
  <si>
    <t>ขายทรัพย์</t>
  </si>
  <si>
    <t>CHG</t>
  </si>
  <si>
    <t>ค่าขาดประโยชน์รายเดือนสุทธิ (calculate)</t>
  </si>
  <si>
    <t>personal_loan</t>
  </si>
  <si>
    <t>สินเชื่อส่วนบุคคลไม่มีหลักประกัน</t>
  </si>
  <si>
    <t>PRN</t>
  </si>
  <si>
    <t>เงินต้น</t>
  </si>
  <si>
    <t>nano_finance</t>
  </si>
  <si>
    <t>สินเชื่อรายย่อยเพื่อการประกอบอาชีพ (นาโนไฟแนนซ์)</t>
  </si>
  <si>
    <t>add…</t>
  </si>
  <si>
    <t>addition</t>
  </si>
  <si>
    <t>ส่วนเพิ่ม</t>
  </si>
  <si>
    <t>เรื่องการนำข้อมูลเข้าระบบ</t>
  </si>
  <si>
    <t>RPM</t>
  </si>
  <si>
    <t>คืนรถหรือค่าใช้ราคาแทน</t>
  </si>
  <si>
    <t>เช่าซื้อรถยนต์</t>
  </si>
  <si>
    <t>discount…</t>
  </si>
  <si>
    <t>discount</t>
  </si>
  <si>
    <t>ให้ส่วนลด</t>
  </si>
  <si>
    <t>เรื่องการอัพเดทสถานะ VAT-NoVAT</t>
  </si>
  <si>
    <t>OSB</t>
  </si>
  <si>
    <t>Outstanding_balance</t>
  </si>
  <si>
    <t>ภาระหนี้คงเหลือ</t>
  </si>
  <si>
    <t>hp_mc</t>
  </si>
  <si>
    <t>เช่าซื้อรถมอเตอร์ไซค์</t>
  </si>
  <si>
    <t>เรื่องการออกใบเสร็จ หรือไม่ออก</t>
  </si>
  <si>
    <t>hp_sme</t>
  </si>
  <si>
    <t>เช่าซื้อโดยนิติบุคคล หรือเช่าซื้อที่ไม่อยู่ภายใต้ สคบ.</t>
  </si>
  <si>
    <t xml:space="preserve">เรื่องอัพเดทภาระหนี้ กรณี NPL--&gt;Judgement --ใช้วิธี Discount or </t>
  </si>
  <si>
    <t>hp_machine</t>
  </si>
  <si>
    <t>เช่าซื้อเครื่องจักร</t>
  </si>
  <si>
    <t>PJ</t>
  </si>
  <si>
    <t>PAM Judgement</t>
  </si>
  <si>
    <t>พิพากษาฝ่ายเดียว ต้องเปลี่ยน สิทธิตามคำพิพากษา</t>
  </si>
  <si>
    <t>leasing_car</t>
  </si>
  <si>
    <t>ลีสซิ่งรถยนต์</t>
  </si>
  <si>
    <t>PC</t>
  </si>
  <si>
    <t>PAM Compromise</t>
  </si>
  <si>
    <t>พิพากษาตามยอม ต้องเปลี่ยน สิทธิตามคำพิพากษา คำนวณ EIR ตามคำพิพากษาได้</t>
  </si>
  <si>
    <t>เพิ่ม คอลัมน์ เลขที่สัญญา รหัสลูกหนี้ สถานะลูกหนี้</t>
  </si>
  <si>
    <t>leasing_sme</t>
  </si>
  <si>
    <t>ลีสซิ่งอื่นๆ ที่ไม่ใช่รถยนต์ เช่น เครื่องจักร</t>
  </si>
  <si>
    <t>CO</t>
  </si>
  <si>
    <t>Compromise Overdue</t>
  </si>
  <si>
    <t>ผิดนัด Compromise</t>
  </si>
  <si>
    <t>A000000001</t>
  </si>
  <si>
    <t>credit_card</t>
  </si>
  <si>
    <t>สินเชื่อบัตรเครดิต</t>
  </si>
  <si>
    <t>new mode</t>
  </si>
  <si>
    <t>DA</t>
  </si>
  <si>
    <t>Discount  Acquisition (Cost)</t>
  </si>
  <si>
    <t>ส่วนลดราคาซื้อหนี้</t>
  </si>
  <si>
    <t>กรณีคืนเคสหรือ ราคาผิด</t>
  </si>
  <si>
    <t>Start interest</t>
  </si>
  <si>
    <t>SI</t>
  </si>
  <si>
    <t>jm_vat</t>
  </si>
  <si>
    <t>มีข้อมูลยอดหนี้ตามคำพิพากษาที่แยกรายการคิด vat ได้</t>
  </si>
  <si>
    <t>คิด vat จาก ราคาแทน + ค่าขาดประโยชน์</t>
  </si>
  <si>
    <t>DP</t>
  </si>
  <si>
    <t>Discount Principal</t>
  </si>
  <si>
    <t>ส่วนลดเงินต้น</t>
  </si>
  <si>
    <t>Start VAT</t>
  </si>
  <si>
    <t>SV</t>
  </si>
  <si>
    <t>แยกคิด vat ไม่ได้</t>
  </si>
  <si>
    <t>คิด vat จาก หนี้รวมคงเหลือ</t>
  </si>
  <si>
    <t>DI</t>
  </si>
  <si>
    <t>Discount Interest</t>
  </si>
  <si>
    <t>ส่วนลดดอกเบี้ย</t>
  </si>
  <si>
    <t>Start VAT and Start interest</t>
  </si>
  <si>
    <t>SW</t>
  </si>
  <si>
    <t>ไม่ต้องคิด vat</t>
  </si>
  <si>
    <t>DE</t>
  </si>
  <si>
    <t>Discount Expense</t>
  </si>
  <si>
    <t>ส่วนลด Expense</t>
  </si>
  <si>
    <t>Stop interest</t>
  </si>
  <si>
    <t>OI</t>
  </si>
  <si>
    <t>npl_vat</t>
  </si>
  <si>
    <t>มีข้อมูลยอดหนี้ตามสัญญาที่แยกรายการคิด vat ได้</t>
  </si>
  <si>
    <t>คิด vat จาก เงินต้น + ดอกเบี้ย คงเหลือ</t>
  </si>
  <si>
    <t>DO</t>
  </si>
  <si>
    <t>Discount Outlay</t>
  </si>
  <si>
    <t>ส่วนลด Outlay</t>
  </si>
  <si>
    <t>Stop VAT</t>
  </si>
  <si>
    <t>OV</t>
  </si>
  <si>
    <t>npl_all_vat</t>
  </si>
  <si>
    <t>DC</t>
  </si>
  <si>
    <t>Discount Charge</t>
  </si>
  <si>
    <t>ส่วนลด Charge</t>
  </si>
  <si>
    <t>Stop VAT and Stop interest</t>
  </si>
  <si>
    <t>OW</t>
  </si>
  <si>
    <t>npl</t>
  </si>
  <si>
    <t>DL</t>
  </si>
  <si>
    <t>Discount Loss</t>
  </si>
  <si>
    <t>ส่วนลด Loss</t>
  </si>
  <si>
    <t>new status</t>
  </si>
  <si>
    <t>หนี้เสีย</t>
  </si>
  <si>
    <t>npl_repo</t>
  </si>
  <si>
    <t>หนี้เสียยึดทรัพย์ได้แล้ว</t>
  </si>
  <si>
    <t>npl_loss</t>
  </si>
  <si>
    <t>หนี้เสียยึดทรัพย์ได้แล้ว ขายแล้ว ตามส่วนต่างขายขาดทุน</t>
  </si>
  <si>
    <t>npl_haircut</t>
  </si>
  <si>
    <t>หนี้เสีย ยื่นขอส่วนลดปิดบัญชี</t>
  </si>
  <si>
    <t>tdr</t>
  </si>
  <si>
    <t>ปรับปรุงโครงสร้างหนี้</t>
  </si>
  <si>
    <t>early_sue</t>
  </si>
  <si>
    <t>ยื่นฟ้อง</t>
  </si>
  <si>
    <t>ฟ้องได้เลขคดีดำ</t>
  </si>
  <si>
    <t>พิพากษาให้คืนทรัพย์</t>
  </si>
  <si>
    <t>jm_loss_before</t>
  </si>
  <si>
    <t>พิพากษาขายขาดทุน</t>
  </si>
  <si>
    <t>jm_repo</t>
  </si>
  <si>
    <t>พิพากษา ยึดทรัพย์ได้แล้ว</t>
  </si>
  <si>
    <t>jm_loss_after</t>
  </si>
  <si>
    <t>พิพากษา ขายทรัพย์แล้ว ปลดราคาแทน ตามส่วนต่าง</t>
  </si>
  <si>
    <t>jm_haircut</t>
  </si>
  <si>
    <t>พิพากษา ยื่นขอส่วนลดปิดบัญชี</t>
  </si>
  <si>
    <t>jm_execution</t>
  </si>
  <si>
    <t>พิพากษา อยู่ในกระบวนการตั้งบังคับคดี</t>
  </si>
  <si>
    <t>cm</t>
  </si>
  <si>
    <t xml:space="preserve">พิพากษาตามยอม </t>
  </si>
  <si>
    <t>รายการทางบัญชี</t>
  </si>
  <si>
    <t>cm_loss_before</t>
  </si>
  <si>
    <t>พิพากษาตามยอมขายขาดทุน</t>
  </si>
  <si>
    <t>cm_repo</t>
  </si>
  <si>
    <t>พิพากษาตามยอม ผิดนัด ยึดทรัพย์แล้ว</t>
  </si>
  <si>
    <t>Dr.NPL</t>
  </si>
  <si>
    <t>cm_loss_after</t>
  </si>
  <si>
    <t>พิพากษาตามยอม ขายทรัพย์แล้ว ปลดราคาแทน ตามส่วนต่าง</t>
  </si>
  <si>
    <t xml:space="preserve">     Cr.Cash</t>
  </si>
  <si>
    <t>cm_haircut</t>
  </si>
  <si>
    <t>พิพากษาตามยอม ยื่นขอส่วนลดปิดปัญชี</t>
  </si>
  <si>
    <t>cm_execution</t>
  </si>
  <si>
    <t>พิพากษาตามยอม อยู่ในกระบวนการตั้งบังคับคดี</t>
  </si>
  <si>
    <t>Dr.PV loss</t>
  </si>
  <si>
    <t>npl_full_close</t>
  </si>
  <si>
    <t>ปิดเต็มไม่มีส่วนลด</t>
  </si>
  <si>
    <t xml:space="preserve">     Cr.Allowance for PL loss</t>
  </si>
  <si>
    <t>jm_full_close</t>
  </si>
  <si>
    <t>cm_full_close</t>
  </si>
  <si>
    <t>Dr.Expense-NPL</t>
  </si>
  <si>
    <t>npl_close</t>
  </si>
  <si>
    <t>ปิด</t>
  </si>
  <si>
    <t>jm_close</t>
  </si>
  <si>
    <t>cm_close</t>
  </si>
  <si>
    <t>Dr.Cash</t>
  </si>
  <si>
    <t xml:space="preserve">     Cr.Expense-NPL</t>
  </si>
  <si>
    <t xml:space="preserve">     Cr.Interest-NPL</t>
  </si>
  <si>
    <t xml:space="preserve">     Cr.NPL</t>
  </si>
  <si>
    <t xml:space="preserve">     Cr.Income-NPL</t>
  </si>
  <si>
    <t>PayCount</t>
  </si>
  <si>
    <t>RowCount</t>
  </si>
  <si>
    <t>โค้ดตั้งพักเงินยังไม่ตัด</t>
  </si>
  <si>
    <t>ราคาประเมิน</t>
  </si>
  <si>
    <t>TotalPay</t>
  </si>
  <si>
    <t>verdict_table</t>
  </si>
  <si>
    <t>dis_add_table</t>
  </si>
  <si>
    <t>verdict</t>
  </si>
  <si>
    <t>data_table</t>
  </si>
  <si>
    <t>sale_table</t>
  </si>
  <si>
    <t>remain_replacement</t>
  </si>
  <si>
    <t>os_remove_remain_replacement_exc_vat</t>
  </si>
  <si>
    <t>os_remove_remain_replacement_inc_vat</t>
  </si>
  <si>
    <t>Total_vat</t>
  </si>
  <si>
    <t>loss_status</t>
  </si>
  <si>
    <t>ชื่อลูกหนี้</t>
  </si>
  <si>
    <t>การ์ด Audit</t>
  </si>
  <si>
    <t>type</t>
  </si>
  <si>
    <t>name</t>
  </si>
  <si>
    <t>old_contract_number</t>
  </si>
  <si>
    <t>portfolio</t>
  </si>
  <si>
    <t>cash_outflow</t>
  </si>
  <si>
    <t>cash_inflow</t>
  </si>
  <si>
    <t>os</t>
  </si>
  <si>
    <t>bid</t>
  </si>
  <si>
    <t>ratio</t>
  </si>
  <si>
    <t>int_rate</t>
  </si>
  <si>
    <t>cr_cost</t>
  </si>
  <si>
    <t>dr_int</t>
  </si>
  <si>
    <t>cr_int</t>
  </si>
  <si>
    <t>gain</t>
  </si>
  <si>
    <t>vat</t>
  </si>
  <si>
    <t>pt_40</t>
  </si>
  <si>
    <t>check</t>
  </si>
  <si>
    <t>loan</t>
  </si>
  <si>
    <t>land</t>
  </si>
  <si>
    <t>land_not_registered</t>
  </si>
  <si>
    <t>floor_plan</t>
  </si>
  <si>
    <t>loan_sme</t>
  </si>
  <si>
    <t>leasing</t>
  </si>
  <si>
    <t>hp</t>
  </si>
  <si>
    <t>vat ที่ต้องนำส่งในแต่ละครั้ง</t>
  </si>
  <si>
    <t>รายได้หลังหัก VAT</t>
  </si>
  <si>
    <t>net_cash_inflow</t>
  </si>
  <si>
    <t>cr_int+gain</t>
  </si>
  <si>
    <t>มีเฉพาะ loan</t>
  </si>
  <si>
    <t>มีเฉพาะ non-loan</t>
  </si>
  <si>
    <t>all_sold_expense</t>
  </si>
  <si>
    <t>sold_method</t>
  </si>
  <si>
    <t>No</t>
  </si>
  <si>
    <t>responsible</t>
  </si>
  <si>
    <t>OA</t>
  </si>
  <si>
    <t>channel</t>
  </si>
  <si>
    <t>Pay_Date</t>
  </si>
  <si>
    <t>Collection date</t>
  </si>
  <si>
    <t>Eff_Date</t>
  </si>
  <si>
    <t>-</t>
  </si>
  <si>
    <t>C:\Pam_card\_Data_CutOff_v19.xlsx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</si>
</sst>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000000_);_(* \(#,##0.000000000\);_(* &quot;-&quot;??_);_(@_)"/>
    <numFmt numFmtId="167" formatCode="0.0000%"/>
    <numFmt numFmtId="168" formatCode="[$-F800]dddd\,\ mmmm\ dd\,\ yyyy"/>
    <numFmt numFmtId="169" formatCode="_(* #,##0.0000_);_(* \(#,##0.0000\);_(* &quot;-&quot;??_);_(@_)"/>
    <numFmt numFmtId="170" formatCode="[$-409]d/mmm/yyyy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indexed="64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8"/>
      <color rgb="FFFF0000"/>
      <name val="Aptos Narrow"/>
      <family val="2"/>
      <scheme val="minor"/>
    </font>
    <font>
      <b/>
      <sz val="10"/>
      <color rgb="FF0070C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indexed="64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b/>
      <u/>
      <sz val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DA7D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0">
    <xf numFmtId="0" fontId="0" fillId="0" borderId="0" xfId="0"/>
    <xf numFmtId="0" fontId="6" fillId="0" borderId="0" xfId="0" applyFont="1"/>
    <xf numFmtId="0" fontId="0" fillId="2" borderId="0" xfId="0" applyFill="1"/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4" borderId="0" xfId="0" applyFill="1"/>
    <xf numFmtId="0" fontId="3" fillId="0" borderId="0" xfId="0" applyFont="1"/>
    <xf numFmtId="0" fontId="3" fillId="2" borderId="0" xfId="0" applyFont="1" applyFill="1"/>
    <xf numFmtId="0" fontId="0" fillId="5" borderId="0" xfId="0" applyFill="1"/>
    <xf numFmtId="43" fontId="0" fillId="0" borderId="0" xfId="0" applyNumberFormat="1"/>
    <xf numFmtId="43" fontId="0" fillId="5" borderId="0" xfId="0" applyNumberFormat="1" applyFill="1"/>
    <xf numFmtId="0" fontId="6" fillId="6" borderId="2" xfId="0" applyFont="1" applyFill="1" applyBorder="1"/>
    <xf numFmtId="0" fontId="9" fillId="7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0" fillId="2" borderId="0" xfId="0" applyFont="1" applyFill="1"/>
    <xf numFmtId="0" fontId="6" fillId="2" borderId="0" xfId="0" applyFont="1" applyFill="1"/>
    <xf numFmtId="0" fontId="6" fillId="5" borderId="0" xfId="0" applyFont="1" applyFill="1"/>
    <xf numFmtId="0" fontId="13" fillId="0" borderId="0" xfId="0" applyFont="1" applyAlignment="1">
      <alignment horizontal="center"/>
    </xf>
    <xf numFmtId="0" fontId="6" fillId="8" borderId="0" xfId="0" applyFont="1" applyFill="1"/>
    <xf numFmtId="0" fontId="6" fillId="9" borderId="0" xfId="0" applyFont="1" applyFill="1"/>
    <xf numFmtId="0" fontId="7" fillId="10" borderId="1" xfId="0" applyFont="1" applyFill="1" applyBorder="1"/>
    <xf numFmtId="0" fontId="7" fillId="2" borderId="1" xfId="0" applyFont="1" applyFill="1" applyBorder="1"/>
    <xf numFmtId="0" fontId="7" fillId="11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7" fillId="13" borderId="0" xfId="0" applyFont="1" applyFill="1"/>
    <xf numFmtId="0" fontId="7" fillId="14" borderId="3" xfId="0" applyFont="1" applyFill="1" applyBorder="1"/>
    <xf numFmtId="0" fontId="7" fillId="14" borderId="4" xfId="0" applyFont="1" applyFill="1" applyBorder="1"/>
    <xf numFmtId="0" fontId="7" fillId="14" borderId="5" xfId="0" applyFont="1" applyFill="1" applyBorder="1"/>
    <xf numFmtId="0" fontId="7" fillId="2" borderId="6" xfId="0" applyFont="1" applyFill="1" applyBorder="1"/>
    <xf numFmtId="0" fontId="7" fillId="15" borderId="4" xfId="0" applyFont="1" applyFill="1" applyBorder="1"/>
    <xf numFmtId="0" fontId="7" fillId="10" borderId="6" xfId="0" applyFont="1" applyFill="1" applyBorder="1"/>
    <xf numFmtId="0" fontId="7" fillId="16" borderId="4" xfId="0" applyFont="1" applyFill="1" applyBorder="1"/>
    <xf numFmtId="0" fontId="7" fillId="16" borderId="5" xfId="0" applyFont="1" applyFill="1" applyBorder="1"/>
    <xf numFmtId="0" fontId="6" fillId="11" borderId="7" xfId="0" applyFont="1" applyFill="1" applyBorder="1"/>
    <xf numFmtId="0" fontId="11" fillId="11" borderId="8" xfId="0" applyFont="1" applyFill="1" applyBorder="1"/>
    <xf numFmtId="0" fontId="6" fillId="11" borderId="9" xfId="0" applyFont="1" applyFill="1" applyBorder="1"/>
    <xf numFmtId="0" fontId="6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43" fontId="14" fillId="17" borderId="1" xfId="1" applyFont="1" applyFill="1" applyBorder="1" applyAlignment="1">
      <alignment horizontal="center" vertical="center" wrapText="1"/>
    </xf>
    <xf numFmtId="43" fontId="14" fillId="2" borderId="1" xfId="1" applyFont="1" applyFill="1" applyBorder="1" applyAlignment="1">
      <alignment horizontal="center" vertical="center" wrapText="1"/>
    </xf>
    <xf numFmtId="43" fontId="14" fillId="5" borderId="1" xfId="1" applyFont="1" applyFill="1" applyBorder="1" applyAlignment="1">
      <alignment horizontal="center" vertical="center" wrapText="1"/>
    </xf>
    <xf numFmtId="43" fontId="14" fillId="18" borderId="1" xfId="1" applyFont="1" applyFill="1" applyBorder="1" applyAlignment="1">
      <alignment horizontal="center" vertical="center"/>
    </xf>
    <xf numFmtId="43" fontId="7" fillId="3" borderId="1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  <xf numFmtId="43" fontId="7" fillId="2" borderId="1" xfId="1" applyFont="1" applyFill="1" applyBorder="1" applyAlignment="1">
      <alignment horizontal="center" vertical="center" wrapText="1"/>
    </xf>
    <xf numFmtId="43" fontId="7" fillId="2" borderId="1" xfId="1" applyFont="1" applyFill="1" applyBorder="1" applyAlignment="1">
      <alignment horizontal="center" vertical="center"/>
    </xf>
    <xf numFmtId="43" fontId="7" fillId="11" borderId="1" xfId="1" applyFont="1" applyFill="1" applyBorder="1" applyAlignment="1">
      <alignment horizontal="center" vertical="center" wrapText="1"/>
    </xf>
    <xf numFmtId="43" fontId="7" fillId="12" borderId="1" xfId="1" applyFont="1" applyFill="1" applyBorder="1" applyAlignment="1">
      <alignment horizontal="center" vertical="center" wrapText="1"/>
    </xf>
    <xf numFmtId="43" fontId="7" fillId="12" borderId="1" xfId="1" applyFont="1" applyFill="1" applyBorder="1" applyAlignment="1">
      <alignment horizontal="center" vertical="center"/>
    </xf>
    <xf numFmtId="43" fontId="7" fillId="13" borderId="1" xfId="1" applyFont="1" applyFill="1" applyBorder="1" applyAlignment="1">
      <alignment horizontal="center" vertical="center" wrapText="1"/>
    </xf>
    <xf numFmtId="43" fontId="7" fillId="10" borderId="1" xfId="1" applyFont="1" applyFill="1" applyBorder="1" applyAlignment="1">
      <alignment horizontal="center" vertical="center"/>
    </xf>
    <xf numFmtId="43" fontId="7" fillId="13" borderId="1" xfId="1" applyFont="1" applyFill="1" applyBorder="1" applyAlignment="1">
      <alignment horizontal="center" vertical="center"/>
    </xf>
    <xf numFmtId="43" fontId="7" fillId="14" borderId="10" xfId="1" applyFont="1" applyFill="1" applyBorder="1" applyAlignment="1">
      <alignment horizontal="center" vertical="center"/>
    </xf>
    <xf numFmtId="43" fontId="7" fillId="14" borderId="11" xfId="1" applyFont="1" applyFill="1" applyBorder="1" applyAlignment="1">
      <alignment horizontal="center" vertical="center"/>
    </xf>
    <xf numFmtId="43" fontId="7" fillId="14" borderId="12" xfId="1" applyFont="1" applyFill="1" applyBorder="1" applyAlignment="1">
      <alignment horizontal="center" vertical="center"/>
    </xf>
    <xf numFmtId="43" fontId="7" fillId="2" borderId="13" xfId="1" applyFont="1" applyFill="1" applyBorder="1" applyAlignment="1">
      <alignment horizontal="center" vertical="center"/>
    </xf>
    <xf numFmtId="43" fontId="7" fillId="15" borderId="11" xfId="1" applyFont="1" applyFill="1" applyBorder="1" applyAlignment="1">
      <alignment horizontal="center" vertical="center"/>
    </xf>
    <xf numFmtId="43" fontId="7" fillId="10" borderId="13" xfId="1" applyFont="1" applyFill="1" applyBorder="1" applyAlignment="1">
      <alignment horizontal="center" vertical="center"/>
    </xf>
    <xf numFmtId="43" fontId="7" fillId="2" borderId="11" xfId="1" applyFont="1" applyFill="1" applyBorder="1" applyAlignment="1">
      <alignment horizontal="center" vertical="center"/>
    </xf>
    <xf numFmtId="43" fontId="7" fillId="2" borderId="12" xfId="1" applyFont="1" applyFill="1" applyBorder="1" applyAlignment="1">
      <alignment horizontal="center" vertical="center"/>
    </xf>
    <xf numFmtId="43" fontId="7" fillId="11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19" borderId="14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15" fillId="19" borderId="14" xfId="0" applyFont="1" applyFill="1" applyBorder="1" applyAlignment="1">
      <alignment horizontal="left" vertical="center" wrapText="1"/>
    </xf>
    <xf numFmtId="164" fontId="15" fillId="13" borderId="15" xfId="0" applyNumberFormat="1" applyFont="1" applyFill="1" applyBorder="1"/>
    <xf numFmtId="0" fontId="14" fillId="19" borderId="14" xfId="0" applyFont="1" applyFill="1" applyBorder="1" applyAlignment="1">
      <alignment horizontal="center" vertical="center" wrapText="1"/>
    </xf>
    <xf numFmtId="43" fontId="14" fillId="19" borderId="14" xfId="1" applyFont="1" applyFill="1" applyBorder="1" applyAlignment="1">
      <alignment horizontal="center" vertical="center" wrapText="1"/>
    </xf>
    <xf numFmtId="43" fontId="15" fillId="19" borderId="15" xfId="1" applyFont="1" applyFill="1" applyBorder="1"/>
    <xf numFmtId="43" fontId="15" fillId="19" borderId="16" xfId="1" applyFont="1" applyFill="1" applyBorder="1"/>
    <xf numFmtId="43" fontId="10" fillId="19" borderId="16" xfId="1" applyFont="1" applyFill="1" applyBorder="1"/>
    <xf numFmtId="43" fontId="7" fillId="19" borderId="14" xfId="1" applyFont="1" applyFill="1" applyBorder="1" applyAlignment="1">
      <alignment horizontal="center" vertical="center" wrapText="1"/>
    </xf>
    <xf numFmtId="0" fontId="6" fillId="19" borderId="0" xfId="0" applyFont="1" applyFill="1" applyAlignment="1">
      <alignment horizontal="center" vertical="center"/>
    </xf>
    <xf numFmtId="43" fontId="7" fillId="20" borderId="14" xfId="1" applyFont="1" applyFill="1" applyBorder="1" applyAlignment="1">
      <alignment horizontal="center" vertical="center"/>
    </xf>
    <xf numFmtId="43" fontId="7" fillId="20" borderId="14" xfId="1" applyFont="1" applyFill="1" applyBorder="1" applyAlignment="1">
      <alignment horizontal="center" vertical="center" wrapText="1"/>
    </xf>
    <xf numFmtId="43" fontId="7" fillId="20" borderId="0" xfId="1" applyFont="1" applyFill="1" applyBorder="1" applyAlignment="1">
      <alignment horizontal="center" vertical="center"/>
    </xf>
    <xf numFmtId="43" fontId="7" fillId="19" borderId="14" xfId="1" applyFont="1" applyFill="1" applyBorder="1" applyAlignment="1">
      <alignment horizontal="center" vertical="center"/>
    </xf>
    <xf numFmtId="0" fontId="6" fillId="13" borderId="0" xfId="0" applyFont="1" applyFill="1"/>
    <xf numFmtId="0" fontId="15" fillId="0" borderId="15" xfId="0" quotePrefix="1" applyFont="1" applyBorder="1"/>
    <xf numFmtId="0" fontId="15" fillId="0" borderId="15" xfId="0" applyFont="1" applyBorder="1"/>
    <xf numFmtId="0" fontId="15" fillId="5" borderId="15" xfId="0" applyFont="1" applyFill="1" applyBorder="1"/>
    <xf numFmtId="49" fontId="15" fillId="2" borderId="15" xfId="0" applyNumberFormat="1" applyFont="1" applyFill="1" applyBorder="1"/>
    <xf numFmtId="0" fontId="15" fillId="0" borderId="16" xfId="0" applyFont="1" applyBorder="1" applyAlignment="1">
      <alignment wrapText="1"/>
    </xf>
    <xf numFmtId="164" fontId="15" fillId="20" borderId="15" xfId="0" applyNumberFormat="1" applyFont="1" applyFill="1" applyBorder="1"/>
    <xf numFmtId="43" fontId="15" fillId="20" borderId="15" xfId="1" applyFont="1" applyFill="1" applyBorder="1"/>
    <xf numFmtId="43" fontId="0" fillId="0" borderId="0" xfId="1" applyFont="1"/>
    <xf numFmtId="43" fontId="15" fillId="11" borderId="15" xfId="1" applyFont="1" applyFill="1" applyBorder="1"/>
    <xf numFmtId="10" fontId="15" fillId="13" borderId="15" xfId="2" applyNumberFormat="1" applyFont="1" applyFill="1" applyBorder="1"/>
    <xf numFmtId="10" fontId="15" fillId="2" borderId="15" xfId="2" applyNumberFormat="1" applyFont="1" applyFill="1" applyBorder="1"/>
    <xf numFmtId="43" fontId="15" fillId="5" borderId="15" xfId="1" applyFont="1" applyFill="1" applyBorder="1"/>
    <xf numFmtId="43" fontId="15" fillId="18" borderId="0" xfId="1" applyFont="1" applyFill="1" applyBorder="1"/>
    <xf numFmtId="43" fontId="15" fillId="0" borderId="16" xfId="1" applyFont="1" applyFill="1" applyBorder="1"/>
    <xf numFmtId="10" fontId="15" fillId="5" borderId="15" xfId="2" applyNumberFormat="1" applyFont="1" applyFill="1" applyBorder="1"/>
    <xf numFmtId="41" fontId="10" fillId="0" borderId="16" xfId="1" applyNumberFormat="1" applyFont="1" applyFill="1" applyBorder="1"/>
    <xf numFmtId="43" fontId="15" fillId="2" borderId="16" xfId="1" applyFont="1" applyFill="1" applyBorder="1"/>
    <xf numFmtId="43" fontId="15" fillId="0" borderId="15" xfId="1" applyFont="1" applyFill="1" applyBorder="1"/>
    <xf numFmtId="43" fontId="15" fillId="21" borderId="15" xfId="1" applyFont="1" applyFill="1" applyBorder="1"/>
    <xf numFmtId="165" fontId="10" fillId="0" borderId="16" xfId="1" applyNumberFormat="1" applyFont="1" applyFill="1" applyBorder="1"/>
    <xf numFmtId="43" fontId="15" fillId="20" borderId="18" xfId="1" applyFont="1" applyFill="1" applyBorder="1"/>
    <xf numFmtId="43" fontId="15" fillId="0" borderId="14" xfId="1" applyFont="1" applyFill="1" applyBorder="1"/>
    <xf numFmtId="43" fontId="15" fillId="0" borderId="19" xfId="1" applyFont="1" applyFill="1" applyBorder="1"/>
    <xf numFmtId="43" fontId="15" fillId="2" borderId="15" xfId="1" applyFont="1" applyFill="1" applyBorder="1"/>
    <xf numFmtId="43" fontId="15" fillId="20" borderId="0" xfId="1" applyFont="1" applyFill="1" applyBorder="1"/>
    <xf numFmtId="43" fontId="15" fillId="2" borderId="0" xfId="1" applyFont="1" applyFill="1" applyBorder="1"/>
    <xf numFmtId="43" fontId="15" fillId="0" borderId="0" xfId="1" applyFont="1" applyFill="1" applyBorder="1"/>
    <xf numFmtId="43" fontId="15" fillId="22" borderId="15" xfId="1" applyFont="1" applyFill="1" applyBorder="1"/>
    <xf numFmtId="10" fontId="15" fillId="0" borderId="15" xfId="2" applyNumberFormat="1" applyFont="1" applyFill="1" applyBorder="1"/>
    <xf numFmtId="43" fontId="15" fillId="13" borderId="15" xfId="1" applyFont="1" applyFill="1" applyBorder="1"/>
    <xf numFmtId="49" fontId="15" fillId="2" borderId="16" xfId="0" applyNumberFormat="1" applyFont="1" applyFill="1" applyBorder="1"/>
    <xf numFmtId="43" fontId="15" fillId="20" borderId="16" xfId="1" applyFont="1" applyFill="1" applyBorder="1"/>
    <xf numFmtId="43" fontId="3" fillId="0" borderId="0" xfId="1" applyFont="1"/>
    <xf numFmtId="10" fontId="15" fillId="7" borderId="15" xfId="2" applyNumberFormat="1" applyFont="1" applyFill="1" applyBorder="1"/>
    <xf numFmtId="10" fontId="15" fillId="20" borderId="15" xfId="2" applyNumberFormat="1" applyFont="1" applyFill="1" applyBorder="1"/>
    <xf numFmtId="43" fontId="15" fillId="21" borderId="16" xfId="1" applyFont="1" applyFill="1" applyBorder="1"/>
    <xf numFmtId="43" fontId="15" fillId="0" borderId="18" xfId="1" applyFont="1" applyFill="1" applyBorder="1"/>
    <xf numFmtId="10" fontId="15" fillId="0" borderId="16" xfId="2" applyNumberFormat="1" applyFont="1" applyFill="1" applyBorder="1"/>
    <xf numFmtId="164" fontId="15" fillId="0" borderId="15" xfId="0" applyNumberFormat="1" applyFont="1" applyBorder="1"/>
    <xf numFmtId="43" fontId="10" fillId="20" borderId="16" xfId="1" applyFont="1" applyFill="1" applyBorder="1"/>
    <xf numFmtId="43" fontId="6" fillId="0" borderId="0" xfId="1" applyFont="1"/>
    <xf numFmtId="164" fontId="15" fillId="0" borderId="16" xfId="0" applyNumberFormat="1" applyFont="1" applyBorder="1"/>
    <xf numFmtId="49" fontId="7" fillId="13" borderId="0" xfId="0" quotePrefix="1" applyNumberFormat="1" applyFont="1" applyFill="1"/>
    <xf numFmtId="49" fontId="7" fillId="23" borderId="0" xfId="0" applyNumberFormat="1" applyFont="1" applyFill="1"/>
    <xf numFmtId="164" fontId="7" fillId="23" borderId="0" xfId="0" applyNumberFormat="1" applyFont="1" applyFill="1"/>
    <xf numFmtId="0" fontId="11" fillId="23" borderId="0" xfId="0" applyFont="1" applyFill="1"/>
    <xf numFmtId="43" fontId="7" fillId="23" borderId="20" xfId="1" applyFont="1" applyFill="1" applyBorder="1"/>
    <xf numFmtId="9" fontId="7" fillId="23" borderId="20" xfId="1" applyNumberFormat="1" applyFont="1" applyFill="1" applyBorder="1"/>
    <xf numFmtId="165" fontId="7" fillId="23" borderId="20" xfId="1" applyNumberFormat="1" applyFont="1" applyFill="1" applyBorder="1"/>
    <xf numFmtId="0" fontId="6" fillId="23" borderId="0" xfId="0" applyFont="1" applyFill="1"/>
    <xf numFmtId="43" fontId="7" fillId="23" borderId="0" xfId="1" applyFont="1" applyFill="1" applyBorder="1"/>
    <xf numFmtId="43" fontId="7" fillId="5" borderId="20" xfId="1" applyFont="1" applyFill="1" applyBorder="1"/>
    <xf numFmtId="43" fontId="6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66" fontId="0" fillId="0" borderId="0" xfId="0" applyNumberFormat="1"/>
    <xf numFmtId="167" fontId="6" fillId="0" borderId="0" xfId="2" applyNumberFormat="1" applyFont="1"/>
    <xf numFmtId="49" fontId="6" fillId="0" borderId="0" xfId="0" applyNumberFormat="1" applyFont="1"/>
    <xf numFmtId="0" fontId="4" fillId="2" borderId="1" xfId="0" applyFont="1" applyFill="1" applyBorder="1"/>
    <xf numFmtId="0" fontId="2" fillId="24" borderId="21" xfId="0" applyFont="1" applyFill="1" applyBorder="1"/>
    <xf numFmtId="0" fontId="6" fillId="0" borderId="1" xfId="0" applyFont="1" applyBorder="1"/>
    <xf numFmtId="0" fontId="0" fillId="25" borderId="21" xfId="0" applyFill="1" applyBorder="1"/>
    <xf numFmtId="0" fontId="0" fillId="0" borderId="21" xfId="0" applyBorder="1"/>
    <xf numFmtId="0" fontId="11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164" fontId="15" fillId="0" borderId="25" xfId="0" applyNumberFormat="1" applyFont="1" applyBorder="1"/>
    <xf numFmtId="0" fontId="6" fillId="0" borderId="26" xfId="0" applyFont="1" applyBorder="1"/>
    <xf numFmtId="0" fontId="0" fillId="0" borderId="1" xfId="0" applyBorder="1"/>
    <xf numFmtId="0" fontId="5" fillId="0" borderId="0" xfId="3"/>
    <xf numFmtId="0" fontId="6" fillId="0" borderId="25" xfId="0" applyFont="1" applyBorder="1"/>
    <xf numFmtId="0" fontId="6" fillId="0" borderId="26" xfId="0" applyFont="1" applyBorder="1" applyAlignment="1">
      <alignment horizontal="right"/>
    </xf>
    <xf numFmtId="0" fontId="6" fillId="0" borderId="0" xfId="0" applyFont="1" applyAlignment="1">
      <alignment horizontal="left"/>
    </xf>
    <xf numFmtId="43" fontId="6" fillId="0" borderId="26" xfId="1" applyFont="1" applyBorder="1"/>
    <xf numFmtId="0" fontId="0" fillId="5" borderId="21" xfId="0" applyFill="1" applyBorder="1"/>
    <xf numFmtId="43" fontId="6" fillId="0" borderId="26" xfId="0" applyNumberFormat="1" applyFont="1" applyBorder="1"/>
    <xf numFmtId="168" fontId="6" fillId="0" borderId="0" xfId="0" applyNumberFormat="1" applyFont="1"/>
    <xf numFmtId="0" fontId="0" fillId="20" borderId="21" xfId="0" applyFill="1" applyBorder="1"/>
    <xf numFmtId="0" fontId="0" fillId="13" borderId="1" xfId="0" applyFill="1" applyBorder="1"/>
    <xf numFmtId="0" fontId="6" fillId="13" borderId="1" xfId="0" applyFont="1" applyFill="1" applyBorder="1"/>
    <xf numFmtId="0" fontId="6" fillId="0" borderId="27" xfId="0" applyFont="1" applyBorder="1"/>
    <xf numFmtId="0" fontId="6" fillId="0" borderId="28" xfId="0" applyFont="1" applyBorder="1" applyAlignment="1">
      <alignment horizontal="left"/>
    </xf>
    <xf numFmtId="0" fontId="6" fillId="0" borderId="28" xfId="0" applyFont="1" applyBorder="1"/>
    <xf numFmtId="43" fontId="6" fillId="0" borderId="29" xfId="0" applyNumberFormat="1" applyFont="1" applyBorder="1"/>
    <xf numFmtId="10" fontId="6" fillId="0" borderId="0" xfId="0" applyNumberFormat="1" applyFont="1"/>
    <xf numFmtId="0" fontId="4" fillId="0" borderId="0" xfId="0" applyFont="1"/>
    <xf numFmtId="0" fontId="0" fillId="26" borderId="0" xfId="0" applyFill="1"/>
    <xf numFmtId="0" fontId="4" fillId="9" borderId="0" xfId="0" applyFont="1" applyFill="1"/>
    <xf numFmtId="0" fontId="0" fillId="11" borderId="0" xfId="0" applyFill="1"/>
    <xf numFmtId="49" fontId="15" fillId="0" borderId="0" xfId="0" applyNumberFormat="1" applyFont="1"/>
    <xf numFmtId="43" fontId="6" fillId="0" borderId="0" xfId="1" applyFont="1" applyBorder="1"/>
    <xf numFmtId="164" fontId="15" fillId="13" borderId="25" xfId="0" applyNumberFormat="1" applyFont="1" applyFill="1" applyBorder="1"/>
    <xf numFmtId="49" fontId="15" fillId="13" borderId="0" xfId="0" applyNumberFormat="1" applyFont="1" applyFill="1"/>
    <xf numFmtId="43" fontId="6" fillId="13" borderId="0" xfId="1" applyFont="1" applyFill="1" applyBorder="1"/>
    <xf numFmtId="43" fontId="6" fillId="13" borderId="26" xfId="1" applyFont="1" applyFill="1" applyBorder="1"/>
    <xf numFmtId="0" fontId="6" fillId="13" borderId="25" xfId="0" applyFont="1" applyFill="1" applyBorder="1"/>
    <xf numFmtId="0" fontId="0" fillId="27" borderId="0" xfId="0" applyFill="1"/>
    <xf numFmtId="43" fontId="6" fillId="0" borderId="28" xfId="1" applyFont="1" applyBorder="1"/>
    <xf numFmtId="43" fontId="6" fillId="0" borderId="29" xfId="1" applyFont="1" applyBorder="1"/>
    <xf numFmtId="164" fontId="9" fillId="28" borderId="17" xfId="0" applyNumberFormat="1" applyFont="1" applyFill="1" applyBorder="1"/>
    <xf numFmtId="43" fontId="7" fillId="13" borderId="7" xfId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20" fillId="0" borderId="15" xfId="0" applyFont="1" applyBorder="1"/>
    <xf numFmtId="0" fontId="20" fillId="0" borderId="16" xfId="0" applyFont="1" applyBorder="1"/>
    <xf numFmtId="49" fontId="14" fillId="13" borderId="0" xfId="0" applyNumberFormat="1" applyFont="1" applyFill="1"/>
    <xf numFmtId="0" fontId="20" fillId="2" borderId="0" xfId="0" applyFont="1" applyFill="1"/>
    <xf numFmtId="43" fontId="14" fillId="29" borderId="14" xfId="1" applyFont="1" applyFill="1" applyBorder="1" applyAlignment="1">
      <alignment horizontal="center" vertical="center" wrapText="1"/>
    </xf>
    <xf numFmtId="43" fontId="14" fillId="29" borderId="0" xfId="1" applyFont="1" applyFill="1" applyBorder="1" applyAlignment="1">
      <alignment horizontal="center" vertical="center" wrapText="1"/>
    </xf>
    <xf numFmtId="43" fontId="7" fillId="29" borderId="0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20" fillId="30" borderId="1" xfId="0" applyFont="1" applyFill="1" applyBorder="1"/>
    <xf numFmtId="43" fontId="6" fillId="30" borderId="1" xfId="0" applyNumberFormat="1" applyFont="1" applyFill="1" applyBorder="1"/>
    <xf numFmtId="0" fontId="6" fillId="3" borderId="1" xfId="0" applyFont="1" applyFill="1" applyBorder="1"/>
    <xf numFmtId="0" fontId="6" fillId="31" borderId="0" xfId="0" applyFont="1" applyFill="1"/>
    <xf numFmtId="0" fontId="0" fillId="31" borderId="0" xfId="0" applyFill="1"/>
    <xf numFmtId="0" fontId="5" fillId="0" borderId="0" xfId="4" applyFill="1"/>
    <xf numFmtId="11" fontId="15" fillId="0" borderId="15" xfId="0" quotePrefix="1" applyNumberFormat="1" applyFont="1" applyBorder="1"/>
    <xf numFmtId="0" fontId="15" fillId="0" borderId="0" xfId="0" quotePrefix="1" applyFont="1"/>
    <xf numFmtId="0" fontId="15" fillId="0" borderId="0" xfId="0" applyFont="1"/>
    <xf numFmtId="0" fontId="15" fillId="5" borderId="0" xfId="0" applyFont="1" applyFill="1"/>
    <xf numFmtId="49" fontId="15" fillId="2" borderId="0" xfId="0" applyNumberFormat="1" applyFont="1" applyFill="1"/>
    <xf numFmtId="0" fontId="15" fillId="0" borderId="0" xfId="0" applyFont="1" applyAlignment="1">
      <alignment wrapText="1"/>
    </xf>
    <xf numFmtId="164" fontId="9" fillId="28" borderId="0" xfId="0" applyNumberFormat="1" applyFont="1" applyFill="1"/>
    <xf numFmtId="164" fontId="15" fillId="0" borderId="0" xfId="0" applyNumberFormat="1" applyFont="1"/>
    <xf numFmtId="43" fontId="15" fillId="11" borderId="0" xfId="1" applyFont="1" applyFill="1" applyBorder="1"/>
    <xf numFmtId="10" fontId="15" fillId="5" borderId="0" xfId="2" applyNumberFormat="1" applyFont="1" applyFill="1" applyBorder="1"/>
    <xf numFmtId="10" fontId="15" fillId="7" borderId="0" xfId="2" applyNumberFormat="1" applyFont="1" applyFill="1" applyBorder="1"/>
    <xf numFmtId="10" fontId="15" fillId="20" borderId="0" xfId="2" applyNumberFormat="1" applyFont="1" applyFill="1" applyBorder="1"/>
    <xf numFmtId="10" fontId="15" fillId="2" borderId="0" xfId="2" applyNumberFormat="1" applyFont="1" applyFill="1" applyBorder="1"/>
    <xf numFmtId="43" fontId="15" fillId="5" borderId="0" xfId="1" applyFont="1" applyFill="1" applyBorder="1"/>
    <xf numFmtId="41" fontId="10" fillId="0" borderId="0" xfId="1" applyNumberFormat="1" applyFont="1" applyFill="1" applyBorder="1"/>
    <xf numFmtId="43" fontId="15" fillId="21" borderId="0" xfId="1" applyFont="1" applyFill="1" applyBorder="1"/>
    <xf numFmtId="165" fontId="10" fillId="0" borderId="0" xfId="1" applyNumberFormat="1" applyFont="1" applyFill="1" applyBorder="1"/>
    <xf numFmtId="10" fontId="15" fillId="0" borderId="0" xfId="2" applyNumberFormat="1" applyFont="1" applyFill="1" applyBorder="1"/>
    <xf numFmtId="43" fontId="15" fillId="13" borderId="0" xfId="1" applyFont="1" applyFill="1" applyBorder="1"/>
    <xf numFmtId="0" fontId="0" fillId="32" borderId="0" xfId="0" applyFill="1"/>
    <xf numFmtId="0" fontId="7" fillId="16" borderId="1" xfId="0" applyFont="1" applyFill="1" applyBorder="1"/>
    <xf numFmtId="43" fontId="0" fillId="5" borderId="0" xfId="1" applyFont="1" applyFill="1"/>
    <xf numFmtId="43" fontId="7" fillId="16" borderId="1" xfId="1" applyFont="1" applyFill="1" applyBorder="1"/>
    <xf numFmtId="0" fontId="6" fillId="33" borderId="1" xfId="0" applyFont="1" applyFill="1" applyBorder="1"/>
    <xf numFmtId="43" fontId="0" fillId="33" borderId="1" xfId="0" applyNumberFormat="1" applyFill="1" applyBorder="1"/>
    <xf numFmtId="0" fontId="6" fillId="0" borderId="0" xfId="0" applyFont="1" applyAlignment="1">
      <alignment horizontal="right" vertical="center"/>
    </xf>
    <xf numFmtId="164" fontId="20" fillId="0" borderId="15" xfId="0" applyNumberFormat="1" applyFont="1" applyBorder="1"/>
    <xf numFmtId="0" fontId="0" fillId="33" borderId="1" xfId="0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0" fillId="0" borderId="14" xfId="0" applyBorder="1"/>
    <xf numFmtId="0" fontId="6" fillId="0" borderId="14" xfId="0" applyFont="1" applyBorder="1"/>
    <xf numFmtId="164" fontId="6" fillId="0" borderId="14" xfId="0" applyNumberFormat="1" applyFont="1" applyBorder="1"/>
    <xf numFmtId="43" fontId="6" fillId="0" borderId="14" xfId="0" applyNumberFormat="1" applyFont="1" applyBorder="1"/>
    <xf numFmtId="10" fontId="6" fillId="0" borderId="14" xfId="0" applyNumberFormat="1" applyFont="1" applyBorder="1"/>
    <xf numFmtId="0" fontId="0" fillId="0" borderId="9" xfId="0" applyBorder="1"/>
    <xf numFmtId="0" fontId="0" fillId="34" borderId="1" xfId="0" applyFill="1" applyBorder="1"/>
    <xf numFmtId="169" fontId="6" fillId="0" borderId="14" xfId="1" applyNumberFormat="1" applyFont="1" applyBorder="1"/>
    <xf numFmtId="165" fontId="0" fillId="0" borderId="0" xfId="1" applyNumberFormat="1" applyFont="1"/>
    <xf numFmtId="165" fontId="6" fillId="0" borderId="0" xfId="1" applyNumberFormat="1" applyFont="1"/>
    <xf numFmtId="165" fontId="6" fillId="33" borderId="1" xfId="1" applyNumberFormat="1" applyFont="1" applyFill="1" applyBorder="1" applyAlignment="1">
      <alignment horizontal="center" vertical="center"/>
    </xf>
    <xf numFmtId="165" fontId="6" fillId="0" borderId="14" xfId="1" applyNumberFormat="1" applyFont="1" applyBorder="1"/>
    <xf numFmtId="165" fontId="11" fillId="23" borderId="0" xfId="1" applyNumberFormat="1" applyFont="1" applyFill="1"/>
    <xf numFmtId="0" fontId="0" fillId="17" borderId="6" xfId="0" applyFill="1" applyBorder="1"/>
    <xf numFmtId="0" fontId="0" fillId="17" borderId="1" xfId="0" applyFill="1" applyBorder="1"/>
    <xf numFmtId="0" fontId="6" fillId="17" borderId="6" xfId="0" applyFont="1" applyFill="1" applyBorder="1" applyAlignment="1">
      <alignment horizontal="center" vertical="center"/>
    </xf>
    <xf numFmtId="165" fontId="6" fillId="17" borderId="6" xfId="1" applyNumberFormat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0" xfId="0" applyFill="1"/>
    <xf numFmtId="43" fontId="11" fillId="23" borderId="0" xfId="0" applyNumberFormat="1" applyFont="1" applyFill="1"/>
    <xf numFmtId="0" fontId="6" fillId="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43" fontId="6" fillId="34" borderId="14" xfId="0" applyNumberFormat="1" applyFont="1" applyFill="1" applyBorder="1"/>
    <xf numFmtId="0" fontId="6" fillId="18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43" fontId="6" fillId="30" borderId="0" xfId="0" applyNumberFormat="1" applyFont="1" applyFill="1"/>
    <xf numFmtId="43" fontId="0" fillId="0" borderId="0" xfId="1" applyFont="1" applyFill="1"/>
    <xf numFmtId="4" fontId="6" fillId="0" borderId="0" xfId="0" applyNumberFormat="1" applyFont="1"/>
    <xf numFmtId="10" fontId="0" fillId="0" borderId="0" xfId="2" applyNumberFormat="1" applyFont="1"/>
    <xf numFmtId="0" fontId="3" fillId="2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0" fillId="23" borderId="0" xfId="0" applyFill="1"/>
    <xf numFmtId="170" fontId="7" fillId="3" borderId="1" xfId="0" applyNumberFormat="1" applyFont="1" applyFill="1" applyBorder="1" applyAlignment="1">
      <alignment horizontal="center" vertical="center" wrapText="1"/>
    </xf>
    <xf numFmtId="170" fontId="0" fillId="0" borderId="0" xfId="0" applyNumberFormat="1"/>
    <xf numFmtId="164" fontId="15" fillId="13" borderId="14" xfId="0" applyNumberFormat="1" applyFont="1" applyFill="1" applyBorder="1"/>
    <xf numFmtId="0" fontId="20" fillId="0" borderId="14" xfId="0" applyFont="1" applyBorder="1"/>
    <xf numFmtId="0" fontId="20" fillId="0" borderId="17" xfId="0" applyFont="1" applyBorder="1"/>
    <xf numFmtId="0" fontId="7" fillId="11" borderId="7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 vertical="top"/>
    </xf>
    <xf numFmtId="0" fontId="7" fillId="16" borderId="13" xfId="0" applyFont="1" applyFill="1" applyBorder="1" applyAlignment="1">
      <alignment horizontal="center" vertical="top"/>
    </xf>
  </cellXfs>
  <cellStyles count="5">
    <cellStyle name="Comma" xfId="1" builtinId="3"/>
    <cellStyle name="Hyperlink" xfId="4" builtinId="8"/>
    <cellStyle name="Hyperlink 2" xfId="3" xr:uid="{FF0C64B7-0676-468C-9DB7-4CAE0ECFF58C}"/>
    <cellStyle name="Normal" xfId="0" builtinId="0"/>
    <cellStyle name="Percent" xfId="2" builtinId="5"/>
  </cellStyles>
  <dxfs count="9">
    <dxf>
      <numFmt numFmtId="170" formatCode="[$-409]d/mmm/yyyy;@"/>
    </dxf>
    <dxf>
      <numFmt numFmtId="170" formatCode="[$-409]d/mmm/yyyy;@"/>
    </dxf>
    <dxf>
      <numFmt numFmtId="170" formatCode="[$-409]d/mmm/yyyy;@"/>
    </dxf>
    <dxf>
      <numFmt numFmtId="0" formatCode="General"/>
      <fill>
        <patternFill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FA4C0870-08CE-4129-8049-0422A3A4D3DF}"/>
  </tableStyles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C12F2-1E6A-4512-9228-BA39FC2263F9}" name="p_type" displayName="p_type" ref="DI57:DJ70" totalsRowShown="0" headerRowDxfId="8" dataDxfId="7">
  <autoFilter ref="DI57:DJ70" xr:uid="{E8BC12F2-1E6A-4512-9228-BA39FC2263F9}"/>
  <tableColumns count="2">
    <tableColumn id="1" xr3:uid="{8398CE33-B1AD-460B-A610-A8144C8996B0}" name="product" dataDxfId="6"/>
    <tableColumn id="2" xr3:uid="{B0CD7BAD-9945-4436-BAE2-388D6D477814}" name="typ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FA86E-A2D3-4A9E-B4C9-80B37D6F09DE}" name="Transaction" displayName="Transaction" ref="A1:Z3" totalsRowShown="0" headerRowDxfId="4" headerRowCellStyle="Comma">
  <autoFilter ref="A1:Z3" xr:uid="{9CA8563B-7D8B-4F27-A1B0-ECE8A0654797}"/>
  <tableColumns count="26">
    <tableColumn id="1" xr3:uid="{B4197B18-4FBC-49BE-B201-496C332DC12C}" name="No"/>
    <tableColumn id="2" xr3:uid="{6A604AB3-9DC3-413A-A169-7B82A87CE295}" name="pam_code"/>
    <tableColumn id="3" xr3:uid="{B335680B-A5E1-4B42-8135-E9E64B95E14E}" name="Client_No"/>
    <tableColumn id="4" xr3:uid="{55CE8CBE-14AE-4D30-B76B-F0C256C8A0A9}" name="Port"/>
    <tableColumn id="5" xr3:uid="{CC1AC369-B2F2-4FF9-AF65-B22DC93750F3}" name="product"/>
    <tableColumn id="6" xr3:uid="{75EC0411-0C64-4E53-B4BD-2CD0B6D1FA9B}" name="status"/>
    <tableColumn id="7" xr3:uid="{EBDEF435-C325-4679-A1A0-405E6E26148B}" name="mode"/>
    <tableColumn id="25" xr3:uid="{C61B8371-9202-479C-850F-D52DC3E76C73}" name="responsible"/>
    <tableColumn id="24" xr3:uid="{1403FCE5-1ABA-40D6-A911-A22FBBA8EC87}" name="OA"/>
    <tableColumn id="8" xr3:uid="{687948D7-ED0A-43E7-8E28-4CA842BADA53}" name="vat_principal"/>
    <tableColumn id="9" xr3:uid="{F9CA3B8A-4791-441D-9488-2356AF2E659E}" name="int_principal"/>
    <tableColumn id="10" xr3:uid="{8A8F935E-808C-4DF8-935F-DD870A66E0DE}" name="DOC_NO"/>
    <tableColumn id="11" xr3:uid="{5E213461-00CA-4DAE-B384-4A3A0F80ADA7}" name="Doc_Type" dataDxfId="3">
      <calculatedColumnFormula array="1">_xlfn.IFS(
N2="aq","acquisition",
N2="pm","payment",N2="dis","discount",N2="add","addition",
N2="repo","repossession",N2="sold","asset_sold",
N2="esue","early_sue",N2="sue","sue_black_no",N2="vd","verdict"
)</calculatedColumnFormula>
    </tableColumn>
    <tableColumn id="12" xr3:uid="{4565E7E4-59C3-4C3E-B5BF-00408D9398BC}" name="code"/>
    <tableColumn id="26" xr3:uid="{BD5CC539-A620-4C3D-BB10-ED9C8CBF658C}" name="channel"/>
    <tableColumn id="13" xr3:uid="{F5F41BEA-5215-498D-80A1-E9EB7B76436C}" name="TR_Date" dataDxfId="2"/>
    <tableColumn id="23" xr3:uid="{4B2727A1-1238-430C-A7DE-AE8C07C77669}" name="Pay_Date" dataDxfId="1"/>
    <tableColumn id="14" xr3:uid="{D029D581-D1EF-4744-9917-68ADE5AAB768}" name="EFF_Date" dataDxfId="0"/>
    <tableColumn id="15" xr3:uid="{3E552810-18F1-4DD7-A886-1727B4B6772E}" name="Cash_outflow" dataCellStyle="Comma"/>
    <tableColumn id="16" xr3:uid="{0E6A411A-8D9E-4EBF-A253-90796B057396}" name="Cash_inflow" dataCellStyle="Comma"/>
    <tableColumn id="17" xr3:uid="{D27EA7C4-DE37-41F6-8DA8-27502E8A32B7}" name="Suspend" dataCellStyle="Comma"/>
    <tableColumn id="18" xr3:uid="{07E64E3E-AEF7-45FF-BAB3-81BCA1317010}" name="Asset_value" dataCellStyle="Comma"/>
    <tableColumn id="19" xr3:uid="{FF7A06DD-3438-4409-9DB1-7CCCF2A932EA}" name="all_sold_expense" dataCellStyle="Comma"/>
    <tableColumn id="20" xr3:uid="{09C5A3F4-0038-4277-807F-43925063D390}" name="sold_method" dataCellStyle="Comma"/>
    <tableColumn id="21" xr3:uid="{01A62899-0DF1-426C-950D-85F6478EB1A8}" name="Discount" dataCellStyle="Comma"/>
    <tableColumn id="22" xr3:uid="{E39A5397-5116-42BD-B157-D512BF10012B}" name="Addition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d.go.th/fileadmin/user_upload/kormor/newlaw/mr37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CE9A-5BBF-42FC-B88D-08DB80941A8E}">
  <sheetPr codeName="Sheet11">
    <tabColor rgb="FFFFC000"/>
  </sheetPr>
  <dimension ref="A1:EG136"/>
  <sheetViews>
    <sheetView tabSelected="1" topLeftCell="R5" zoomScale="70" zoomScaleNormal="70" workbookViewId="0">
      <selection activeCell="AE9" sqref="AE9"/>
    </sheetView>
  </sheetViews>
  <sheetFormatPr defaultColWidth="9.109375" defaultRowHeight="14.4" x14ac:dyDescent="0.3"/>
  <cols>
    <col min="1" max="1" width="25" style="1" customWidth="1"/>
    <col min="2" max="2" width="12.109375" style="1" customWidth="1"/>
    <col min="3" max="3" width="10.21875" style="1" bestFit="1" customWidth="1"/>
    <col min="4" max="4" width="32" style="1" customWidth="1"/>
    <col min="5" max="5" width="16.21875" style="1" bestFit="1" customWidth="1"/>
    <col min="6" max="9" width="10.88671875" style="1" customWidth="1"/>
    <col min="10" max="10" width="17.33203125" style="1" customWidth="1"/>
    <col min="11" max="11" width="12" style="1" bestFit="1" customWidth="1"/>
    <col min="12" max="12" width="16.77734375" style="1" customWidth="1"/>
    <col min="13" max="13" width="22.88671875" style="1" customWidth="1"/>
    <col min="14" max="15" width="10" style="187" customWidth="1"/>
    <col min="16" max="16" width="19.77734375" style="1" customWidth="1"/>
    <col min="17" max="18" width="14.21875" style="1" customWidth="1"/>
    <col min="19" max="19" width="17" style="1" bestFit="1" customWidth="1"/>
    <col min="20" max="20" width="32.109375" style="1" bestFit="1" customWidth="1"/>
    <col min="21" max="21" width="15.77734375" style="1" customWidth="1"/>
    <col min="22" max="22" width="20.44140625" style="1" bestFit="1" customWidth="1"/>
    <col min="23" max="23" width="34.21875" style="1" bestFit="1" customWidth="1"/>
    <col min="24" max="24" width="20.44140625" style="1" customWidth="1"/>
    <col min="25" max="27" width="13.33203125" style="1" customWidth="1"/>
    <col min="28" max="28" width="12" style="1" customWidth="1"/>
    <col min="29" max="29" width="9.88671875" style="1" bestFit="1" customWidth="1"/>
    <col min="30" max="30" width="9.88671875" style="1" customWidth="1"/>
    <col min="31" max="31" width="12.21875" style="1" customWidth="1"/>
    <col min="32" max="32" width="17.44140625" style="1" customWidth="1"/>
    <col min="33" max="33" width="19.88671875" style="1" bestFit="1" customWidth="1"/>
    <col min="34" max="34" width="22" style="1" bestFit="1" customWidth="1"/>
    <col min="35" max="35" width="13.21875" customWidth="1"/>
    <col min="36" max="36" width="14.109375" customWidth="1"/>
    <col min="37" max="37" width="13" style="1" customWidth="1"/>
    <col min="38" max="38" width="15.6640625" style="1" customWidth="1"/>
    <col min="39" max="39" width="12.77734375" style="1" customWidth="1"/>
    <col min="40" max="40" width="11.109375" style="1" customWidth="1"/>
    <col min="41" max="41" width="15.6640625" style="1" customWidth="1"/>
    <col min="42" max="43" width="11.109375" style="1" customWidth="1"/>
    <col min="44" max="44" width="12.44140625" style="1" customWidth="1"/>
    <col min="45" max="46" width="11.109375" style="1" customWidth="1"/>
    <col min="47" max="47" width="13.6640625" style="1" customWidth="1"/>
    <col min="48" max="48" width="11.109375" style="1" customWidth="1"/>
    <col min="49" max="49" width="12.44140625" style="1" bestFit="1" customWidth="1"/>
    <col min="50" max="51" width="11.109375" style="1" customWidth="1"/>
    <col min="52" max="52" width="6.77734375" style="1" customWidth="1"/>
    <col min="53" max="53" width="7.33203125" style="1" customWidth="1"/>
    <col min="54" max="54" width="13.6640625" style="1" bestFit="1" customWidth="1"/>
    <col min="55" max="55" width="14.44140625" style="1" customWidth="1"/>
    <col min="56" max="57" width="12.77734375" style="1" customWidth="1"/>
    <col min="58" max="58" width="10.109375" style="1" customWidth="1"/>
    <col min="59" max="59" width="11.44140625" style="1" bestFit="1" customWidth="1"/>
    <col min="60" max="60" width="12.77734375" style="1" customWidth="1"/>
    <col min="61" max="61" width="15.109375" style="1" customWidth="1"/>
    <col min="62" max="62" width="16.21875" style="1" customWidth="1"/>
    <col min="63" max="63" width="11.77734375" style="1" customWidth="1"/>
    <col min="64" max="64" width="11.88671875" style="1" customWidth="1"/>
    <col min="65" max="65" width="12.109375" style="1" customWidth="1"/>
    <col min="66" max="66" width="8.77734375" style="1" customWidth="1"/>
    <col min="67" max="67" width="22" style="1" customWidth="1"/>
    <col min="68" max="68" width="12.44140625" style="1" customWidth="1"/>
    <col min="69" max="69" width="12.33203125" style="1" customWidth="1"/>
    <col min="70" max="70" width="12.33203125" style="1" bestFit="1" customWidth="1"/>
    <col min="71" max="71" width="12.21875" style="1" customWidth="1"/>
    <col min="72" max="72" width="12.33203125" style="1" bestFit="1" customWidth="1"/>
    <col min="73" max="84" width="12.33203125" style="1" customWidth="1"/>
    <col min="85" max="85" width="34" style="1" bestFit="1" customWidth="1"/>
    <col min="86" max="86" width="12.21875" style="1" customWidth="1"/>
    <col min="87" max="87" width="33.33203125" style="1" bestFit="1" customWidth="1"/>
    <col min="88" max="90" width="21.88671875" style="1" customWidth="1"/>
    <col min="91" max="91" width="22.33203125" style="1" bestFit="1" customWidth="1"/>
    <col min="92" max="92" width="44.44140625" style="1" bestFit="1" customWidth="1"/>
    <col min="93" max="93" width="44.109375" style="123" bestFit="1" customWidth="1"/>
    <col min="94" max="94" width="14.88671875" customWidth="1"/>
    <col min="95" max="95" width="12.44140625" style="1" bestFit="1" customWidth="1"/>
    <col min="96" max="96" width="11" style="1" bestFit="1" customWidth="1"/>
    <col min="97" max="97" width="14.21875" style="1" customWidth="1"/>
    <col min="98" max="98" width="12.44140625" style="1" bestFit="1" customWidth="1"/>
    <col min="99" max="99" width="11" style="1" bestFit="1" customWidth="1"/>
    <col min="100" max="100" width="19.44140625" style="1" customWidth="1"/>
    <col min="101" max="101" width="19.33203125" style="1" bestFit="1" customWidth="1"/>
    <col min="102" max="102" width="9" style="1" bestFit="1" customWidth="1"/>
    <col min="103" max="103" width="11.21875" style="1" bestFit="1" customWidth="1"/>
    <col min="104" max="105" width="12.77734375" style="1" bestFit="1" customWidth="1"/>
    <col min="106" max="106" width="11.21875" style="1" bestFit="1" customWidth="1"/>
    <col min="107" max="107" width="19.6640625" style="1" bestFit="1" customWidth="1"/>
    <col min="108" max="108" width="9.6640625" style="1" bestFit="1" customWidth="1"/>
    <col min="109" max="109" width="12.77734375" style="1" bestFit="1" customWidth="1"/>
    <col min="110" max="110" width="9.109375" style="1"/>
    <col min="111" max="111" width="11" style="1" bestFit="1" customWidth="1"/>
    <col min="112" max="112" width="17.77734375" style="1" bestFit="1" customWidth="1"/>
    <col min="113" max="113" width="13.6640625" style="1" customWidth="1"/>
    <col min="114" max="114" width="14.33203125" style="1" customWidth="1"/>
    <col min="115" max="115" width="10" style="1" bestFit="1" customWidth="1"/>
    <col min="116" max="118" width="9.109375" style="1"/>
    <col min="119" max="119" width="10" style="1" bestFit="1" customWidth="1"/>
    <col min="120" max="120" width="10.21875" style="243" bestFit="1" customWidth="1"/>
    <col min="121" max="122" width="10.21875" style="1" bestFit="1" customWidth="1"/>
    <col min="123" max="123" width="19.77734375" style="1" bestFit="1" customWidth="1"/>
    <col min="124" max="124" width="14.21875" style="1" bestFit="1" customWidth="1"/>
    <col min="125" max="125" width="11" style="1" bestFit="1" customWidth="1"/>
    <col min="126" max="126" width="13.33203125" style="1" bestFit="1" customWidth="1"/>
    <col min="127" max="127" width="16.44140625" style="1" customWidth="1"/>
    <col min="128" max="128" width="7.44140625" style="1" bestFit="1" customWidth="1"/>
    <col min="129" max="129" width="9.109375" style="1"/>
    <col min="130" max="130" width="12.44140625" style="1" bestFit="1" customWidth="1"/>
    <col min="131" max="133" width="9.109375" style="1"/>
    <col min="134" max="135" width="10" style="1" bestFit="1" customWidth="1"/>
    <col min="136" max="136" width="13.109375" style="1" bestFit="1" customWidth="1"/>
    <col min="137" max="16384" width="9.109375" style="1"/>
  </cols>
  <sheetData>
    <row r="1" spans="1:137" customFormat="1" ht="15" thickBot="1" x14ac:dyDescent="0.35">
      <c r="A1" s="204" t="s">
        <v>410</v>
      </c>
      <c r="B1" t="s">
        <v>359</v>
      </c>
      <c r="C1" s="1"/>
      <c r="D1" s="202" t="s">
        <v>361</v>
      </c>
      <c r="L1" t="s">
        <v>0</v>
      </c>
      <c r="N1" s="186"/>
      <c r="O1" s="186"/>
      <c r="V1" s="224" t="s">
        <v>362</v>
      </c>
      <c r="W1" s="224"/>
      <c r="X1" s="224"/>
      <c r="Y1" s="203" t="s">
        <v>221</v>
      </c>
      <c r="Z1" s="203" t="s">
        <v>214</v>
      </c>
      <c r="AJ1" t="s">
        <v>358</v>
      </c>
      <c r="AK1" s="203" t="s">
        <v>360</v>
      </c>
      <c r="BB1" s="1"/>
      <c r="BI1" s="2"/>
      <c r="CO1" s="90"/>
      <c r="DP1" s="242"/>
    </row>
    <row r="2" spans="1:137" customFormat="1" ht="21.6" thickBot="1" x14ac:dyDescent="0.45">
      <c r="E2" s="3" t="s">
        <v>1</v>
      </c>
      <c r="L2" t="s">
        <v>2</v>
      </c>
      <c r="N2" s="186"/>
      <c r="O2" s="186"/>
      <c r="S2" s="4" t="s">
        <v>3</v>
      </c>
      <c r="T2" s="5" t="s">
        <v>4</v>
      </c>
      <c r="U2" s="5"/>
      <c r="Y2" s="5" t="s">
        <v>5</v>
      </c>
      <c r="Z2" s="5" t="s">
        <v>6</v>
      </c>
      <c r="AA2" s="2" t="s">
        <v>7</v>
      </c>
      <c r="AC2" s="1"/>
      <c r="AD2" s="1"/>
      <c r="AE2" s="1"/>
      <c r="AG2" t="s">
        <v>8</v>
      </c>
      <c r="BB2" s="6"/>
      <c r="BC2" s="1"/>
      <c r="BD2" s="6"/>
      <c r="BE2" s="6"/>
      <c r="BF2" s="6"/>
      <c r="BG2" s="6"/>
      <c r="BH2" s="6"/>
      <c r="BI2" s="7"/>
      <c r="BJ2" s="6"/>
      <c r="BK2" s="6"/>
      <c r="BL2" s="6"/>
      <c r="BM2" s="6"/>
      <c r="BN2" s="6"/>
      <c r="BO2" s="6"/>
      <c r="BP2" s="6"/>
      <c r="BQ2" s="6"/>
      <c r="BR2" s="6"/>
      <c r="CE2" s="8"/>
      <c r="CH2" s="9"/>
      <c r="CJ2" s="8" t="s">
        <v>9</v>
      </c>
      <c r="CK2" s="10"/>
      <c r="CL2" s="10"/>
      <c r="CM2" s="10"/>
      <c r="CN2" s="10"/>
      <c r="CO2" s="226"/>
      <c r="CV2" s="262"/>
      <c r="DC2" s="11"/>
      <c r="DP2" s="242"/>
    </row>
    <row r="3" spans="1:137" x14ac:dyDescent="0.3">
      <c r="B3" s="12" t="s">
        <v>10</v>
      </c>
      <c r="E3" s="197" t="s">
        <v>353</v>
      </c>
      <c r="F3" s="201">
        <f ca="1">COUNTIF(INDIRECT("N7:N" &amp; K3+6), "pm")</f>
        <v>0</v>
      </c>
      <c r="J3" s="198" t="s">
        <v>354</v>
      </c>
      <c r="K3" s="198">
        <f>Transaction!$AC$2+1</f>
        <v>1</v>
      </c>
      <c r="L3" s="1" t="s">
        <v>11</v>
      </c>
      <c r="Q3" s="13"/>
      <c r="R3" s="13"/>
      <c r="S3" s="199" t="s">
        <v>357</v>
      </c>
      <c r="T3" s="200">
        <f ca="1">SUM(INDIRECT("T8:T"&amp;K3+6))</f>
        <v>0</v>
      </c>
      <c r="U3" s="200">
        <f ca="1">SUM(INDIRECT("U8:U"&amp;K3+6))</f>
        <v>0</v>
      </c>
      <c r="V3" s="200">
        <f ca="1">SUM(INDIRECT("V8:V"&amp;K3+6))</f>
        <v>0</v>
      </c>
      <c r="W3" s="259"/>
      <c r="X3" s="259"/>
      <c r="AD3" s="228" t="s">
        <v>366</v>
      </c>
      <c r="AE3" s="229" t="e">
        <f ca="1">SUM(INDIRECT("AE8:AE"&amp;K3+6))</f>
        <v>#N/A</v>
      </c>
      <c r="AG3" t="s">
        <v>12</v>
      </c>
      <c r="AK3" s="14" t="s">
        <v>13</v>
      </c>
      <c r="AN3" s="15" t="s">
        <v>14</v>
      </c>
      <c r="AP3" s="16"/>
      <c r="BB3" s="14" t="s">
        <v>15</v>
      </c>
      <c r="BI3" s="17"/>
      <c r="BP3" s="18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 t="s">
        <v>16</v>
      </c>
      <c r="CE3" s="6"/>
      <c r="CF3" s="6"/>
      <c r="CG3" s="6"/>
      <c r="CH3" s="6"/>
      <c r="CI3" s="6"/>
      <c r="CJ3" s="6"/>
      <c r="CK3" s="6"/>
      <c r="CL3" s="6"/>
      <c r="CM3" s="6"/>
      <c r="CN3" s="6"/>
      <c r="CO3" s="115"/>
      <c r="CQ3" s="14" t="s">
        <v>17</v>
      </c>
      <c r="CV3" s="13" t="s">
        <v>18</v>
      </c>
      <c r="DB3" s="6"/>
      <c r="DG3" s="14" t="s">
        <v>369</v>
      </c>
    </row>
    <row r="4" spans="1:137" x14ac:dyDescent="0.3">
      <c r="B4" s="12"/>
      <c r="L4" s="19" t="s">
        <v>19</v>
      </c>
      <c r="M4" s="19" t="s">
        <v>19</v>
      </c>
      <c r="N4" s="188"/>
      <c r="O4" s="188"/>
      <c r="P4" s="20" t="s">
        <v>20</v>
      </c>
      <c r="Q4" s="17" t="s">
        <v>407</v>
      </c>
      <c r="R4" s="17" t="s">
        <v>21</v>
      </c>
      <c r="S4" s="21"/>
      <c r="T4" s="21" t="s">
        <v>4</v>
      </c>
      <c r="U4" s="21"/>
      <c r="V4" s="21" t="s">
        <v>22</v>
      </c>
      <c r="W4" s="21"/>
      <c r="X4" s="21"/>
      <c r="Y4" s="21"/>
      <c r="Z4" s="21"/>
      <c r="AA4" s="21"/>
      <c r="AB4" s="21"/>
      <c r="AC4" s="21"/>
      <c r="AD4" s="17" t="s">
        <v>23</v>
      </c>
      <c r="AE4" s="21" t="s">
        <v>5</v>
      </c>
      <c r="AF4" s="21" t="s">
        <v>6</v>
      </c>
      <c r="AG4" s="21"/>
      <c r="AH4" s="21"/>
      <c r="AK4" s="276" t="s">
        <v>24</v>
      </c>
      <c r="AL4" s="276"/>
      <c r="AM4" s="276"/>
      <c r="AN4" s="276" t="s">
        <v>25</v>
      </c>
      <c r="AO4" s="276"/>
      <c r="AP4" s="276"/>
      <c r="AQ4" s="276"/>
      <c r="AR4" s="276"/>
      <c r="AS4" s="276" t="s">
        <v>26</v>
      </c>
      <c r="AT4" s="276"/>
      <c r="AU4" s="276"/>
      <c r="AV4" s="276" t="s">
        <v>27</v>
      </c>
      <c r="AW4" s="276"/>
      <c r="AX4" s="276" t="s">
        <v>28</v>
      </c>
      <c r="AY4" s="276"/>
      <c r="BB4" s="22" t="s">
        <v>24</v>
      </c>
      <c r="BC4" s="22"/>
      <c r="BD4" s="22"/>
      <c r="BE4" s="23" t="s">
        <v>29</v>
      </c>
      <c r="BF4" s="23"/>
      <c r="BG4" s="23"/>
      <c r="BH4" s="24" t="s">
        <v>30</v>
      </c>
      <c r="BI4" s="24"/>
      <c r="BJ4" s="24"/>
      <c r="BK4" s="25" t="s">
        <v>31</v>
      </c>
      <c r="BL4" s="25"/>
      <c r="BM4" s="25"/>
      <c r="BN4" s="26"/>
      <c r="BO4" s="26" t="s">
        <v>25</v>
      </c>
      <c r="BP4" s="26"/>
      <c r="BQ4" s="26"/>
      <c r="BR4" s="22" t="s">
        <v>32</v>
      </c>
      <c r="BS4" s="22"/>
      <c r="BT4" s="22"/>
      <c r="BU4" s="27" t="s">
        <v>33</v>
      </c>
      <c r="BV4" s="26"/>
      <c r="BW4" s="26"/>
      <c r="BX4" s="22" t="s">
        <v>34</v>
      </c>
      <c r="BY4" s="22"/>
      <c r="BZ4" s="22"/>
      <c r="CA4" s="26" t="s">
        <v>35</v>
      </c>
      <c r="CB4" s="26"/>
      <c r="CC4" s="26"/>
      <c r="CD4" s="28" t="s">
        <v>36</v>
      </c>
      <c r="CE4" s="29"/>
      <c r="CF4" s="30"/>
      <c r="CG4" s="31" t="s">
        <v>37</v>
      </c>
      <c r="CH4" s="32" t="s">
        <v>38</v>
      </c>
      <c r="CI4" s="33" t="s">
        <v>39</v>
      </c>
      <c r="CJ4" s="34" t="s">
        <v>40</v>
      </c>
      <c r="CK4" s="35" t="s">
        <v>41</v>
      </c>
      <c r="CL4" s="278" t="s">
        <v>367</v>
      </c>
      <c r="CM4" s="225" t="s">
        <v>363</v>
      </c>
      <c r="CN4" s="225" t="s">
        <v>364</v>
      </c>
      <c r="CO4" s="227" t="s">
        <v>365</v>
      </c>
      <c r="CQ4" s="36"/>
      <c r="CR4" s="37" t="s">
        <v>42</v>
      </c>
      <c r="CS4" s="38"/>
      <c r="CU4" s="13"/>
      <c r="CW4" s="277" t="s">
        <v>24</v>
      </c>
      <c r="CX4" s="277"/>
      <c r="CY4" s="277"/>
      <c r="CZ4" s="18"/>
      <c r="DA4" s="273" t="s">
        <v>26</v>
      </c>
      <c r="DB4" s="274"/>
      <c r="DC4" s="275"/>
      <c r="DS4" s="1" t="s">
        <v>394</v>
      </c>
      <c r="DT4" s="1" t="s">
        <v>395</v>
      </c>
      <c r="EE4" s="1" t="s">
        <v>398</v>
      </c>
      <c r="EF4" s="1" t="s">
        <v>399</v>
      </c>
    </row>
    <row r="5" spans="1:137" s="39" customFormat="1" ht="41.4" x14ac:dyDescent="0.3">
      <c r="B5" s="3" t="s">
        <v>43</v>
      </c>
      <c r="C5" s="3" t="s">
        <v>1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403</v>
      </c>
      <c r="I5" s="3" t="s">
        <v>404</v>
      </c>
      <c r="J5" s="40" t="s">
        <v>48</v>
      </c>
      <c r="K5" s="40" t="s">
        <v>49</v>
      </c>
      <c r="L5" s="3" t="s">
        <v>50</v>
      </c>
      <c r="M5" s="3" t="s">
        <v>51</v>
      </c>
      <c r="N5" s="189" t="s">
        <v>52</v>
      </c>
      <c r="O5" s="189" t="s">
        <v>405</v>
      </c>
      <c r="P5" s="3" t="s">
        <v>53</v>
      </c>
      <c r="Q5" s="3" t="s">
        <v>406</v>
      </c>
      <c r="R5" s="3" t="s">
        <v>408</v>
      </c>
      <c r="S5" s="41" t="s">
        <v>55</v>
      </c>
      <c r="T5" s="42" t="s">
        <v>56</v>
      </c>
      <c r="U5" s="42" t="s">
        <v>57</v>
      </c>
      <c r="V5" s="42" t="s">
        <v>58</v>
      </c>
      <c r="W5" s="42" t="s">
        <v>400</v>
      </c>
      <c r="X5" s="42" t="s">
        <v>401</v>
      </c>
      <c r="Y5" s="42" t="s">
        <v>59</v>
      </c>
      <c r="Z5" s="42" t="s">
        <v>60</v>
      </c>
      <c r="AA5" s="42" t="s">
        <v>61</v>
      </c>
      <c r="AB5" s="42" t="s">
        <v>62</v>
      </c>
      <c r="AC5" s="42" t="s">
        <v>63</v>
      </c>
      <c r="AD5" s="43" t="s">
        <v>64</v>
      </c>
      <c r="AE5" s="44" t="s">
        <v>65</v>
      </c>
      <c r="AF5" s="44" t="s">
        <v>66</v>
      </c>
      <c r="AG5" s="45" t="s">
        <v>67</v>
      </c>
      <c r="AH5" s="45" t="s">
        <v>68</v>
      </c>
      <c r="AI5"/>
      <c r="AJ5"/>
      <c r="AK5" s="46" t="s">
        <v>69</v>
      </c>
      <c r="AL5" s="46" t="s">
        <v>70</v>
      </c>
      <c r="AM5" s="46" t="s">
        <v>71</v>
      </c>
      <c r="AN5" s="46" t="s">
        <v>72</v>
      </c>
      <c r="AO5" s="46" t="s">
        <v>73</v>
      </c>
      <c r="AP5" s="46" t="s">
        <v>74</v>
      </c>
      <c r="AQ5" s="46" t="s">
        <v>75</v>
      </c>
      <c r="AR5" s="46" t="s">
        <v>76</v>
      </c>
      <c r="AS5" s="46" t="s">
        <v>77</v>
      </c>
      <c r="AT5" s="46" t="s">
        <v>78</v>
      </c>
      <c r="AU5" s="46" t="s">
        <v>79</v>
      </c>
      <c r="AV5" s="46" t="s">
        <v>80</v>
      </c>
      <c r="AW5" s="46" t="s">
        <v>81</v>
      </c>
      <c r="AX5" s="46" t="s">
        <v>80</v>
      </c>
      <c r="AY5" s="46" t="s">
        <v>81</v>
      </c>
      <c r="BA5" s="47"/>
      <c r="BB5" s="48" t="s">
        <v>69</v>
      </c>
      <c r="BC5" s="48" t="s">
        <v>70</v>
      </c>
      <c r="BD5" s="48" t="s">
        <v>71</v>
      </c>
      <c r="BE5" s="49" t="s">
        <v>82</v>
      </c>
      <c r="BF5" s="49" t="s">
        <v>83</v>
      </c>
      <c r="BG5" s="50" t="s">
        <v>84</v>
      </c>
      <c r="BH5" s="51" t="s">
        <v>85</v>
      </c>
      <c r="BI5" s="51" t="s">
        <v>86</v>
      </c>
      <c r="BJ5" s="51" t="s">
        <v>87</v>
      </c>
      <c r="BK5" s="52" t="s">
        <v>88</v>
      </c>
      <c r="BL5" s="52" t="s">
        <v>89</v>
      </c>
      <c r="BM5" s="53" t="s">
        <v>90</v>
      </c>
      <c r="BN5" s="54" t="s">
        <v>73</v>
      </c>
      <c r="BO5" s="54" t="s">
        <v>74</v>
      </c>
      <c r="BP5" s="54" t="s">
        <v>75</v>
      </c>
      <c r="BQ5" s="54" t="s">
        <v>76</v>
      </c>
      <c r="BR5" s="48" t="s">
        <v>91</v>
      </c>
      <c r="BS5" s="48" t="s">
        <v>92</v>
      </c>
      <c r="BT5" s="55" t="s">
        <v>93</v>
      </c>
      <c r="BU5" s="185" t="s">
        <v>94</v>
      </c>
      <c r="BV5" s="54" t="s">
        <v>95</v>
      </c>
      <c r="BW5" s="56" t="s">
        <v>96</v>
      </c>
      <c r="BX5" s="48" t="s">
        <v>97</v>
      </c>
      <c r="BY5" s="48" t="s">
        <v>98</v>
      </c>
      <c r="BZ5" s="55" t="s">
        <v>99</v>
      </c>
      <c r="CA5" s="54" t="s">
        <v>100</v>
      </c>
      <c r="CB5" s="54" t="s">
        <v>101</v>
      </c>
      <c r="CC5" s="56" t="s">
        <v>102</v>
      </c>
      <c r="CD5" s="57" t="s">
        <v>103</v>
      </c>
      <c r="CE5" s="58" t="s">
        <v>104</v>
      </c>
      <c r="CF5" s="59" t="s">
        <v>105</v>
      </c>
      <c r="CG5" s="60"/>
      <c r="CH5" s="61"/>
      <c r="CI5" s="62"/>
      <c r="CJ5" s="63"/>
      <c r="CK5" s="64"/>
      <c r="CL5" s="279"/>
      <c r="CM5" s="50"/>
      <c r="CN5" s="50"/>
      <c r="CO5" s="50"/>
      <c r="CP5"/>
      <c r="CQ5" s="51" t="s">
        <v>106</v>
      </c>
      <c r="CR5" s="51" t="s">
        <v>107</v>
      </c>
      <c r="CS5" s="51" t="s">
        <v>108</v>
      </c>
      <c r="CT5" s="51" t="s">
        <v>109</v>
      </c>
      <c r="CU5" s="51" t="s">
        <v>110</v>
      </c>
      <c r="CV5" s="51" t="s">
        <v>111</v>
      </c>
      <c r="CW5" s="51" t="s">
        <v>69</v>
      </c>
      <c r="CX5" s="51" t="s">
        <v>70</v>
      </c>
      <c r="CY5" s="51" t="s">
        <v>71</v>
      </c>
      <c r="CZ5" s="51" t="s">
        <v>112</v>
      </c>
      <c r="DA5" s="51" t="s">
        <v>113</v>
      </c>
      <c r="DB5" s="51" t="s">
        <v>114</v>
      </c>
      <c r="DC5" s="65" t="s">
        <v>115</v>
      </c>
      <c r="DD5" s="51" t="s">
        <v>116</v>
      </c>
      <c r="DE5" s="51" t="s">
        <v>117</v>
      </c>
      <c r="DG5" s="232" t="s">
        <v>370</v>
      </c>
      <c r="DH5" s="232" t="s">
        <v>371</v>
      </c>
      <c r="DI5" s="232" t="s">
        <v>43</v>
      </c>
      <c r="DJ5" s="232" t="s">
        <v>372</v>
      </c>
      <c r="DK5" s="232" t="s">
        <v>373</v>
      </c>
      <c r="DL5" s="232" t="s">
        <v>45</v>
      </c>
      <c r="DM5" s="233" t="s">
        <v>46</v>
      </c>
      <c r="DN5" s="233" t="s">
        <v>47</v>
      </c>
      <c r="DO5" s="233" t="s">
        <v>406</v>
      </c>
      <c r="DP5" s="244" t="s">
        <v>73</v>
      </c>
      <c r="DQ5" s="233" t="s">
        <v>374</v>
      </c>
      <c r="DR5" s="233" t="s">
        <v>375</v>
      </c>
      <c r="DS5" s="254" t="s">
        <v>384</v>
      </c>
      <c r="DT5" s="255" t="s">
        <v>396</v>
      </c>
      <c r="DU5" s="233" t="s">
        <v>376</v>
      </c>
      <c r="DV5" s="233" t="s">
        <v>377</v>
      </c>
      <c r="DW5" s="233" t="s">
        <v>378</v>
      </c>
      <c r="DX5" s="233" t="s">
        <v>379</v>
      </c>
      <c r="DY5" s="233" t="s">
        <v>380</v>
      </c>
      <c r="DZ5" s="233" t="s">
        <v>79</v>
      </c>
      <c r="EA5" s="233" t="s">
        <v>381</v>
      </c>
      <c r="EB5" s="233" t="s">
        <v>382</v>
      </c>
      <c r="EC5" s="233" t="s">
        <v>76</v>
      </c>
      <c r="ED5" s="233" t="s">
        <v>383</v>
      </c>
      <c r="EE5" s="258" t="s">
        <v>385</v>
      </c>
      <c r="EF5" s="257" t="s">
        <v>397</v>
      </c>
      <c r="EG5" s="233" t="s">
        <v>386</v>
      </c>
    </row>
    <row r="6" spans="1:137" s="39" customFormat="1" ht="27.6" x14ac:dyDescent="0.3">
      <c r="A6" s="66" t="s">
        <v>368</v>
      </c>
      <c r="B6" s="67"/>
      <c r="C6" s="67"/>
      <c r="D6" s="67"/>
      <c r="E6" s="67"/>
      <c r="F6" s="67"/>
      <c r="G6" s="67"/>
      <c r="H6" s="67"/>
      <c r="I6" s="67"/>
      <c r="J6" s="68"/>
      <c r="K6" s="68"/>
      <c r="L6" s="67"/>
      <c r="M6" s="69" t="s">
        <v>118</v>
      </c>
      <c r="N6" s="71"/>
      <c r="O6" s="71"/>
      <c r="P6" s="67"/>
      <c r="Q6" s="70"/>
      <c r="R6" s="270"/>
      <c r="S6" s="71"/>
      <c r="T6" s="72"/>
      <c r="U6" s="72" t="s">
        <v>355</v>
      </c>
      <c r="V6" s="72" t="s">
        <v>356</v>
      </c>
      <c r="W6" s="72"/>
      <c r="X6" s="72"/>
      <c r="Y6" s="72"/>
      <c r="Z6" s="72"/>
      <c r="AA6" s="72"/>
      <c r="AB6" s="72"/>
      <c r="AC6" s="72"/>
      <c r="AD6" s="194"/>
      <c r="AE6" s="194"/>
      <c r="AF6" s="194"/>
      <c r="AG6" s="195"/>
      <c r="AH6" s="195"/>
      <c r="AI6"/>
      <c r="AJ6"/>
      <c r="AK6" s="73"/>
      <c r="AL6" s="74"/>
      <c r="AM6" s="75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7"/>
      <c r="BA6" s="77"/>
      <c r="BB6" s="76"/>
      <c r="BC6" s="76"/>
      <c r="BD6" s="78"/>
      <c r="BE6" s="76"/>
      <c r="BF6" s="76"/>
      <c r="BG6" s="78"/>
      <c r="BH6" s="76"/>
      <c r="BI6" s="76"/>
      <c r="BJ6" s="79"/>
      <c r="BK6" s="76"/>
      <c r="BL6" s="76"/>
      <c r="BM6" s="78"/>
      <c r="BN6" s="76"/>
      <c r="BO6" s="76"/>
      <c r="BP6" s="76"/>
      <c r="BQ6" s="79"/>
      <c r="BR6" s="76"/>
      <c r="BS6" s="76"/>
      <c r="BT6" s="78"/>
      <c r="BU6" s="196"/>
      <c r="BV6" s="196"/>
      <c r="BW6" s="80"/>
      <c r="BX6" s="196"/>
      <c r="BY6" s="196"/>
      <c r="BZ6" s="80"/>
      <c r="CA6" s="196"/>
      <c r="CB6" s="196"/>
      <c r="CC6" s="80"/>
      <c r="CD6" s="196"/>
      <c r="CE6" s="196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81"/>
      <c r="DD6" s="76"/>
      <c r="DE6" s="76"/>
      <c r="DF6"/>
      <c r="DG6" s="247"/>
      <c r="DH6" s="248"/>
      <c r="DI6" s="247"/>
      <c r="DJ6" s="247"/>
      <c r="DK6" s="247"/>
      <c r="DL6" s="247"/>
      <c r="DM6" s="247"/>
      <c r="DN6" s="249"/>
      <c r="DO6" s="249"/>
      <c r="DP6" s="250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51"/>
      <c r="EF6" s="251"/>
      <c r="EG6" s="249"/>
    </row>
    <row r="7" spans="1:137" x14ac:dyDescent="0.3">
      <c r="A7" s="82" t="e" cm="1">
        <f t="array" aca="1" ref="A7" ca="1">_xlfn.XLOOKUP(B7,INDIRECT("'"&amp;$A$1&amp;"'!"&amp;$D$1&amp;"[pam_code]"),INDIRECT("'"&amp;$A$1&amp;"'!"&amp;$D$1&amp;"[name]"))</f>
        <v>#N/A</v>
      </c>
      <c r="B7" s="83">
        <f>B4</f>
        <v>0</v>
      </c>
      <c r="C7" s="83" t="e">
        <f ca="1">TEXT(_xlfn.XLOOKUP(B4,INDIRECT("'"&amp;$A$1&amp;"'!"&amp;$D$1&amp;"[pam_code]"),INDIRECT("'"&amp;$A$1&amp;"'!"&amp;$D$1&amp;"[old_contract_number]")),"0000")</f>
        <v>#N/A</v>
      </c>
      <c r="D7" s="84" t="e" cm="1">
        <f t="array" aca="1" ref="D7" ca="1">_xlfn.XLOOKUP(B4,INDIRECT("'"&amp;$A$1&amp;"'!"&amp;$D$1&amp;"[pam_code]"),INDIRECT("'"&amp;$A$1&amp;"'!"&amp;$D$1&amp;"[portfolio_credit_buying]"))</f>
        <v>#N/A</v>
      </c>
      <c r="E7" s="84" t="e" cm="1">
        <f t="array" aca="1" ref="E7" ca="1">_xlfn.XLOOKUP(B4,INDIRECT("'"&amp;$A$1&amp;"'!"&amp;$D$1&amp;"[pam_code]"),INDIRECT("'"&amp;$A$1&amp;"'!"&amp;$D$1&amp;"[transferred_product]"))</f>
        <v>#N/A</v>
      </c>
      <c r="F7" s="190" t="e" cm="1">
        <f t="array" aca="1" ref="F7" ca="1">_xlfn.XLOOKUP(B4,INDIRECT("'"&amp;$A$1&amp;"'!"&amp;$D$1&amp;"[pam_code]"),INDIRECT("'"&amp;$A$1&amp;"'!"&amp;$D$1&amp;"[transferred_status]"))</f>
        <v>#N/A</v>
      </c>
      <c r="G7" s="190" t="e" cm="1">
        <f t="array" aca="1" ref="G7" ca="1">_xlfn.XLOOKUP(B4,INDIRECT("'"&amp;$A$1&amp;"'!"&amp;$D$1&amp;"[pam_code]"),INDIRECT("'"&amp;$A$1&amp;"'!"&amp;$D$1&amp;"[transferred_mode]"))</f>
        <v>#N/A</v>
      </c>
      <c r="H7" s="190" t="s">
        <v>409</v>
      </c>
      <c r="I7" s="190" t="s">
        <v>409</v>
      </c>
      <c r="J7" s="85"/>
      <c r="K7" s="85"/>
      <c r="L7" s="86"/>
      <c r="M7" s="87" t="str" cm="1">
        <f t="array" ref="M7">_xlfn.IFS(
N7="aq","acquisition",
N7="pm","payment",N7="dis","discount",N7="add","addition",
N7="repo","repossession",N7="sold","asset_sold",
N7="esue","early_sue",N7="sue","sue_black_no",N7="vd","verdict"
)</f>
        <v>acquisition</v>
      </c>
      <c r="N7" s="190" t="s">
        <v>119</v>
      </c>
      <c r="O7" s="271" t="s">
        <v>409</v>
      </c>
      <c r="P7" s="184">
        <v>45295</v>
      </c>
      <c r="Q7" s="88" t="s">
        <v>409</v>
      </c>
      <c r="R7" s="88" t="e" cm="1">
        <f t="array" aca="1" ref="R7" ca="1">_xlfn.XLOOKUP(B4,INDIRECT("'"&amp;$A$1&amp;"'!"&amp;$D$1&amp;"[pam_code]"),INDIRECT("'"&amp;$A$1&amp;"'!"&amp;$D$1&amp;"[acquisition_date]"))</f>
        <v>#N/A</v>
      </c>
      <c r="S7" s="89" t="e" cm="1">
        <f t="array" aca="1" ref="S7" ca="1">_xlfn.XLOOKUP(B4,INDIRECT("'"&amp;$A$1&amp;"'!"&amp;$D$1&amp;"[pam_code]"),INDIRECT("'"&amp;$A$1&amp;"'!"&amp;$D$1&amp;"[bid_price_excluding_vat]"))</f>
        <v>#N/A</v>
      </c>
      <c r="T7" s="90"/>
      <c r="U7"/>
      <c r="V7" s="90" cm="1">
        <f t="array" aca="1" ref="V7" ca="1">IF(N7="repo",_xlfn.XLOOKUP(B7,INDIRECT("'"&amp;$A$1&amp;"'!"&amp;$V$1&amp;"[pam_code]"),INDIRECT("'"&amp;$A$1&amp;"'!"&amp;$V$1&amp;"[identify_value]")),
IF(N7="sold",_xlfn.XLOOKUP(B7,INDIRECT("'"&amp;$A$1&amp;"'!"&amp;$V$1&amp;"[pam_code]"),INDIRECT("'"&amp;$A$1&amp;"'!"&amp;$V$1&amp;"[price_inc_vat]")),0))</f>
        <v>0</v>
      </c>
      <c r="W7" s="260"/>
      <c r="X7" s="260"/>
      <c r="Y7" s="89" cm="1">
        <f t="array" aca="1" ref="Y7" ca="1">IF(N7="dis",_xlfn.XLOOKUP(B7,INDIRECT("'"&amp;$A$1&amp;"'!"&amp;$Y$1&amp;"[pam_code]"),INDIRECT("'"&amp;$A$1&amp;"'!"&amp;$Y$1&amp;"[percent_discount]")),0)</f>
        <v>0</v>
      </c>
      <c r="Z7" s="91" cm="1">
        <f t="array" aca="1" ref="Z7" ca="1">IF(N7="add",_xlfn.XLOOKUP(B7,INDIRECT("'"&amp;$A$1&amp;"'!"&amp;$Z$1&amp;"[pam_code]"),INDIRECT("'"&amp;$A$1&amp;"'!"&amp;$Z$1&amp;"[interest_addition]")),0)</f>
        <v>0</v>
      </c>
      <c r="AA7" s="92" t="e" cm="1">
        <f t="array" aca="1" ref="AA7" ca="1">_xlfn.XLOOKUP(B4,INDIRECT("'"&amp;$A$1&amp;"'!"&amp;$D$1&amp;"[pam_code]"),INDIRECT("'"&amp;$A$1&amp;"'!"&amp;$D$1&amp;"[int_rate]"))</f>
        <v>#N/A</v>
      </c>
      <c r="AB7" s="92" t="e" cm="1">
        <f t="array" aca="1" ref="AB7" ca="1">_xlfn.XLOOKUP(B4,INDIRECT("'"&amp;$A$1&amp;"'!"&amp;$D$1&amp;"[pam_code]"),INDIRECT("'"&amp;$A$1&amp;"'!"&amp;$D$1&amp;"[eir_rate]"))</f>
        <v>#N/A</v>
      </c>
      <c r="AC7" s="92" t="e" cm="1">
        <f t="array" aca="1" ref="AC7" ca="1">_xlfn.XLOOKUP(B4,INDIRECT("'"&amp;$A$1&amp;"'!"&amp;$D$1&amp;"[pam_code]"),INDIRECT("'"&amp;$A$1&amp;"'!"&amp;$D$1&amp;"[vat_rate]"))</f>
        <v>#N/A</v>
      </c>
      <c r="AD7" s="93" cm="1">
        <f t="array" aca="1" ref="AD7" ca="1">IFERROR(_xlfn.IFS(G6="jm_vat",(BT6+BW6+CC6)/CG6,G6="npl_vat",(BQ6+BZ6)/CG6,G6="cm_vat",(BT6+BW6+BZ6)/CG6,ISNUMBER(FIND("_all_vat",G7)),CF6/CG6,NOT(ISNUMBER(FIND("_vat",G7))),0,G6=0,0,AND(N7="sold",$DG$7="hp"),0),0)</f>
        <v>0</v>
      </c>
      <c r="AE7" s="94" t="e">
        <f t="shared" ref="AE7:AE44" ca="1" si="0">IF(AND(N7="sold",$DG$7="hp"),V7-(V7*(1/(1+AC7))),IF(ISNUMBER(FIND("_vat",G7)),AG7-(AG7*(1/(1+AC7))),IF(MAX(T7,V7)&lt;&gt;0,MAX(T7,V7)-(MAX(T7,V7)*(1/(1+AC7))),0)))</f>
        <v>#N/A</v>
      </c>
      <c r="AF7" s="94" t="e">
        <f t="shared" ref="AF7:AF44" ca="1" si="1">MAX(T7,V7)-AE7</f>
        <v>#N/A</v>
      </c>
      <c r="AG7" s="95">
        <f t="shared" ref="AG7:AG44" ca="1" si="2">IF(AND(ISNUMBER(FIND("_vat",G7)),AD7&gt;0),(MAX(T7,V7)-AH7),0)</f>
        <v>0</v>
      </c>
      <c r="AH7" s="95">
        <f t="shared" ref="AH7:AH44" ca="1" si="3">MIN(MAX(T7,V7)*(1-AD7),CK6)</f>
        <v>0</v>
      </c>
      <c r="AK7" s="89" t="e" cm="1">
        <f t="array" aca="1" ref="AK7" ca="1">_xlfn.XLOOKUP(B4,INDIRECT("'"&amp;$A$1&amp;"'!"&amp;$D$1&amp;"[pam_code]"),INDIRECT("'"&amp;$A$1&amp;"'!"&amp;$D$1&amp;"[transferred_expense_balance]"))</f>
        <v>#N/A</v>
      </c>
      <c r="AL7" s="96" t="e">
        <f t="shared" ref="AL7:AL44" ca="1" si="4">IF(AND(N7="sold",$DG$7="hp"),MIN(AF7,AM6+AK7),IF(MAX(T7,V7)&lt;&gt;0,MIN(MAX(T7,V7)-AE7,AM6),IF(N7="repo",0,0)))</f>
        <v>#N/A</v>
      </c>
      <c r="AM7" s="96" t="e">
        <f ca="1">AM6+AK7-AL7</f>
        <v>#N/A</v>
      </c>
      <c r="AN7" s="97" t="e">
        <f ca="1">IF(N7="vd",0,AB7)</f>
        <v>#N/A</v>
      </c>
      <c r="AO7" s="98" t="e">
        <f t="shared" ref="AO7:AO44" ca="1" si="5">IF(OR(IF(Q7="-",R7,Q7)-IF(Q6="-",R6,Q6)&lt;0,Q6=0),0,IF(Q7="-",R7,Q7)-IF(Q6="-",R6,Q6))</f>
        <v>#N/A</v>
      </c>
      <c r="AP7" s="99" t="e">
        <f ca="1">((AU6+AM6)*(AN7/365)*AO7)</f>
        <v>#N/A</v>
      </c>
      <c r="AQ7" s="96">
        <f t="shared" ref="AQ7:AQ44" si="6">IF(N7="pm",MIN(T7-AE7-AL7,AR6+AP7),IF(N7="repo",0,IF(N7="sold",MIN(AF7-AL7,AR6+AP7),0)))</f>
        <v>0</v>
      </c>
      <c r="AR7" s="96" t="e">
        <f ca="1">AR6+AP7-AQ7</f>
        <v>#N/A</v>
      </c>
      <c r="AS7" s="100" t="e">
        <f ca="1">IF(N7="aq",S7,0)</f>
        <v>#N/A</v>
      </c>
      <c r="AT7" s="96" t="e">
        <f t="shared" ref="AT7:AT44" ca="1" si="7">IF(AND(N7="sold",$DG$7="hp"),MIN(AF7-AL7-AQ7,AU6),IF(MAX(T7,V7)&lt;&gt;0,MIN((MAX(T7,V7)-AE7-AL7-AQ7),AU6),IF(N7="repo",0,0)))</f>
        <v>#N/A</v>
      </c>
      <c r="AU7" s="96" t="e">
        <f ca="1">AU6+AS7-AT7</f>
        <v>#N/A</v>
      </c>
      <c r="AV7" s="101"/>
      <c r="AW7" s="100" t="e">
        <f t="shared" ref="AW7:AW44" ca="1" si="8">IF(AND(N7="sold",$DG$7="hp"),AF7-AL7-AQ7-AT7,IF(MAX(T7,V7)&lt;&gt;0,MAX(T7,V7)-AE7-AL7-AQ7-AT7,IF(N7="repo",0,0)))</f>
        <v>#N/A</v>
      </c>
      <c r="AX7" s="101"/>
      <c r="AY7" s="100"/>
      <c r="BB7" s="89" t="e" cm="1">
        <f t="array" aca="1" ref="BB7" ca="1">_xlfn.XLOOKUP(B4,INDIRECT("'"&amp;$A$1&amp;"'!"&amp;$D$1&amp;"[pam_code]"),INDIRECT("'"&amp;$A$1&amp;"'!"&amp;$D$1&amp;"[transferred_expense_balance]"))</f>
        <v>#N/A</v>
      </c>
      <c r="BC7" s="100" t="e">
        <f t="shared" ref="BC7:BC44" ca="1" si="9">IF(N7="dis",Y7*BD6,IF(N7="vd",BD6,IF(AND(N7="sold",$DG$7="hp",G7="npl_vat"),MIN(AF7-BP7-BY7,BD6+BB7),IF(OR(G7="jm_vat",G7="npl_vat",G7="cm_vat"),MIN(AH7,BD6),IF(OR(G7="jm",G7="npl",G7="cm"),MIN(AF7,BD6),IF(OR(G7="jm_all_vat",G7="npl_all_vat",G7="cm_all_vat"),MIN(AH7,BD6),0))))))</f>
        <v>#N/A</v>
      </c>
      <c r="BD7" s="96" t="e">
        <f ca="1">BD6+BB7-BC7</f>
        <v>#N/A</v>
      </c>
      <c r="BE7" s="89" t="e" cm="1">
        <f t="array" aca="1" ref="BE7" ca="1">_xlfn.XLOOKUP(B4,INDIRECT("'"&amp;$A$1&amp;"'!"&amp;$D$1&amp;"[pam_code]"),INDIRECT("'"&amp;$A$1&amp;"'!"&amp;$D$1&amp;"[transferred_outlay_balance]"))</f>
        <v>#N/A</v>
      </c>
      <c r="BF7" s="100" t="e">
        <f t="shared" ref="BF7:BF44" ca="1" si="10">IF(N7="dis",Y7*BG6,IF(N7="vd",BG6,IF(AND(N7="sold",$DG$7="hp",G7="npl_vat"),MIN(AF7-BP7-BY7-BC7,BG6),IF(OR(G7="jm_vat",G7="npl_vat",G7="cm_vat"),MIN(AH7-BC7,BG6),IF(OR(G7="jm",G7="npl",G7="cm"),MIN(AF7-BC7,BG6),0)))))</f>
        <v>#N/A</v>
      </c>
      <c r="BG7" s="96" t="e">
        <f ca="1">BG6+BE7-BF7</f>
        <v>#N/A</v>
      </c>
      <c r="BH7" s="89" t="e" cm="1">
        <f t="array" aca="1" ref="BH7" ca="1">_xlfn.XLOOKUP(B4,INDIRECT("'"&amp;$A$1&amp;"'!"&amp;$D$1&amp;"[pam_code]"),INDIRECT("'"&amp;$A$1&amp;"'!"&amp;$D$1&amp;"[transferred_loss_balance]"))</f>
        <v>#N/A</v>
      </c>
      <c r="BI7" s="100" t="e">
        <f t="shared" ref="BI7:BI44" ca="1" si="11">IF(N7="dis",Y7*BJ6,IF(N7="vd",BJ6,IF(AND(N7="sold",$DG$7="hp",G7="npl_vat"),MIN(AF7-BP7-BY7-BC7-BF7,BJ6),IF(OR(G7="jm_vat",G7="npl_vat",G7="cm_vat"),MIN(AH7-BC7-BF7,BJ6),IF(OR(G7="jm",G7="npl",G7="cm"),MIN(AF7-BC7-BF7,BJ6),0)))))</f>
        <v>#N/A</v>
      </c>
      <c r="BJ7" s="96" t="e">
        <f ca="1">BJ6+BH7-BI7</f>
        <v>#N/A</v>
      </c>
      <c r="BK7" s="89" t="e" cm="1">
        <f t="array" aca="1" ref="BK7" ca="1">_xlfn.XLOOKUP(B4,INDIRECT("'"&amp;$A$1&amp;"'!"&amp;$D$1&amp;"[pam_code]"),INDIRECT("'"&amp;$A$1&amp;"'!"&amp;$D$1&amp;"[transferred_penalty_balance]"))</f>
        <v>#N/A</v>
      </c>
      <c r="BL7" s="100" t="e">
        <f t="shared" ref="BL7:BL44" ca="1" si="12">IF(N7="dis",Y7*BM6,IF(N7="vd",BM6,IF(AND(N7="sold",$DG$7="hp",G7="npl_vat"),MIN(AF7-BP7-BY7-BC7-BF7-BI7,BM6),IF(OR(G7="jm_vat",G7="npl_vat",G7="cm_vat"),MIN(AH7-BC7-BF7-BI7,BM6),IF(OR(G7="jm",G7="npl",G7="cm"),MIN(AF7-BC7-BF7-BI7,BM6),0)))))</f>
        <v>#N/A</v>
      </c>
      <c r="BM7" s="96" t="e">
        <f ca="1">BM6+BK7-BL7</f>
        <v>#N/A</v>
      </c>
      <c r="BN7" s="102" t="e">
        <f t="shared" ref="BN7:BN44" ca="1" si="13">IF(OR(IF(Q7="-",R7,Q7)-IF(Q6="-",R6,Q6)&lt;0,Q6=0),0,IF(Q7="-",R7,Q7)-IF(Q6="-",R6,Q6))</f>
        <v>#N/A</v>
      </c>
      <c r="BO7" s="103" t="e" cm="1">
        <f t="array" aca="1" ref="BO7" ca="1">_xlfn.XLOOKUP(B4,INDIRECT("'"&amp;$A$1&amp;"'!"&amp;$D$1&amp;"[pam_code]"),INDIRECT("'"&amp;$A$1&amp;"'!"&amp;$D$1&amp;"[transferred_oldinterest_balance_exc_vat]"))</f>
        <v>#N/A</v>
      </c>
      <c r="BP7" s="104" t="e">
        <f t="shared" ref="BP7:BP44" ca="1" si="14">IF(N7="dis",Y7*BQ6,IF(N7="vd",BQ6,IF(AND(N7="sold",$DG$7="hp",G7="npl_vat"),MIN(AF7*(BQ6/(BQ6+BZ6)),BQ6),IF(OR(G7="jm_vat",G7="cm_vat"),MIN(AH7-BC7-BF7-BI7-BL7,BQ6),IF(OR(G7="jm",G7="npl",G7="cm"),MIN(AF7-BC7-BF7-BI7-BL7,BQ6),IF(G7="npl_vat",MIN(AG7-AE7,BQ6),0))))))</f>
        <v>#N/A</v>
      </c>
      <c r="BQ7" s="105" t="e">
        <f ca="1">BQ6+BO7-BP7</f>
        <v>#N/A</v>
      </c>
      <c r="BR7" s="89" t="e" cm="1">
        <f t="array" aca="1" ref="BR7" ca="1">_xlfn.XLOOKUP(B4,INDIRECT("'"&amp;$A$1&amp;"'!"&amp;$D$1&amp;"[pam_code]"),INDIRECT("'"&amp;$A$1&amp;"'!"&amp;$D$1&amp;"[transferred_opportunitycost_balance_exc_vat]"))</f>
        <v>#N/A</v>
      </c>
      <c r="BS7" s="106" t="e">
        <f t="shared" ref="BS7:BS44" ca="1" si="15">IF(N7="dis",Y7*BT6,IF(N7="vd",BT6,IF(AND(N7="sold",$DG$7="hp",G7="npl_vat"),MIN(AF7-BP7-BY7-BC7-BF7-BI7-BL7,BT6),IF(OR(G7="jm_vat",G7="cm_vat"),MIN(AG7-AE7,BT6),IF(OR(G7="jm",G7="npl",G7="cm"),MIN(AF7-BC7-BF7-BI7-BL7-BP7,BT6),IF(G7="npl_vat",MIN(AH7-BC7-BF7-BI7-BL7,BT6),0))))))</f>
        <v>#N/A</v>
      </c>
      <c r="BT7" s="96" t="e">
        <f ca="1">BT6+BR7-BS7</f>
        <v>#N/A</v>
      </c>
      <c r="BU7" s="107" t="e" cm="1">
        <f t="array" aca="1" ref="BU7" ca="1">_xlfn.XLOOKUP(B4,INDIRECT("'"&amp;$A$1&amp;"'!"&amp;$D$1&amp;"[pam_code]"),INDIRECT("'"&amp;$A$1&amp;"'!"&amp;$D$1&amp;"[transferred_oldcharge_balance_exc_vat]"))</f>
        <v>#N/A</v>
      </c>
      <c r="BV7" s="108" t="e">
        <f t="shared" ref="BV7:BV44" ca="1" si="16">IF(N7="dis",Y7*BW6,IF(N7="vd",BW6,IF(AND(N7="sold",$DG$7="hp",G7="npl_vat"),MIN(AF7-BP7-BY7-BC7-BF7-BI7-BL7-BS7,BW6),IF(OR(G7="jm_vat",G7="cm_vat"),MIN(AG7-AE7-BS7,BW6),IF(OR(G7="jm",G7="npl",G7="cm"),MIN(AF7-BC7-BF7-BI7-BL7-BP7-BS7,BW6),IF(G7="npl_vat",MIN(AH7-BC7-BF7-BI7-BL7-BS7,BW6),0))))))</f>
        <v>#N/A</v>
      </c>
      <c r="BW7" s="109" t="e">
        <f ca="1">BW6+BU7-BV7</f>
        <v>#N/A</v>
      </c>
      <c r="BX7" s="107" t="e" cm="1">
        <f t="array" aca="1" ref="BX7" ca="1">_xlfn.XLOOKUP(B4,INDIRECT("'"&amp;$A$1&amp;"'!"&amp;$D$1&amp;"[pam_code]"),INDIRECT("'"&amp;$A$1&amp;"'!"&amp;$D$1&amp;"[transferred_principal_balance_exc_vat]"))</f>
        <v>#N/A</v>
      </c>
      <c r="BY7" s="109" t="e">
        <f t="shared" ref="BY7:BY44" ca="1" si="17">IF(N7="dis",Y7*BZ6,IF(N7="vd",BZ6,IF(AND(N7="sold",$DG$7="hp",G7="npl_vat"),MIN(AF7-BP7,BZ6),IF(G7="jm_vat",MIN(AH7-BC7-BF7-BI7-BL7-BP7,BZ6),IF(OR(G7="jm",G7="npl",G7="cm"),MIN(AF7-BC7-BF7-BI7-BL7-BP7-BS7-BV7,BZ6),IF(G7="npl_vat",MIN(AG7-AE7-BP7,BZ6),IF(G7="cm_vat",MIN(AG7-AE7-BS7-BV7,BZ6),0)))))))</f>
        <v>#N/A</v>
      </c>
      <c r="BZ7" s="109" t="e">
        <f ca="1">BZ6+BX7-BY7</f>
        <v>#N/A</v>
      </c>
      <c r="CA7" s="107" t="e" cm="1">
        <f t="array" aca="1" ref="CA7" ca="1">_xlfn.XLOOKUP(B4,INDIRECT("'"&amp;$A$1&amp;"'!"&amp;$D$1&amp;"[pam_code]"),INDIRECT("'"&amp;$A$1&amp;"'!"&amp;$D$1&amp;"[transferred_replacement_balance_exc_vat]"))</f>
        <v>#N/A</v>
      </c>
      <c r="CB7" s="108" t="e">
        <f t="shared" ref="CB7:CB44" ca="1" si="18">IF(N7="dis",Y7*CC6,IF(N7="vd",CC6,IF(AND(N7="sold",$DG$7="hp",G7="jm_vat"),MIN(AF7,CC6),IF(AND(N7="sold",$DG$7="hp",G7="npl_vat"),MIN(AF7-BP7-BY7-BC7-BF7-BI7-BL7-BS7-BV7,CC6),IF(G7="jm_vat",MIN(AG7-AE7-BS7-BV7,CC6),IF(OR(G7="jm",G7="npl",G7="cm"),MIN(AF7-BC7-BF7-BI7-BL7-BP7-BS7-BV7-BY7,CC6),IF(G7="npl_vat",MIN(AH7-BC7-BF7-BI7-BL7-BS7-BV7,CC6),IF(G7="cm_vat",MIN(AH7-BC7-BF7-BI7-BL7-BP7,CC6),0))))))))</f>
        <v>#N/A</v>
      </c>
      <c r="CC7" s="109" t="e">
        <f ca="1">CC6+CA7-CB7</f>
        <v>#N/A</v>
      </c>
      <c r="CD7" s="107" t="e" cm="1">
        <f t="array" aca="1" ref="CD7" ca="1">_xlfn.XLOOKUP(B4,INDIRECT("'"&amp;$A$1&amp;"'!"&amp;$D$1&amp;"[pam_code]"),INDIRECT("'"&amp;$A$1&amp;"'!"&amp;$D$1&amp;"[transferred_all_balance_exc_vat]"))</f>
        <v>#N/A</v>
      </c>
      <c r="CE7" s="109" t="e">
        <f t="shared" ref="CE7:CE44" ca="1" si="19">IF(N7="dis",Y7*CF6,IF(N7="vd",CF6,IF(AND(N7="sold",$DG$7="hp",OR(G7="jm_all_vat",G7="npl_all_vat",G7="cm_all_vat")),MIN(AF7,CF6),IF(OR(G7="jm_all_vat",G7="npl_all_vat",G7="cm_all_vat"),MIN(AG7-AE7,CF6),IF(OR(G7="jm_all",G7="npl_all",G7="cm_all"),MIN(AF7,CF6),0)))))</f>
        <v>#N/A</v>
      </c>
      <c r="CF7" s="109" t="e">
        <f ca="1">CF6+CD7-CE7</f>
        <v>#N/A</v>
      </c>
      <c r="CG7" s="109" t="e">
        <f ca="1">IF(CF7=0,SUM(BD7,BG7,BJ7,BM7,BQ7,BT7,BW7,BZ7,CC7),BD7+CF7)</f>
        <v>#N/A</v>
      </c>
      <c r="CH7" s="109" t="e">
        <f ca="1">IF(G7="jm_vat",(BT7+BW7+CC7)*AC7,IF(G7="npl_vat",(BZ7+BQ7)*AC7,IF(G7="cm_vat",(BT7+BW7+BZ7)*AC7,IF(OR(G7="jm_all_vat",G7="npl_all_vat",G7="cm_all_vat"),CF7*AC7,0))))</f>
        <v>#N/A</v>
      </c>
      <c r="CI7" s="109" t="e">
        <f ca="1">IF(CF7=0,SUM(BD7,BG7,BJ7,BM7,BQ7,BT7,BW7,BZ7,CC7,CH7),CG7+CH7)</f>
        <v>#N/A</v>
      </c>
      <c r="CJ7" s="109" t="e">
        <f ca="1">IF(G7="jm_vat",BT7+BW7+CC7+CH7,IF(G7="npl_vat",BQ7+BZ7+CH7,IF(G7="cm_vat",BT7+BW7+BZ7+CH7,IF(OR(G7="jm_all_vat",G7="npl_all_vat",G7="cm_all_vat"),CF7+CH7,0))))</f>
        <v>#N/A</v>
      </c>
      <c r="CK7" s="109" t="e">
        <f ca="1">IF(G7="jm_vat",BD7+BG7+BJ7+BM7+BQ7+BZ7,IF(G7="cm_vat",BD7+BG7+BJ7+BM7+BQ7+CC7,IF(G7="npl_vat",BD7+BG7+BJ7+BM7+BT7+BW7+CC7,IF(OR(G7="jm_all_vat",G7="npl_all_vat",G7="cm_all_vat"),BD7,0))))</f>
        <v>#N/A</v>
      </c>
      <c r="CL7" s="230" t="str">
        <f>IF(CL6&lt;&gt;"",IF(AND(G7="jm_vat",N7="sold",CL6&lt;&gt;IF(AND(G7="jm_vat",N7="sold"),IF(CM7&gt;0,"Profit","Loss"),"No information")),IF(CM7&gt;0,"Profit","Loss"),CL6),"No information")</f>
        <v>No information</v>
      </c>
      <c r="CM7" s="109" t="e">
        <f ca="1">IF(CM6&lt;&gt;IF(AND(G7="jm_vat",N7="sold"),AF7-CC6,0),IF(AND(G7="jm_vat",N7="sold"),AF7-CC6,CM6),0)</f>
        <v>#N/A</v>
      </c>
      <c r="CN7" s="109" t="e">
        <f t="shared" ref="CN7:CN44" ca="1" si="20">IF(CM7&lt;0,SUM(BD7,BG7,BJ7,BM7,BQ7,BT7,BW7,BZ7),0)</f>
        <v>#N/A</v>
      </c>
      <c r="CO7" s="90" t="e">
        <f t="shared" ref="CO7:CO44" ca="1" si="21">IF(CM7&lt;0,((BT7+BW7)*AC7)+CN7,0)</f>
        <v>#N/A</v>
      </c>
      <c r="CQ7" s="110" t="e">
        <f ca="1">CG7</f>
        <v>#N/A</v>
      </c>
      <c r="CR7" s="110" t="e">
        <f ca="1">IF(N7="AQ",S7,0)</f>
        <v>#N/A</v>
      </c>
      <c r="CS7" s="111" t="e">
        <f ca="1">(CQ7-CR7)/CQ7</f>
        <v>#N/A</v>
      </c>
      <c r="CT7" s="112" t="e">
        <f t="shared" ref="CT7:CT44" ca="1" si="22">CG7</f>
        <v>#N/A</v>
      </c>
      <c r="CU7" s="112" t="e">
        <f ca="1">DC7+CY7</f>
        <v>#N/A</v>
      </c>
      <c r="CV7" s="97" t="e">
        <f t="shared" ref="CV7:CV44" ca="1" si="23">IF(N7="aq",(CT7-CU7)/CT7,IF(OR(N7="tdr",N7="dis",N7="add",N7="vd"),(CT7-CU7)/CT7,CV6))</f>
        <v>#N/A</v>
      </c>
      <c r="CW7" s="89" t="e" cm="1">
        <f t="array" aca="1" ref="CW7" ca="1">_xlfn.XLOOKUP(B4,INDIRECT("'"&amp;$A$1&amp;"'!"&amp;$D$1&amp;"[pam_code]"),INDIRECT("'"&amp;$A$1&amp;"'!"&amp;$D$1&amp;"[transferred_expense_balance]"))</f>
        <v>#N/A</v>
      </c>
      <c r="CX7" s="100" t="e">
        <f t="shared" ref="CX7:CX44" ca="1" si="24">IF(AND(N7="sold",$DG$7="hp"),MIN(AF7,CY6+CW7),IF(MAX(T7,V7)&lt;&gt;0,MIN(MAX(T7,V7)-AE7,CY6),0))</f>
        <v>#N/A</v>
      </c>
      <c r="CY7" s="96" t="e">
        <f ca="1">CY6+CW7-CX7</f>
        <v>#N/A</v>
      </c>
      <c r="CZ7" s="100" t="e">
        <f t="shared" ref="CZ7:CZ44" ca="1" si="25">IF(AND(N7="sold",$DG$7="hp"),(AF7-CX7)*CV7,IF(MAX(T7,V7)&lt;&gt;0,(MAX(T7,V7)-AE7-CX7)*CV7,0))</f>
        <v>#N/A</v>
      </c>
      <c r="DA7" s="100" t="e">
        <f t="shared" ref="DA7:DA44" ca="1" si="26">IF(N7="aq",S7,0)</f>
        <v>#N/A</v>
      </c>
      <c r="DB7" s="100" t="e">
        <f t="shared" ref="DB7:DB44" ca="1" si="27">IF(AND(N7="sold",$DG$7="hp"),MIN(AF7-CX7-CZ7,DC6),IF(MAX(T7,V7)&lt;&gt;0,MIN((MAX(T7,V7)-AE7-CX7-CZ7),DC6),0))</f>
        <v>#N/A</v>
      </c>
      <c r="DC7" s="96" t="e">
        <f t="shared" ref="DC7:DC43" ca="1" si="28">DC6+DA7-DB7</f>
        <v>#N/A</v>
      </c>
      <c r="DD7" s="100" t="e">
        <f t="shared" ref="DD7:DD44" ca="1" si="29">IF(AND(N7="sold",$DG$7="hp"),AF7-CX7-CZ7-DB7,IF(MAX(T7,V7)&lt;&gt;0,MAX(T7,V7)-AE7-CX7-CZ7-DB7,0))</f>
        <v>#N/A</v>
      </c>
      <c r="DE7" s="100" t="e">
        <f ca="1">CZ7+DD7</f>
        <v>#N/A</v>
      </c>
      <c r="DF7"/>
      <c r="DG7" s="240" t="e">
        <f ca="1">_xlfn.XLOOKUP(E7,p_type[product],p_type[type])</f>
        <v>#N/A</v>
      </c>
      <c r="DH7" s="239" t="e">
        <f t="shared" ref="DH7" ca="1" si="30">A7</f>
        <v>#N/A</v>
      </c>
      <c r="DI7" s="234">
        <f t="shared" ref="DI7:DN7" si="31">B7</f>
        <v>0</v>
      </c>
      <c r="DJ7" s="234" t="e">
        <f t="shared" ca="1" si="31"/>
        <v>#N/A</v>
      </c>
      <c r="DK7" s="234" t="e">
        <f t="shared" ca="1" si="31"/>
        <v>#N/A</v>
      </c>
      <c r="DL7" s="234" t="e">
        <f t="shared" ca="1" si="31"/>
        <v>#N/A</v>
      </c>
      <c r="DM7" s="234" t="e">
        <f t="shared" ca="1" si="31"/>
        <v>#N/A</v>
      </c>
      <c r="DN7" s="235" t="e">
        <f t="shared" ca="1" si="31"/>
        <v>#N/A</v>
      </c>
      <c r="DO7" s="236" t="e">
        <f t="shared" ref="DO7:DO44" ca="1" si="32">IF(R7="-",Q7,R7)</f>
        <v>#N/A</v>
      </c>
      <c r="DP7" s="245" t="e">
        <f ca="1">IF(OR(DO7-DO6&lt;0,DO6=0),0,DO7-DO6)</f>
        <v>#N/A</v>
      </c>
      <c r="DQ7" s="237" t="e">
        <f ca="1">S7</f>
        <v>#N/A</v>
      </c>
      <c r="DR7" s="237">
        <f t="shared" ref="DR7:DR44" ca="1" si="33">MAX(T7,V7)</f>
        <v>0</v>
      </c>
      <c r="DS7" s="237" t="e">
        <f ca="1">AE7</f>
        <v>#N/A</v>
      </c>
      <c r="DT7" s="237" t="e">
        <f ca="1">DR7-DS7</f>
        <v>#N/A</v>
      </c>
      <c r="DU7" s="237" t="e">
        <f ca="1">$CG$7</f>
        <v>#N/A</v>
      </c>
      <c r="DV7" s="237" t="e">
        <f ca="1">IF(N7="aq",$DQ$7,IF(OR(N7="vd",N7="dis"),DZ6,DV6))</f>
        <v>#N/A</v>
      </c>
      <c r="DW7" s="241" t="e">
        <f t="shared" ref="DW7:DW44" ca="1" si="34">IF(OR(N7="aq",N7="vd"),DV7/DU7,IF(OR(N7="pm",ROW(N7)-6&lt;$K$3-1),DW6,DV7/DU7))</f>
        <v>#N/A</v>
      </c>
      <c r="DX7" s="238" t="e">
        <f t="shared" ref="DX7:DX44" ca="1" si="35">IF(N7="vd",0,AA7)</f>
        <v>#N/A</v>
      </c>
      <c r="DY7" s="237" t="e" cm="1">
        <f t="array" aca="1" ref="DY7" ca="1">_xlfn.UNIQUE(IF(CI7=0,DZ6,IF(N7="repo",DZ6,IF(N7="sold",DT7,IF(ISERR(_xlfn._xlws.FILTER($N$7:N7,$N$7:N7="sold")),MIN(DT7*DW7,DZ6),0)))))</f>
        <v>#N/A</v>
      </c>
      <c r="DZ7" s="256" t="e" cm="1">
        <f t="array" aca="1" ref="DZ7" ca="1">_xlfn.UNIQUE(IF(N7="aq",DQ7,IF(N7="sold",_xlfn._xlws.FILTER($DY$7:DY7,$N$7:N7="repo"),IF(ISERR(_xlfn._xlws.FILTER($N$7:N7,$N$7:N7="sold")),DZ6-DY7,0))))</f>
        <v>#N/A</v>
      </c>
      <c r="EA7" s="237" t="e" cm="1">
        <f t="array" aca="1" ref="EA7" ca="1">IF(OR(N7="repo",IFERROR(_xlfn._xlws.FILTER($N$7:N7,$N$7:N7="sold")="sold",FALSE)),0,DP7*DZ6*(DX7/365))</f>
        <v>#N/A</v>
      </c>
      <c r="EB7" s="237" t="e">
        <f t="shared" ref="EB7:EB44" ca="1" si="36">IF(OR(N7="repo",N7="sold"),0,MIN(DT7-DY7,EC6+EA7))</f>
        <v>#N/A</v>
      </c>
      <c r="EC7" s="237" t="e">
        <f ca="1">EC6+EA7-EB7</f>
        <v>#N/A</v>
      </c>
      <c r="ED7" s="237" t="e" cm="1">
        <f t="array" aca="1" ref="ED7" ca="1">_xlfn.IFS(N7="repo",0,N7="sold",DY7-DZ7,N7&lt;&gt;"",DT7-DY7-EB7,N7="",0)</f>
        <v>#N/A</v>
      </c>
      <c r="EE7" s="237" t="e">
        <f t="shared" ref="EE7:EE44" ca="1" si="37">IF($DG$7="loan",IF(ED7&lt;0,0,EB7+ED7),0)</f>
        <v>#N/A</v>
      </c>
      <c r="EF7" s="237" t="e">
        <f ca="1">IF($DG$7="loan",0,EB7+ED7)</f>
        <v>#N/A</v>
      </c>
      <c r="EG7" s="237" t="e">
        <f t="shared" ref="EG7:EG44" ca="1" si="38">IF(OR(N7="repo",N7="sold"),0,DR7-DS7-DY7-EB7-ED7)</f>
        <v>#N/A</v>
      </c>
    </row>
    <row r="8" spans="1:137" x14ac:dyDescent="0.3">
      <c r="B8" s="83" t="e" cm="1" vm="1">
        <f t="array" ref="B8">_xlfn._xlws.SORT(_xlfn._xlws.FILTER(Transaction[[pam_code]:[Addition]],Transaction[pam_code]&lt;&gt;""),17,1)</f>
        <v>#VALUE!</v>
      </c>
      <c r="C8" s="205"/>
      <c r="D8" s="84"/>
      <c r="E8" s="84"/>
      <c r="F8" s="190"/>
      <c r="G8" s="190"/>
      <c r="H8" s="190"/>
      <c r="I8" s="190"/>
      <c r="J8" s="85"/>
      <c r="K8" s="85"/>
      <c r="L8" s="113"/>
      <c r="M8" s="87"/>
      <c r="N8" s="191"/>
      <c r="O8" s="272"/>
      <c r="P8" s="184"/>
      <c r="Q8" s="231"/>
      <c r="R8" s="231"/>
      <c r="S8" s="114"/>
      <c r="T8" s="115"/>
      <c r="U8" s="6"/>
      <c r="V8" s="90"/>
      <c r="W8" s="260"/>
      <c r="X8" s="260"/>
      <c r="Y8" s="89"/>
      <c r="Z8" s="91"/>
      <c r="AA8" s="97" t="e" cm="1">
        <f t="array" aca="1" ref="AA8" ca="1">IF(N8="vd",_xlfn.XLOOKUP(B8,INDIRECT("'"&amp;$A$1&amp;"'!"&amp;$AK$1&amp;"[pam_code]"),INDIRECT("'"&amp;$A$1&amp;"'!"&amp;$AK$1&amp;"[int_rate]")),AA7)</f>
        <v>#N/A</v>
      </c>
      <c r="AB8" s="116" t="e" cm="1">
        <f t="array" aca="1" ref="AB8" ca="1">IF(N8="vd",_xlfn.XLOOKUP(B8,INDIRECT("'"&amp;$A$1&amp;"'!"&amp;$AK$1&amp;"[pam_code]"),INDIRECT("'"&amp;$A$1&amp;"'!"&amp;$AK$1&amp;"[eir_rate]")),AB7)</f>
        <v>#N/A</v>
      </c>
      <c r="AC8" s="117" t="e">
        <f t="shared" ref="AC8:AC44" ca="1" si="39">IF(N8="sold",7%,$AC$7)</f>
        <v>#N/A</v>
      </c>
      <c r="AD8" s="93" cm="1">
        <f t="array" aca="1" ref="AD8" ca="1">IFERROR(_xlfn.IFS(G7="jm_vat",(BT7+BW7+CC7)/CG7,G7="npl_vat",(BQ7+BZ7)/CG7,G7="cm_vat",(BT7+BW7+BZ7)/CG7,ISNUMBER(FIND("_all_vat",G8)),CF7/CG7,NOT(ISNUMBER(FIND("_vat",G8))),0,G7=0,0,AND(N8="sold",$DG$7="hp"),0),0)</f>
        <v>0</v>
      </c>
      <c r="AE8" s="94" t="e">
        <f t="shared" ca="1" si="0"/>
        <v>#N/A</v>
      </c>
      <c r="AF8" s="94" t="e">
        <f t="shared" ca="1" si="1"/>
        <v>#N/A</v>
      </c>
      <c r="AG8" s="95">
        <f t="shared" ca="1" si="2"/>
        <v>0</v>
      </c>
      <c r="AH8" s="95" t="e">
        <f t="shared" ca="1" si="3"/>
        <v>#N/A</v>
      </c>
      <c r="AK8" s="100" cm="1">
        <f t="array" aca="1" ref="AK8" ca="1">IF(N8="vd",_xlfn.XLOOKUP($B$4,INDIRECT("'"&amp;$A$1&amp;"'!"&amp;$AK$1&amp;"[pam_code]"),INDIRECT("'"&amp;$A$1&amp;"'!"&amp;$AK$1&amp;"[verdict_expense_balance]")),
IF(N8="sold",W8,0))</f>
        <v>0</v>
      </c>
      <c r="AL8" s="96" t="e">
        <f t="shared" ca="1" si="4"/>
        <v>#N/A</v>
      </c>
      <c r="AM8" s="96" t="e">
        <f ca="1">AM7+AK8-AL8</f>
        <v>#N/A</v>
      </c>
      <c r="AN8" s="97" t="e">
        <f t="shared" ref="AN8:AN44" ca="1" si="40">IF(N8="vd",0,AB8)</f>
        <v>#N/A</v>
      </c>
      <c r="AO8" s="98" t="e">
        <f t="shared" ca="1" si="5"/>
        <v>#N/A</v>
      </c>
      <c r="AP8" s="99" t="e">
        <f ca="1">((AU7+AM7)*(AN8/365)*AO8)</f>
        <v>#N/A</v>
      </c>
      <c r="AQ8" s="96">
        <f t="shared" si="6"/>
        <v>0</v>
      </c>
      <c r="AR8" s="96" t="e">
        <f ca="1">AR7+AP8-AQ8</f>
        <v>#N/A</v>
      </c>
      <c r="AS8" s="100">
        <f t="shared" ref="AS8:AS44" si="41">IF(N8="aq",S8,0)</f>
        <v>0</v>
      </c>
      <c r="AT8" s="96" t="e">
        <f t="shared" ca="1" si="7"/>
        <v>#N/A</v>
      </c>
      <c r="AU8" s="96" t="e">
        <f ca="1">AU7+AS8-AT8</f>
        <v>#N/A</v>
      </c>
      <c r="AV8" s="118"/>
      <c r="AW8" s="100" t="e">
        <f t="shared" ca="1" si="8"/>
        <v>#N/A</v>
      </c>
      <c r="AX8" s="118"/>
      <c r="AY8" s="100"/>
      <c r="BB8" s="100" cm="1">
        <f t="array" aca="1" ref="BB8" ca="1">IF(N8="vd",_xlfn.XLOOKUP(B8,INDIRECT("'"&amp;$A$1&amp;"'!"&amp;$AK$1&amp;"[pam_code]"),INDIRECT("'"&amp;$A$1&amp;"'!"&amp;$AK$1&amp;"[verdict_expense_balance]")),
IF(N8="sold",W8,0))</f>
        <v>0</v>
      </c>
      <c r="BC8" s="100" t="e">
        <f t="shared" ca="1" si="9"/>
        <v>#N/A</v>
      </c>
      <c r="BD8" s="96" t="e">
        <f ca="1">BD7+BB8-BC8</f>
        <v>#N/A</v>
      </c>
      <c r="BE8" s="100" cm="1">
        <f t="array" aca="1" ref="BE8" ca="1">IF(N8="vd",_xlfn.XLOOKUP(B8,INDIRECT("'"&amp;$A$1&amp;"'!"&amp;$AK$1&amp;"[pam_code]"),INDIRECT("'"&amp;$A$1&amp;"'!"&amp;$AK$1&amp;"[verdict_outlay_balance]")),0)</f>
        <v>0</v>
      </c>
      <c r="BF8" s="100" t="e">
        <f t="shared" ca="1" si="10"/>
        <v>#N/A</v>
      </c>
      <c r="BG8" s="96" t="e">
        <f t="shared" ref="BG8:BG24" ca="1" si="42">BG7+BE8-BF8</f>
        <v>#N/A</v>
      </c>
      <c r="BH8" s="100" cm="1">
        <f t="array" aca="1" ref="BH8" ca="1">IF(N8="vd",_xlfn.XLOOKUP(B8,INDIRECT("'"&amp;$A$1&amp;"'!"&amp;$AK$1&amp;"[pam_code]"),INDIRECT("'"&amp;$A$1&amp;"'!"&amp;$AK$1&amp;"[verdict_loss_balance]")),0)</f>
        <v>0</v>
      </c>
      <c r="BI8" s="100" t="e">
        <f t="shared" ca="1" si="11"/>
        <v>#N/A</v>
      </c>
      <c r="BJ8" s="96" t="e">
        <f t="shared" ref="BJ8:BJ24" ca="1" si="43">BJ7+BH8-BI8</f>
        <v>#N/A</v>
      </c>
      <c r="BK8" s="100" cm="1">
        <f t="array" aca="1" ref="BK8" ca="1">IF(N8="vd",_xlfn.XLOOKUP(B8,INDIRECT("'"&amp;$A$1&amp;"'!"&amp;$AK$1&amp;"[pam_code]"),INDIRECT("'"&amp;$A$1&amp;"'!"&amp;$AK$1&amp;"[verdict_penalty_balance]")),0)</f>
        <v>0</v>
      </c>
      <c r="BL8" s="100" t="e">
        <f t="shared" ca="1" si="12"/>
        <v>#N/A</v>
      </c>
      <c r="BM8" s="96" t="e">
        <f t="shared" ref="BM8:BM24" ca="1" si="44">BM7+BK8-BL8</f>
        <v>#N/A</v>
      </c>
      <c r="BN8" s="102" t="e">
        <f t="shared" ca="1" si="13"/>
        <v>#N/A</v>
      </c>
      <c r="BO8" s="119" cm="1">
        <f t="array" aca="1" ref="BO8" ca="1">IF(N8="vd",_xlfn.XLOOKUP(B8,INDIRECT("'"&amp;$A$1&amp;"'!"&amp;$AK$1&amp;"[pam_code]"),INDIRECT("'"&amp;$A$1&amp;"'!"&amp;$AK$1&amp;"[verdict_oldinterest_balance]")),IF(N8="add",Z8,0))</f>
        <v>0</v>
      </c>
      <c r="BP8" s="104" t="e">
        <f t="shared" ca="1" si="14"/>
        <v>#N/A</v>
      </c>
      <c r="BQ8" s="105" t="e">
        <f t="shared" ref="BQ8:BQ24" ca="1" si="45">BQ7+BO8-BP8</f>
        <v>#N/A</v>
      </c>
      <c r="BR8" s="100" cm="1">
        <f t="array" aca="1" ref="BR8" ca="1">IF(N8="vd",_xlfn.XLOOKUP(B8,INDIRECT("'"&amp;$A$1&amp;"'!"&amp;$AK$1&amp;"[pam_code]"),INDIRECT("'"&amp;$A$1&amp;"'!"&amp;$AK$1&amp;"[verdict_opportunitycost_balance]")),0)</f>
        <v>0</v>
      </c>
      <c r="BS8" s="106" t="e">
        <f t="shared" ca="1" si="15"/>
        <v>#N/A</v>
      </c>
      <c r="BT8" s="96" t="e">
        <f t="shared" ref="BT8:BT24" ca="1" si="46">BT7+BR8-BS8</f>
        <v>#N/A</v>
      </c>
      <c r="BU8" s="109" cm="1">
        <f t="array" aca="1" ref="BU8" ca="1">IF(N8="vd",_xlfn.XLOOKUP(B8,INDIRECT("'"&amp;$A$1&amp;"'!"&amp;$AK$1&amp;"[pam_code]"),INDIRECT("'"&amp;$A$1&amp;"'!"&amp;$AK$1&amp;"[verdict_oldcharge_balance]")),0)</f>
        <v>0</v>
      </c>
      <c r="BV8" s="108" t="e">
        <f t="shared" ca="1" si="16"/>
        <v>#N/A</v>
      </c>
      <c r="BW8" s="109" t="e">
        <f t="shared" ref="BW8:BW24" ca="1" si="47">BW7+BU8-BV8</f>
        <v>#N/A</v>
      </c>
      <c r="BX8" s="109" cm="1">
        <f t="array" aca="1" ref="BX8" ca="1">IF(N8="vd",_xlfn.XLOOKUP(B8,INDIRECT("'"&amp;$A$1&amp;"'!"&amp;$AK$1&amp;"[pam_code]"),INDIRECT("'"&amp;$A$1&amp;"'!"&amp;$AK$1&amp;"[verdict_principal_balance]")),0)</f>
        <v>0</v>
      </c>
      <c r="BY8" s="109" t="e">
        <f t="shared" ca="1" si="17"/>
        <v>#N/A</v>
      </c>
      <c r="BZ8" s="109" t="e">
        <f t="shared" ref="BZ8:BZ24" ca="1" si="48">BZ7+BX8-BY8</f>
        <v>#N/A</v>
      </c>
      <c r="CA8" s="109" cm="1">
        <f t="array" aca="1" ref="CA8" ca="1">IF(N8="vd",_xlfn.XLOOKUP(B8,INDIRECT("'"&amp;$A$1&amp;"'!"&amp;$AK$1&amp;"[pam_code]"),INDIRECT("'"&amp;$A$1&amp;"'!"&amp;$AK$1&amp;"[verdict_replacement_balance]")),0)</f>
        <v>0</v>
      </c>
      <c r="CB8" s="108" t="e">
        <f t="shared" ca="1" si="18"/>
        <v>#N/A</v>
      </c>
      <c r="CC8" s="109" t="e">
        <f t="shared" ref="CC8:CC24" ca="1" si="49">CC7+CA8-CB8</f>
        <v>#N/A</v>
      </c>
      <c r="CD8" s="109" cm="1">
        <f t="array" aca="1" ref="CD8" ca="1">IF(N8="vd",_xlfn.XLOOKUP(B8,INDIRECT("'"&amp;$A$1&amp;"'!"&amp;$AK$1&amp;"[pam_code]"),INDIRECT("'"&amp;$A$1&amp;"'!"&amp;$AK$1&amp;"[verdict_all_balance]")),0)</f>
        <v>0</v>
      </c>
      <c r="CE8" s="109" t="e">
        <f t="shared" ca="1" si="19"/>
        <v>#N/A</v>
      </c>
      <c r="CF8" s="109" t="e">
        <f t="shared" ref="CF8:CF24" ca="1" si="50">CF7+CD8-CE8</f>
        <v>#N/A</v>
      </c>
      <c r="CG8" s="109" t="e">
        <f t="shared" ref="CG8:CG44" ca="1" si="51">IF(CF8=0,SUM(BD8,BG8,BJ8,BM8,BQ8,BT8,BW8,BZ8,CC8),BD8+CF8)</f>
        <v>#N/A</v>
      </c>
      <c r="CH8" s="109">
        <f t="shared" ref="CH8:CH44" si="52">IF(G8="jm_vat",(BT8+BW8+CC8)*AC8,IF(G8="npl_vat",(BZ8+BQ8)*AC8,IF(G8="cm_vat",(BT8+BW8+BZ8)*AC8,IF(OR(G8="jm_all_vat",G8="npl_all_vat",G8="cm_all_vat"),CF8*AC8,0))))</f>
        <v>0</v>
      </c>
      <c r="CI8" s="109" t="e">
        <f t="shared" ref="CI8:CI44" ca="1" si="53">IF(CF8=0,SUM(BD8,BG8,BJ8,BM8,BQ8,BT8,BW8,BZ8,CC8,CH8),CG8+CH8)</f>
        <v>#N/A</v>
      </c>
      <c r="CJ8" s="109">
        <f t="shared" ref="CJ8:CJ44" si="54">IF(G8="jm_vat",BT8+BW8+CC8+CH8,IF(G8="npl_vat",BQ8+BZ8+CH8,IF(G8="cm_vat",BT8+BW8+BZ8+CH8,IF(OR(G8="jm_all_vat",G8="npl_all_vat",G8="cm_all_vat"),CF8+CH8,0))))</f>
        <v>0</v>
      </c>
      <c r="CK8" s="109">
        <f t="shared" ref="CK8:CK44" si="55">IF(G8="jm_vat",BD8+BG8+BJ8+BM8+BQ8+BZ8,IF(G8="cm_vat",BD8+BG8+BJ8+BM8+BQ8+CC8,IF(G8="npl_vat",BD8+BG8+BJ8+BM8+BT8+BW8+CC8,IF(OR(G8="jm_all_vat",G8="npl_all_vat",G8="cm_all_vat"),BD8,0))))</f>
        <v>0</v>
      </c>
      <c r="CL8" s="230" t="str">
        <f>IF(CL7&lt;&gt;"",IF(AND(G8="jm_vat",N8="sold",CL7&lt;&gt;IF(AND(G8="jm_vat",N8="sold"),IF(CM8&gt;0,"Profit","Loss"),"No information")),IF(CM8&gt;0,"Profit","Loss"),CL7),"No information")</f>
        <v>No information</v>
      </c>
      <c r="CM8" s="109" t="e">
        <f t="shared" ref="CM8:CM44" ca="1" si="56">IF(CM7&lt;&gt;IF(AND(G8="jm_vat",N8="sold"),AF8-CC7,0),IF(AND(G8="jm_vat",N8="sold"),AF8-CC7,CM7),0)</f>
        <v>#N/A</v>
      </c>
      <c r="CN8" s="109" t="e">
        <f t="shared" ca="1" si="20"/>
        <v>#N/A</v>
      </c>
      <c r="CO8" s="90" t="e">
        <f t="shared" ca="1" si="21"/>
        <v>#N/A</v>
      </c>
      <c r="CQ8" s="96" t="e">
        <f ca="1">CQ7</f>
        <v>#N/A</v>
      </c>
      <c r="CR8" s="100" t="e">
        <f t="shared" ref="CR8:CS23" ca="1" si="57">CR7</f>
        <v>#N/A</v>
      </c>
      <c r="CS8" s="120" t="e">
        <f t="shared" ca="1" si="57"/>
        <v>#N/A</v>
      </c>
      <c r="CT8" s="112" t="e">
        <f t="shared" ca="1" si="22"/>
        <v>#N/A</v>
      </c>
      <c r="CU8" s="112" t="e">
        <f ca="1">DC8+CY8</f>
        <v>#N/A</v>
      </c>
      <c r="CV8" s="97" t="e">
        <f t="shared" ca="1" si="23"/>
        <v>#N/A</v>
      </c>
      <c r="CW8" s="100" cm="1">
        <f t="array" aca="1" ref="CW8" ca="1">IF(N8="vd",_xlfn.XLOOKUP(B8,INDIRECT("'"&amp;$A$1&amp;"'!"&amp;$AK$1&amp;"[pam_code]"),INDIRECT("'"&amp;$A$1&amp;"'!"&amp;$AK$1&amp;"[verdict_expense_balance]")),
IF(N8="sold",W8,0))</f>
        <v>0</v>
      </c>
      <c r="CX8" s="100" t="e">
        <f t="shared" ca="1" si="24"/>
        <v>#N/A</v>
      </c>
      <c r="CY8" s="96" t="e">
        <f ca="1">CY7+CW8-CX8</f>
        <v>#N/A</v>
      </c>
      <c r="CZ8" s="100" t="e">
        <f t="shared" ca="1" si="25"/>
        <v>#N/A</v>
      </c>
      <c r="DA8" s="100">
        <f t="shared" si="26"/>
        <v>0</v>
      </c>
      <c r="DB8" s="100" t="e">
        <f t="shared" ca="1" si="27"/>
        <v>#N/A</v>
      </c>
      <c r="DC8" s="96" t="e">
        <f t="shared" ca="1" si="28"/>
        <v>#N/A</v>
      </c>
      <c r="DD8" s="100" t="e">
        <f t="shared" ca="1" si="29"/>
        <v>#N/A</v>
      </c>
      <c r="DE8" s="100" t="e">
        <f t="shared" ref="DE8:DE44" ca="1" si="58">CZ8+DD8</f>
        <v>#N/A</v>
      </c>
      <c r="DF8"/>
      <c r="DG8" s="252"/>
      <c r="DH8" s="252"/>
      <c r="DI8" s="234" t="e" vm="2">
        <f t="shared" ref="DI8:DI44" si="59">B8</f>
        <v>#VALUE!</v>
      </c>
      <c r="DJ8" s="234">
        <f t="shared" ref="DJ8:DJ44" si="60">C8</f>
        <v>0</v>
      </c>
      <c r="DK8" s="234">
        <f t="shared" ref="DK8:DK44" si="61">D8</f>
        <v>0</v>
      </c>
      <c r="DL8" s="234">
        <f t="shared" ref="DL8:DL44" si="62">E8</f>
        <v>0</v>
      </c>
      <c r="DM8" s="234">
        <f t="shared" ref="DM8:DM44" si="63">F8</f>
        <v>0</v>
      </c>
      <c r="DN8" s="235">
        <f t="shared" ref="DN8:DN44" si="64">G8</f>
        <v>0</v>
      </c>
      <c r="DO8" s="236">
        <f t="shared" si="32"/>
        <v>0</v>
      </c>
      <c r="DP8" s="245" t="e">
        <f t="shared" ref="DP8:DP44" ca="1" si="65">IF(OR(DO8-DO7&lt;0,DO7=0),0,DO8-DO7)</f>
        <v>#N/A</v>
      </c>
      <c r="DQ8" s="235"/>
      <c r="DR8" s="237">
        <f t="shared" si="33"/>
        <v>0</v>
      </c>
      <c r="DS8" s="237" t="e">
        <f t="shared" ref="DS8:DS44" ca="1" si="66">AE8</f>
        <v>#N/A</v>
      </c>
      <c r="DT8" s="237" t="e">
        <f t="shared" ref="DT8:DT44" ca="1" si="67">DR8-DS8</f>
        <v>#N/A</v>
      </c>
      <c r="DU8" s="237" t="e">
        <f ca="1">IF(OR(N8="vd",N8="dis"),CG8,DU7)</f>
        <v>#N/A</v>
      </c>
      <c r="DV8" s="237" t="e">
        <f ca="1">IF(N8="aq",$DQ$7,IF(OR(N8="vd",N8="dis"),DZ7,DV7))</f>
        <v>#N/A</v>
      </c>
      <c r="DW8" s="241" t="e">
        <f t="shared" ca="1" si="34"/>
        <v>#N/A</v>
      </c>
      <c r="DX8" s="238" t="e">
        <f t="shared" ca="1" si="35"/>
        <v>#N/A</v>
      </c>
      <c r="DY8" s="237" t="e" cm="1">
        <f t="array" aca="1" ref="DY8" ca="1">_xlfn.UNIQUE(IF(CI8=0,DZ7,IF(N8="repo",DZ7,IF(N8="sold",DT8,IF(ISERR(_xlfn._xlws.FILTER($N$7:N8,$N$7:N8="sold")),MIN(DT8*DW8,DZ7),0)))))</f>
        <v>#N/A</v>
      </c>
      <c r="DZ8" s="237" t="e" cm="1">
        <f t="array" aca="1" ref="DZ8" ca="1">_xlfn.UNIQUE(IF(N8="aq",DQ8,IF(N8="sold",_xlfn._xlws.FILTER($DY$7:DY8,$N$7:N8="repo"),IF(ISERR(_xlfn._xlws.FILTER($N$7:N8,$N$7:N8="sold")),DZ7-DY8,0))))</f>
        <v>#N/A</v>
      </c>
      <c r="EA8" s="237" t="e" cm="1">
        <f t="array" aca="1" ref="EA8" ca="1">IF(OR(N8="repo",IFERROR(_xlfn._xlws.FILTER($N$7:N8,$N$7:N8="sold")="sold",FALSE)),0,DP8*DZ7*(DX8/365))</f>
        <v>#N/A</v>
      </c>
      <c r="EB8" s="237" t="e">
        <f t="shared" ca="1" si="36"/>
        <v>#N/A</v>
      </c>
      <c r="EC8" s="237" t="e">
        <f t="shared" ref="EC8:EC44" ca="1" si="68">EC7+EA8-EB8</f>
        <v>#N/A</v>
      </c>
      <c r="ED8" s="237" cm="1">
        <f t="array" aca="1" ref="ED8" ca="1">_xlfn.IFS(N8="repo",0,N8="sold",DY8-DZ8,N8&lt;&gt;"",DT8-DY8-EB8,N8="",0)</f>
        <v>0</v>
      </c>
      <c r="EE8" s="237" t="e">
        <f t="shared" ca="1" si="37"/>
        <v>#N/A</v>
      </c>
      <c r="EF8" s="237" t="e">
        <f t="shared" ref="EF8:EF44" ca="1" si="69">IF($DG$7="loan",0,EB8+ED8)</f>
        <v>#N/A</v>
      </c>
      <c r="EG8" s="237" t="e">
        <f t="shared" ca="1" si="38"/>
        <v>#N/A</v>
      </c>
    </row>
    <row r="9" spans="1:137" x14ac:dyDescent="0.3">
      <c r="B9" s="83"/>
      <c r="C9" s="205"/>
      <c r="D9" s="84"/>
      <c r="E9" s="84"/>
      <c r="F9" s="190"/>
      <c r="G9" s="190"/>
      <c r="H9" s="190"/>
      <c r="I9" s="190"/>
      <c r="J9" s="85"/>
      <c r="K9" s="85"/>
      <c r="L9" s="86"/>
      <c r="M9" s="87"/>
      <c r="N9" s="191"/>
      <c r="O9" s="272"/>
      <c r="P9" s="184"/>
      <c r="Q9" s="231"/>
      <c r="R9" s="231"/>
      <c r="S9" s="89"/>
      <c r="T9" s="115"/>
      <c r="U9" s="6"/>
      <c r="V9" s="90"/>
      <c r="W9" s="260"/>
      <c r="X9" s="260"/>
      <c r="Y9" s="89"/>
      <c r="Z9" s="91"/>
      <c r="AA9" s="97" t="e" cm="1">
        <f t="array" aca="1" ref="AA9" ca="1">IF(N9="vd",_xlfn.XLOOKUP(B9,INDIRECT("'"&amp;$A$1&amp;"'!"&amp;$AK$1&amp;"[pam_code]"),INDIRECT("'"&amp;$A$1&amp;"'!"&amp;$AK$1&amp;"[int_rate]")),AA8)</f>
        <v>#N/A</v>
      </c>
      <c r="AB9" s="116" t="e" cm="1">
        <f t="array" aca="1" ref="AB9" ca="1">IF(N9="vd",_xlfn.XLOOKUP(B9,INDIRECT("'"&amp;$A$1&amp;"'!"&amp;$AK$1&amp;"[pam_code]"),INDIRECT("'"&amp;$A$1&amp;"'!"&amp;$AK$1&amp;"[eir_rate]")),AB8)</f>
        <v>#N/A</v>
      </c>
      <c r="AC9" s="117" t="e">
        <f t="shared" ca="1" si="39"/>
        <v>#N/A</v>
      </c>
      <c r="AD9" s="93" cm="1">
        <f t="array" aca="1" ref="AD9" ca="1">IFERROR(_xlfn.IFS(G8="jm_vat",(BT8+BW8+CC8)/CG8,G8="npl_vat",(BQ8+BZ8)/CG8,G8="cm_vat",(BT8+BW8+BZ8)/CG8,ISNUMBER(FIND("_all_vat",G9)),CF8/CG8,NOT(ISNUMBER(FIND("_vat",G9))),0,G8=0,0,AND(N9="sold",$DG$7="hp"),0),0)</f>
        <v>0</v>
      </c>
      <c r="AE9" s="94" t="e">
        <f t="shared" ca="1" si="0"/>
        <v>#N/A</v>
      </c>
      <c r="AF9" s="94" t="e">
        <f t="shared" ca="1" si="1"/>
        <v>#N/A</v>
      </c>
      <c r="AG9" s="95">
        <f t="shared" ca="1" si="2"/>
        <v>0</v>
      </c>
      <c r="AH9" s="95">
        <f t="shared" ca="1" si="3"/>
        <v>0</v>
      </c>
      <c r="AK9" s="100" cm="1">
        <f t="array" aca="1" ref="AK9" ca="1">IF(N9="vd",_xlfn.XLOOKUP($B$4,INDIRECT("'"&amp;$A$1&amp;"'!"&amp;$AK$1&amp;"[pam_code]"),INDIRECT("'"&amp;$A$1&amp;"'!"&amp;$AK$1&amp;"[verdict_expense_balance]")),
IF(N9="sold",W9,0))</f>
        <v>0</v>
      </c>
      <c r="AL9" s="96" t="e">
        <f t="shared" ca="1" si="4"/>
        <v>#N/A</v>
      </c>
      <c r="AM9" s="96" t="e">
        <f ca="1">AM8+AK9-AL9</f>
        <v>#N/A</v>
      </c>
      <c r="AN9" s="97" t="e">
        <f t="shared" ca="1" si="40"/>
        <v>#N/A</v>
      </c>
      <c r="AO9" s="98">
        <f t="shared" si="5"/>
        <v>0</v>
      </c>
      <c r="AP9" s="99" t="e">
        <f t="shared" ref="AP9:AP24" ca="1" si="70">((AU8+AM8)*(AN9/365)*AO9)</f>
        <v>#N/A</v>
      </c>
      <c r="AQ9" s="96">
        <f t="shared" si="6"/>
        <v>0</v>
      </c>
      <c r="AR9" s="96" t="e">
        <f ca="1">AR8+AP9-AQ9</f>
        <v>#N/A</v>
      </c>
      <c r="AS9" s="100">
        <f t="shared" si="41"/>
        <v>0</v>
      </c>
      <c r="AT9" s="96" t="e">
        <f t="shared" ca="1" si="7"/>
        <v>#N/A</v>
      </c>
      <c r="AU9" s="96" t="e">
        <f ca="1">AU8+AS9-AT9</f>
        <v>#N/A</v>
      </c>
      <c r="AV9" s="118"/>
      <c r="AW9" s="100" t="e">
        <f t="shared" ca="1" si="8"/>
        <v>#N/A</v>
      </c>
      <c r="AX9" s="118"/>
      <c r="AY9" s="100"/>
      <c r="BB9" s="100" cm="1">
        <f t="array" aca="1" ref="BB9" ca="1">IF(N9="vd",_xlfn.XLOOKUP(B9,INDIRECT("'"&amp;$A$1&amp;"'!"&amp;$AK$1&amp;"[pam_code]"),INDIRECT("'"&amp;$A$1&amp;"'!"&amp;$AK$1&amp;"[verdict_expense_balance]")),
IF(N9="sold",W9,0))</f>
        <v>0</v>
      </c>
      <c r="BC9" s="100" t="e">
        <f t="shared" ca="1" si="9"/>
        <v>#N/A</v>
      </c>
      <c r="BD9" s="96" t="e">
        <f t="shared" ref="BD9:BD24" ca="1" si="71">BD8+BB9-BC9</f>
        <v>#N/A</v>
      </c>
      <c r="BE9" s="100" cm="1">
        <f t="array" aca="1" ref="BE9" ca="1">IF(N9="vd",_xlfn.XLOOKUP(B9,INDIRECT("'"&amp;$A$1&amp;"'!"&amp;$AK$1&amp;"[pam_code]"),INDIRECT("'"&amp;$A$1&amp;"'!"&amp;$AK$1&amp;"[verdict_outlay_balance]")),0)</f>
        <v>0</v>
      </c>
      <c r="BF9" s="100" t="e">
        <f t="shared" ca="1" si="10"/>
        <v>#N/A</v>
      </c>
      <c r="BG9" s="96" t="e">
        <f t="shared" ca="1" si="42"/>
        <v>#N/A</v>
      </c>
      <c r="BH9" s="100" cm="1">
        <f t="array" aca="1" ref="BH9" ca="1">IF(N9="vd",_xlfn.XLOOKUP(B9,INDIRECT("'"&amp;$A$1&amp;"'!"&amp;$AK$1&amp;"[pam_code]"),INDIRECT("'"&amp;$A$1&amp;"'!"&amp;$AK$1&amp;"[verdict_loss_balance]")),0)</f>
        <v>0</v>
      </c>
      <c r="BI9" s="100" t="e">
        <f t="shared" ca="1" si="11"/>
        <v>#N/A</v>
      </c>
      <c r="BJ9" s="96" t="e">
        <f t="shared" ca="1" si="43"/>
        <v>#N/A</v>
      </c>
      <c r="BK9" s="100" cm="1">
        <f t="array" aca="1" ref="BK9" ca="1">IF(N9="vd",_xlfn.XLOOKUP(B9,INDIRECT("'"&amp;$A$1&amp;"'!"&amp;$AK$1&amp;"[pam_code]"),INDIRECT("'"&amp;$A$1&amp;"'!"&amp;$AK$1&amp;"[verdict_penalty_balance]")),0)</f>
        <v>0</v>
      </c>
      <c r="BL9" s="100" t="e">
        <f t="shared" ca="1" si="12"/>
        <v>#N/A</v>
      </c>
      <c r="BM9" s="96" t="e">
        <f t="shared" ca="1" si="44"/>
        <v>#N/A</v>
      </c>
      <c r="BN9" s="102">
        <f t="shared" si="13"/>
        <v>0</v>
      </c>
      <c r="BO9" s="119" cm="1">
        <f t="array" aca="1" ref="BO9" ca="1">IF(N9="vd",_xlfn.XLOOKUP(B9,INDIRECT("'"&amp;$A$1&amp;"'!"&amp;$AK$1&amp;"[pam_code]"),INDIRECT("'"&amp;$A$1&amp;"'!"&amp;$AK$1&amp;"[verdict_oldinterest_balance]")),IF(N9="add",Z9,0))</f>
        <v>0</v>
      </c>
      <c r="BP9" s="104" t="e">
        <f t="shared" ca="1" si="14"/>
        <v>#N/A</v>
      </c>
      <c r="BQ9" s="105" t="e">
        <f t="shared" ca="1" si="45"/>
        <v>#N/A</v>
      </c>
      <c r="BR9" s="100" cm="1">
        <f t="array" aca="1" ref="BR9" ca="1">IF(N9="vd",_xlfn.XLOOKUP(B9,INDIRECT("'"&amp;$A$1&amp;"'!"&amp;$AK$1&amp;"[pam_code]"),INDIRECT("'"&amp;$A$1&amp;"'!"&amp;$AK$1&amp;"[verdict_opportunitycost_balance]")),0)</f>
        <v>0</v>
      </c>
      <c r="BS9" s="106" t="e">
        <f t="shared" ca="1" si="15"/>
        <v>#N/A</v>
      </c>
      <c r="BT9" s="96" t="e">
        <f t="shared" ca="1" si="46"/>
        <v>#N/A</v>
      </c>
      <c r="BU9" s="109" cm="1">
        <f t="array" aca="1" ref="BU9" ca="1">IF(N9="vd",_xlfn.XLOOKUP(B9,INDIRECT("'"&amp;$A$1&amp;"'!"&amp;$AK$1&amp;"[pam_code]"),INDIRECT("'"&amp;$A$1&amp;"'!"&amp;$AK$1&amp;"[verdict_oldcharge_balance]")),0)</f>
        <v>0</v>
      </c>
      <c r="BV9" s="108" t="e">
        <f t="shared" ca="1" si="16"/>
        <v>#N/A</v>
      </c>
      <c r="BW9" s="109" t="e">
        <f t="shared" ca="1" si="47"/>
        <v>#N/A</v>
      </c>
      <c r="BX9" s="109" cm="1">
        <f t="array" aca="1" ref="BX9" ca="1">IF(N9="vd",_xlfn.XLOOKUP(B9,INDIRECT("'"&amp;$A$1&amp;"'!"&amp;$AK$1&amp;"[pam_code]"),INDIRECT("'"&amp;$A$1&amp;"'!"&amp;$AK$1&amp;"[verdict_principal_balance]")),0)</f>
        <v>0</v>
      </c>
      <c r="BY9" s="109" t="e">
        <f t="shared" ca="1" si="17"/>
        <v>#N/A</v>
      </c>
      <c r="BZ9" s="109" t="e">
        <f t="shared" ca="1" si="48"/>
        <v>#N/A</v>
      </c>
      <c r="CA9" s="109" cm="1">
        <f t="array" aca="1" ref="CA9" ca="1">IF(N9="vd",_xlfn.XLOOKUP(B9,INDIRECT("'"&amp;$A$1&amp;"'!"&amp;$AK$1&amp;"[pam_code]"),INDIRECT("'"&amp;$A$1&amp;"'!"&amp;$AK$1&amp;"[verdict_replacement_balance]")),0)</f>
        <v>0</v>
      </c>
      <c r="CB9" s="108" t="e">
        <f t="shared" ca="1" si="18"/>
        <v>#N/A</v>
      </c>
      <c r="CC9" s="109" t="e">
        <f t="shared" ca="1" si="49"/>
        <v>#N/A</v>
      </c>
      <c r="CD9" s="109" cm="1">
        <f t="array" aca="1" ref="CD9" ca="1">IF(N9="vd",_xlfn.XLOOKUP(B9,INDIRECT("'"&amp;$A$1&amp;"'!"&amp;$AK$1&amp;"[pam_code]"),INDIRECT("'"&amp;$A$1&amp;"'!"&amp;$AK$1&amp;"[verdict_all_balance]")),0)</f>
        <v>0</v>
      </c>
      <c r="CE9" s="109" t="e">
        <f t="shared" ca="1" si="19"/>
        <v>#N/A</v>
      </c>
      <c r="CF9" s="109" t="e">
        <f t="shared" ca="1" si="50"/>
        <v>#N/A</v>
      </c>
      <c r="CG9" s="109" t="e">
        <f t="shared" ca="1" si="51"/>
        <v>#N/A</v>
      </c>
      <c r="CH9" s="109">
        <f t="shared" si="52"/>
        <v>0</v>
      </c>
      <c r="CI9" s="109" t="e">
        <f t="shared" ca="1" si="53"/>
        <v>#N/A</v>
      </c>
      <c r="CJ9" s="109">
        <f t="shared" si="54"/>
        <v>0</v>
      </c>
      <c r="CK9" s="109">
        <f t="shared" si="55"/>
        <v>0</v>
      </c>
      <c r="CL9" s="230" t="str">
        <f t="shared" ref="CL9:CL44" si="72">IF(CL8&lt;&gt;"",IF(AND(G9="jm_vat",N9="sold",CL8&lt;&gt;IF(AND(G9="jm_vat",N9="sold"),IF(CM9&gt;0,"Profit","Loss"),"No information")),IF(CM9&gt;0,"Profit","Loss"),CL8),"No information")</f>
        <v>No information</v>
      </c>
      <c r="CM9" s="109" t="e">
        <f t="shared" ca="1" si="56"/>
        <v>#N/A</v>
      </c>
      <c r="CN9" s="109" t="e">
        <f t="shared" ca="1" si="20"/>
        <v>#N/A</v>
      </c>
      <c r="CO9" s="90" t="e">
        <f t="shared" ca="1" si="21"/>
        <v>#N/A</v>
      </c>
      <c r="CQ9" s="96" t="e">
        <f t="shared" ref="CQ9:CQ43" ca="1" si="73">CQ8</f>
        <v>#N/A</v>
      </c>
      <c r="CR9" s="100" t="e">
        <f t="shared" ca="1" si="57"/>
        <v>#N/A</v>
      </c>
      <c r="CS9" s="120" t="e">
        <f t="shared" ca="1" si="57"/>
        <v>#N/A</v>
      </c>
      <c r="CT9" s="112" t="e">
        <f t="shared" ca="1" si="22"/>
        <v>#N/A</v>
      </c>
      <c r="CU9" s="112" t="e">
        <f t="shared" ref="CU9:CU44" ca="1" si="74">DC9+CY9</f>
        <v>#N/A</v>
      </c>
      <c r="CV9" s="97" t="e">
        <f t="shared" ca="1" si="23"/>
        <v>#N/A</v>
      </c>
      <c r="CW9" s="100" cm="1">
        <f t="array" aca="1" ref="CW9" ca="1">IF(N9="vd",_xlfn.XLOOKUP(B9,INDIRECT("'"&amp;$A$1&amp;"'!"&amp;$AK$1&amp;"[pam_code]"),INDIRECT("'"&amp;$A$1&amp;"'!"&amp;$AK$1&amp;"[verdict_expense_balance]")),
IF(N9="sold",W9,0))</f>
        <v>0</v>
      </c>
      <c r="CX9" s="100" t="e">
        <f t="shared" ca="1" si="24"/>
        <v>#N/A</v>
      </c>
      <c r="CY9" s="96" t="e">
        <f ca="1">CY8+CW9-CX9</f>
        <v>#N/A</v>
      </c>
      <c r="CZ9" s="100" t="e">
        <f t="shared" ca="1" si="25"/>
        <v>#N/A</v>
      </c>
      <c r="DA9" s="100">
        <f t="shared" si="26"/>
        <v>0</v>
      </c>
      <c r="DB9" s="100" t="e">
        <f t="shared" ca="1" si="27"/>
        <v>#N/A</v>
      </c>
      <c r="DC9" s="96" t="e">
        <f t="shared" ca="1" si="28"/>
        <v>#N/A</v>
      </c>
      <c r="DD9" s="100" t="e">
        <f t="shared" ca="1" si="29"/>
        <v>#N/A</v>
      </c>
      <c r="DE9" s="100" t="e">
        <f t="shared" ca="1" si="58"/>
        <v>#N/A</v>
      </c>
      <c r="DF9"/>
      <c r="DG9" s="252"/>
      <c r="DH9" s="252"/>
      <c r="DI9" s="234">
        <f t="shared" si="59"/>
        <v>0</v>
      </c>
      <c r="DJ9" s="234">
        <f t="shared" si="60"/>
        <v>0</v>
      </c>
      <c r="DK9" s="234">
        <f t="shared" si="61"/>
        <v>0</v>
      </c>
      <c r="DL9" s="234">
        <f t="shared" si="62"/>
        <v>0</v>
      </c>
      <c r="DM9" s="234">
        <f t="shared" si="63"/>
        <v>0</v>
      </c>
      <c r="DN9" s="235">
        <f t="shared" si="64"/>
        <v>0</v>
      </c>
      <c r="DO9" s="236">
        <f t="shared" si="32"/>
        <v>0</v>
      </c>
      <c r="DP9" s="245">
        <f t="shared" si="65"/>
        <v>0</v>
      </c>
      <c r="DQ9" s="235"/>
      <c r="DR9" s="237">
        <f t="shared" si="33"/>
        <v>0</v>
      </c>
      <c r="DS9" s="237" t="e">
        <f t="shared" ca="1" si="66"/>
        <v>#N/A</v>
      </c>
      <c r="DT9" s="237" t="e">
        <f t="shared" ca="1" si="67"/>
        <v>#N/A</v>
      </c>
      <c r="DU9" s="237" t="e">
        <f t="shared" ref="DU9:DU44" ca="1" si="75">IF(OR(N9="vd",N9="dis"),CG9,DU8)</f>
        <v>#N/A</v>
      </c>
      <c r="DV9" s="237" t="e">
        <f t="shared" ref="DV9:DV44" ca="1" si="76">IF(N9="aq",$DQ$7,IF(OR(N9="vd",N9="dis"),DZ8,DV8))</f>
        <v>#N/A</v>
      </c>
      <c r="DW9" s="241" t="e">
        <f t="shared" ca="1" si="34"/>
        <v>#N/A</v>
      </c>
      <c r="DX9" s="238" t="e">
        <f t="shared" ca="1" si="35"/>
        <v>#N/A</v>
      </c>
      <c r="DY9" s="237" t="e" cm="1">
        <f t="array" aca="1" ref="DY9" ca="1">_xlfn.UNIQUE(IF(CI9=0,DZ8,IF(N9="repo",DZ8,IF(N9="sold",DT9,IF(ISERR(_xlfn._xlws.FILTER($N$7:N9,$N$7:N9="sold")),MIN(DT9*DW9,DZ8),0)))))</f>
        <v>#N/A</v>
      </c>
      <c r="DZ9" s="237" t="e" cm="1">
        <f t="array" aca="1" ref="DZ9" ca="1">_xlfn.UNIQUE(IF(N9="aq",DQ9,IF(N9="sold",_xlfn._xlws.FILTER($DY$7:DY9,$N$7:N9="repo"),IF(ISERR(_xlfn._xlws.FILTER($N$7:N9,$N$7:N9="sold")),DZ8-DY9,0))))</f>
        <v>#N/A</v>
      </c>
      <c r="EA9" s="237" t="e" cm="1">
        <f t="array" aca="1" ref="EA9" ca="1">IF(OR(N9="repo",IFERROR(_xlfn._xlws.FILTER($N$7:N9,$N$7:N9="sold")="sold",FALSE)),0,DP9*DZ8*(DX9/365))</f>
        <v>#N/A</v>
      </c>
      <c r="EB9" s="237" t="e">
        <f t="shared" ca="1" si="36"/>
        <v>#N/A</v>
      </c>
      <c r="EC9" s="237" t="e">
        <f t="shared" ca="1" si="68"/>
        <v>#N/A</v>
      </c>
      <c r="ED9" s="237" cm="1">
        <f t="array" aca="1" ref="ED9" ca="1">_xlfn.IFS(N9="repo",0,N9="sold",DY9-DZ9,N9&lt;&gt;"",DT9-DY9-EB9,N9="",0)</f>
        <v>0</v>
      </c>
      <c r="EE9" s="237" t="e">
        <f t="shared" ca="1" si="37"/>
        <v>#N/A</v>
      </c>
      <c r="EF9" s="237" t="e">
        <f t="shared" ca="1" si="69"/>
        <v>#N/A</v>
      </c>
      <c r="EG9" s="237" t="e">
        <f t="shared" ca="1" si="38"/>
        <v>#N/A</v>
      </c>
    </row>
    <row r="10" spans="1:137" x14ac:dyDescent="0.3">
      <c r="B10" s="83"/>
      <c r="C10" s="205"/>
      <c r="D10" s="84"/>
      <c r="E10" s="84"/>
      <c r="F10" s="190"/>
      <c r="G10" s="190"/>
      <c r="H10" s="190"/>
      <c r="I10" s="190"/>
      <c r="J10" s="85"/>
      <c r="K10" s="85"/>
      <c r="L10" s="113"/>
      <c r="M10" s="87"/>
      <c r="N10" s="191"/>
      <c r="O10" s="272"/>
      <c r="P10" s="184"/>
      <c r="Q10" s="231"/>
      <c r="R10" s="231"/>
      <c r="S10" s="114"/>
      <c r="T10" s="115"/>
      <c r="U10" s="6"/>
      <c r="V10" s="90"/>
      <c r="W10" s="260"/>
      <c r="X10" s="260"/>
      <c r="Y10" s="89"/>
      <c r="Z10" s="91"/>
      <c r="AA10" s="97" t="e" cm="1">
        <f t="array" aca="1" ref="AA10" ca="1">IF(N10="vd",_xlfn.XLOOKUP(B10,INDIRECT("'"&amp;$A$1&amp;"'!"&amp;$AK$1&amp;"[pam_code]"),INDIRECT("'"&amp;$A$1&amp;"'!"&amp;$AK$1&amp;"[int_rate]")),AA9)</f>
        <v>#N/A</v>
      </c>
      <c r="AB10" s="116" t="e" cm="1">
        <f t="array" aca="1" ref="AB10" ca="1">IF(N10="vd",_xlfn.XLOOKUP(B10,INDIRECT("'"&amp;$A$1&amp;"'!"&amp;$AK$1&amp;"[pam_code]"),INDIRECT("'"&amp;$A$1&amp;"'!"&amp;$AK$1&amp;"[eir_rate]")),AB9)</f>
        <v>#N/A</v>
      </c>
      <c r="AC10" s="117" t="e">
        <f t="shared" ca="1" si="39"/>
        <v>#N/A</v>
      </c>
      <c r="AD10" s="93" cm="1">
        <f t="array" aca="1" ref="AD10" ca="1">IFERROR(_xlfn.IFS(G9="jm_vat",(BT9+BW9+CC9)/CG9,G9="npl_vat",(BQ9+BZ9)/CG9,G9="cm_vat",(BT9+BW9+BZ9)/CG9,ISNUMBER(FIND("_all_vat",G10)),CF9/CG9,NOT(ISNUMBER(FIND("_vat",G10))),0,G9=0,0,AND(N10="sold",$DG$7="hp"),0),0)</f>
        <v>0</v>
      </c>
      <c r="AE10" s="94" t="e">
        <f t="shared" ca="1" si="0"/>
        <v>#N/A</v>
      </c>
      <c r="AF10" s="94" t="e">
        <f t="shared" ca="1" si="1"/>
        <v>#N/A</v>
      </c>
      <c r="AG10" s="95">
        <f t="shared" ca="1" si="2"/>
        <v>0</v>
      </c>
      <c r="AH10" s="95">
        <f t="shared" ca="1" si="3"/>
        <v>0</v>
      </c>
      <c r="AK10" s="100" cm="1">
        <f t="array" aca="1" ref="AK10" ca="1">IF(N10="vd",_xlfn.XLOOKUP($B$4,INDIRECT("'"&amp;$A$1&amp;"'!"&amp;$AK$1&amp;"[pam_code]"),INDIRECT("'"&amp;$A$1&amp;"'!"&amp;$AK$1&amp;"[verdict_expense_balance]")),
IF(N10="sold",W10,0))</f>
        <v>0</v>
      </c>
      <c r="AL10" s="96" t="e">
        <f t="shared" ca="1" si="4"/>
        <v>#N/A</v>
      </c>
      <c r="AM10" s="96" t="e">
        <f t="shared" ref="AM10:AM24" ca="1" si="77">AM9+AK10-AL10</f>
        <v>#N/A</v>
      </c>
      <c r="AN10" s="97" t="e">
        <f t="shared" ca="1" si="40"/>
        <v>#N/A</v>
      </c>
      <c r="AO10" s="98">
        <f t="shared" si="5"/>
        <v>0</v>
      </c>
      <c r="AP10" s="99" t="e">
        <f t="shared" ca="1" si="70"/>
        <v>#N/A</v>
      </c>
      <c r="AQ10" s="96">
        <f t="shared" si="6"/>
        <v>0</v>
      </c>
      <c r="AR10" s="96" t="e">
        <f ca="1">AR9+AP10-AQ10</f>
        <v>#N/A</v>
      </c>
      <c r="AS10" s="100">
        <f t="shared" si="41"/>
        <v>0</v>
      </c>
      <c r="AT10" s="96" t="e">
        <f t="shared" ca="1" si="7"/>
        <v>#N/A</v>
      </c>
      <c r="AU10" s="96" t="e">
        <f t="shared" ref="AU10:AU24" ca="1" si="78">AU9+AS10-AT10</f>
        <v>#N/A</v>
      </c>
      <c r="AV10" s="118"/>
      <c r="AW10" s="100" t="e">
        <f t="shared" ca="1" si="8"/>
        <v>#N/A</v>
      </c>
      <c r="AX10" s="118"/>
      <c r="AY10" s="100"/>
      <c r="BB10" s="100" cm="1">
        <f t="array" aca="1" ref="BB10" ca="1">IF(N10="vd",_xlfn.XLOOKUP(B10,INDIRECT("'"&amp;$A$1&amp;"'!"&amp;$AK$1&amp;"[pam_code]"),INDIRECT("'"&amp;$A$1&amp;"'!"&amp;$AK$1&amp;"[verdict_expense_balance]")),
IF(N10="sold",W10,0))</f>
        <v>0</v>
      </c>
      <c r="BC10" s="100" t="e">
        <f t="shared" ca="1" si="9"/>
        <v>#N/A</v>
      </c>
      <c r="BD10" s="96" t="e">
        <f t="shared" ca="1" si="71"/>
        <v>#N/A</v>
      </c>
      <c r="BE10" s="100" cm="1">
        <f t="array" aca="1" ref="BE10" ca="1">IF(N10="vd",_xlfn.XLOOKUP(B10,INDIRECT("'"&amp;$A$1&amp;"'!"&amp;$AK$1&amp;"[pam_code]"),INDIRECT("'"&amp;$A$1&amp;"'!"&amp;$AK$1&amp;"[verdict_outlay_balance]")),0)</f>
        <v>0</v>
      </c>
      <c r="BF10" s="100" t="e">
        <f t="shared" ca="1" si="10"/>
        <v>#N/A</v>
      </c>
      <c r="BG10" s="96" t="e">
        <f t="shared" ca="1" si="42"/>
        <v>#N/A</v>
      </c>
      <c r="BH10" s="100" cm="1">
        <f t="array" aca="1" ref="BH10" ca="1">IF(N10="vd",_xlfn.XLOOKUP(B10,INDIRECT("'"&amp;$A$1&amp;"'!"&amp;$AK$1&amp;"[pam_code]"),INDIRECT("'"&amp;$A$1&amp;"'!"&amp;$AK$1&amp;"[verdict_loss_balance]")),0)</f>
        <v>0</v>
      </c>
      <c r="BI10" s="100" t="e">
        <f t="shared" ca="1" si="11"/>
        <v>#N/A</v>
      </c>
      <c r="BJ10" s="96" t="e">
        <f t="shared" ca="1" si="43"/>
        <v>#N/A</v>
      </c>
      <c r="BK10" s="100" cm="1">
        <f t="array" aca="1" ref="BK10" ca="1">IF(N10="vd",_xlfn.XLOOKUP(B10,INDIRECT("'"&amp;$A$1&amp;"'!"&amp;$AK$1&amp;"[pam_code]"),INDIRECT("'"&amp;$A$1&amp;"'!"&amp;$AK$1&amp;"[verdict_penalty_balance]")),0)</f>
        <v>0</v>
      </c>
      <c r="BL10" s="100" t="e">
        <f t="shared" ca="1" si="12"/>
        <v>#N/A</v>
      </c>
      <c r="BM10" s="96" t="e">
        <f t="shared" ca="1" si="44"/>
        <v>#N/A</v>
      </c>
      <c r="BN10" s="102">
        <f t="shared" si="13"/>
        <v>0</v>
      </c>
      <c r="BO10" s="119" cm="1">
        <f t="array" aca="1" ref="BO10" ca="1">IF(N10="vd",_xlfn.XLOOKUP(B10,INDIRECT("'"&amp;$A$1&amp;"'!"&amp;$AK$1&amp;"[pam_code]"),INDIRECT("'"&amp;$A$1&amp;"'!"&amp;$AK$1&amp;"[verdict_oldinterest_balance]")),IF(N10="add",Z10,0))</f>
        <v>0</v>
      </c>
      <c r="BP10" s="104" t="e">
        <f t="shared" ca="1" si="14"/>
        <v>#N/A</v>
      </c>
      <c r="BQ10" s="105" t="e">
        <f t="shared" ca="1" si="45"/>
        <v>#N/A</v>
      </c>
      <c r="BR10" s="100" cm="1">
        <f t="array" aca="1" ref="BR10" ca="1">IF(N10="vd",_xlfn.XLOOKUP(B10,INDIRECT("'"&amp;$A$1&amp;"'!"&amp;$AK$1&amp;"[pam_code]"),INDIRECT("'"&amp;$A$1&amp;"'!"&amp;$AK$1&amp;"[verdict_opportunitycost_balance]")),0)</f>
        <v>0</v>
      </c>
      <c r="BS10" s="106" t="e">
        <f t="shared" ca="1" si="15"/>
        <v>#N/A</v>
      </c>
      <c r="BT10" s="96" t="e">
        <f t="shared" ca="1" si="46"/>
        <v>#N/A</v>
      </c>
      <c r="BU10" s="109" cm="1">
        <f t="array" aca="1" ref="BU10" ca="1">IF(N10="vd",_xlfn.XLOOKUP(B10,INDIRECT("'"&amp;$A$1&amp;"'!"&amp;$AK$1&amp;"[pam_code]"),INDIRECT("'"&amp;$A$1&amp;"'!"&amp;$AK$1&amp;"[verdict_oldcharge_balance]")),0)</f>
        <v>0</v>
      </c>
      <c r="BV10" s="108" t="e">
        <f t="shared" ca="1" si="16"/>
        <v>#N/A</v>
      </c>
      <c r="BW10" s="109" t="e">
        <f t="shared" ca="1" si="47"/>
        <v>#N/A</v>
      </c>
      <c r="BX10" s="109" cm="1">
        <f t="array" aca="1" ref="BX10" ca="1">IF(N10="vd",_xlfn.XLOOKUP(B10,INDIRECT("'"&amp;$A$1&amp;"'!"&amp;$AK$1&amp;"[pam_code]"),INDIRECT("'"&amp;$A$1&amp;"'!"&amp;$AK$1&amp;"[verdict_principal_balance]")),0)</f>
        <v>0</v>
      </c>
      <c r="BY10" s="109" t="e">
        <f t="shared" ca="1" si="17"/>
        <v>#N/A</v>
      </c>
      <c r="BZ10" s="109" t="e">
        <f t="shared" ca="1" si="48"/>
        <v>#N/A</v>
      </c>
      <c r="CA10" s="109" cm="1">
        <f t="array" aca="1" ref="CA10" ca="1">IF(N10="vd",_xlfn.XLOOKUP(B10,INDIRECT("'"&amp;$A$1&amp;"'!"&amp;$AK$1&amp;"[pam_code]"),INDIRECT("'"&amp;$A$1&amp;"'!"&amp;$AK$1&amp;"[verdict_replacement_balance]")),0)</f>
        <v>0</v>
      </c>
      <c r="CB10" s="108" t="e">
        <f t="shared" ca="1" si="18"/>
        <v>#N/A</v>
      </c>
      <c r="CC10" s="109" t="e">
        <f t="shared" ca="1" si="49"/>
        <v>#N/A</v>
      </c>
      <c r="CD10" s="109" cm="1">
        <f t="array" aca="1" ref="CD10" ca="1">IF(N10="vd",_xlfn.XLOOKUP(B10,INDIRECT("'"&amp;$A$1&amp;"'!"&amp;$AK$1&amp;"[pam_code]"),INDIRECT("'"&amp;$A$1&amp;"'!"&amp;$AK$1&amp;"[verdict_all_balance]")),0)</f>
        <v>0</v>
      </c>
      <c r="CE10" s="109" t="e">
        <f t="shared" ca="1" si="19"/>
        <v>#N/A</v>
      </c>
      <c r="CF10" s="109" t="e">
        <f t="shared" ca="1" si="50"/>
        <v>#N/A</v>
      </c>
      <c r="CG10" s="109" t="e">
        <f t="shared" ca="1" si="51"/>
        <v>#N/A</v>
      </c>
      <c r="CH10" s="109">
        <f t="shared" si="52"/>
        <v>0</v>
      </c>
      <c r="CI10" s="109" t="e">
        <f t="shared" ca="1" si="53"/>
        <v>#N/A</v>
      </c>
      <c r="CJ10" s="109">
        <f t="shared" si="54"/>
        <v>0</v>
      </c>
      <c r="CK10" s="109">
        <f t="shared" si="55"/>
        <v>0</v>
      </c>
      <c r="CL10" s="230" t="str">
        <f t="shared" si="72"/>
        <v>No information</v>
      </c>
      <c r="CM10" s="109" t="e">
        <f t="shared" ca="1" si="56"/>
        <v>#N/A</v>
      </c>
      <c r="CN10" s="109" t="e">
        <f t="shared" ca="1" si="20"/>
        <v>#N/A</v>
      </c>
      <c r="CO10" s="90" t="e">
        <f t="shared" ca="1" si="21"/>
        <v>#N/A</v>
      </c>
      <c r="CQ10" s="96" t="e">
        <f t="shared" ca="1" si="73"/>
        <v>#N/A</v>
      </c>
      <c r="CR10" s="100" t="e">
        <f t="shared" ca="1" si="57"/>
        <v>#N/A</v>
      </c>
      <c r="CS10" s="120" t="e">
        <f t="shared" ca="1" si="57"/>
        <v>#N/A</v>
      </c>
      <c r="CT10" s="112" t="e">
        <f t="shared" ca="1" si="22"/>
        <v>#N/A</v>
      </c>
      <c r="CU10" s="112" t="e">
        <f t="shared" ca="1" si="74"/>
        <v>#N/A</v>
      </c>
      <c r="CV10" s="97" t="e">
        <f t="shared" ca="1" si="23"/>
        <v>#N/A</v>
      </c>
      <c r="CW10" s="100" cm="1">
        <f t="array" aca="1" ref="CW10" ca="1">IF(N10="vd",_xlfn.XLOOKUP(B10,INDIRECT("'"&amp;$A$1&amp;"'!"&amp;$AK$1&amp;"[pam_code]"),INDIRECT("'"&amp;$A$1&amp;"'!"&amp;$AK$1&amp;"[verdict_expense_balance]")),
IF(N10="sold",W10,0))</f>
        <v>0</v>
      </c>
      <c r="CX10" s="100" t="e">
        <f t="shared" ca="1" si="24"/>
        <v>#N/A</v>
      </c>
      <c r="CY10" s="96" t="e">
        <f t="shared" ref="CY10:CY24" ca="1" si="79">CY9+CW10-CX10</f>
        <v>#N/A</v>
      </c>
      <c r="CZ10" s="100" t="e">
        <f t="shared" ca="1" si="25"/>
        <v>#N/A</v>
      </c>
      <c r="DA10" s="100">
        <f t="shared" si="26"/>
        <v>0</v>
      </c>
      <c r="DB10" s="100" t="e">
        <f t="shared" ca="1" si="27"/>
        <v>#N/A</v>
      </c>
      <c r="DC10" s="96" t="e">
        <f t="shared" ca="1" si="28"/>
        <v>#N/A</v>
      </c>
      <c r="DD10" s="100" t="e">
        <f t="shared" ca="1" si="29"/>
        <v>#N/A</v>
      </c>
      <c r="DE10" s="100" t="e">
        <f t="shared" ca="1" si="58"/>
        <v>#N/A</v>
      </c>
      <c r="DF10"/>
      <c r="DG10" s="252"/>
      <c r="DH10" s="252"/>
      <c r="DI10" s="234">
        <f t="shared" si="59"/>
        <v>0</v>
      </c>
      <c r="DJ10" s="234">
        <f t="shared" si="60"/>
        <v>0</v>
      </c>
      <c r="DK10" s="234">
        <f t="shared" si="61"/>
        <v>0</v>
      </c>
      <c r="DL10" s="234">
        <f t="shared" si="62"/>
        <v>0</v>
      </c>
      <c r="DM10" s="234">
        <f t="shared" si="63"/>
        <v>0</v>
      </c>
      <c r="DN10" s="235">
        <f t="shared" si="64"/>
        <v>0</v>
      </c>
      <c r="DO10" s="236">
        <f t="shared" si="32"/>
        <v>0</v>
      </c>
      <c r="DP10" s="245">
        <f t="shared" si="65"/>
        <v>0</v>
      </c>
      <c r="DQ10" s="235"/>
      <c r="DR10" s="237">
        <f t="shared" si="33"/>
        <v>0</v>
      </c>
      <c r="DS10" s="237" t="e">
        <f t="shared" ca="1" si="66"/>
        <v>#N/A</v>
      </c>
      <c r="DT10" s="237" t="e">
        <f t="shared" ca="1" si="67"/>
        <v>#N/A</v>
      </c>
      <c r="DU10" s="237" t="e">
        <f t="shared" ca="1" si="75"/>
        <v>#N/A</v>
      </c>
      <c r="DV10" s="237" t="e">
        <f t="shared" ca="1" si="76"/>
        <v>#N/A</v>
      </c>
      <c r="DW10" s="241" t="e">
        <f t="shared" ca="1" si="34"/>
        <v>#N/A</v>
      </c>
      <c r="DX10" s="238" t="e">
        <f t="shared" ca="1" si="35"/>
        <v>#N/A</v>
      </c>
      <c r="DY10" s="237" t="e" cm="1">
        <f t="array" aca="1" ref="DY10" ca="1">_xlfn.UNIQUE(IF(CI10=0,DZ9,IF(N10="repo",DZ9,IF(N10="sold",DT10,IF(ISERR(_xlfn._xlws.FILTER($N$7:N10,$N$7:N10="sold")),MIN(DT10*DW10,DZ9),0)))))</f>
        <v>#N/A</v>
      </c>
      <c r="DZ10" s="237" t="e" cm="1">
        <f t="array" aca="1" ref="DZ10" ca="1">_xlfn.UNIQUE(IF(N10="aq",DQ10,IF(N10="sold",_xlfn._xlws.FILTER($DY$7:DY10,$N$7:N10="repo"),IF(ISERR(_xlfn._xlws.FILTER($N$7:N10,$N$7:N10="sold")),DZ9-DY10,0))))</f>
        <v>#N/A</v>
      </c>
      <c r="EA10" s="237" t="e" cm="1">
        <f t="array" aca="1" ref="EA10" ca="1">IF(OR(N10="repo",IFERROR(_xlfn._xlws.FILTER($N$7:N10,$N$7:N10="sold")="sold",FALSE)),0,DP10*DZ9*(DX10/365))</f>
        <v>#N/A</v>
      </c>
      <c r="EB10" s="237" t="e">
        <f t="shared" ca="1" si="36"/>
        <v>#N/A</v>
      </c>
      <c r="EC10" s="237" t="e">
        <f t="shared" ca="1" si="68"/>
        <v>#N/A</v>
      </c>
      <c r="ED10" s="237" cm="1">
        <f t="array" aca="1" ref="ED10" ca="1">_xlfn.IFS(N10="repo",0,N10="sold",DY10-DZ10,N10&lt;&gt;"",DT10-DY10-EB10,N10="",0)</f>
        <v>0</v>
      </c>
      <c r="EE10" s="237" t="e">
        <f t="shared" ca="1" si="37"/>
        <v>#N/A</v>
      </c>
      <c r="EF10" s="237" t="e">
        <f t="shared" ca="1" si="69"/>
        <v>#N/A</v>
      </c>
      <c r="EG10" s="237" t="e">
        <f t="shared" ca="1" si="38"/>
        <v>#N/A</v>
      </c>
    </row>
    <row r="11" spans="1:137" x14ac:dyDescent="0.3">
      <c r="B11" s="83"/>
      <c r="C11" s="205"/>
      <c r="D11" s="84"/>
      <c r="E11" s="84"/>
      <c r="F11" s="190"/>
      <c r="G11" s="190"/>
      <c r="H11" s="190"/>
      <c r="I11" s="190"/>
      <c r="J11" s="85"/>
      <c r="K11" s="85"/>
      <c r="L11" s="113"/>
      <c r="M11" s="87"/>
      <c r="N11" s="191"/>
      <c r="O11" s="272"/>
      <c r="P11" s="184"/>
      <c r="Q11" s="231"/>
      <c r="R11" s="231"/>
      <c r="S11" s="114"/>
      <c r="T11" s="115"/>
      <c r="U11" s="6"/>
      <c r="V11" s="90"/>
      <c r="W11" s="260"/>
      <c r="X11" s="260"/>
      <c r="Y11" s="89"/>
      <c r="Z11" s="91"/>
      <c r="AA11" s="97" t="e" cm="1">
        <f t="array" aca="1" ref="AA11" ca="1">IF(N11="vd",_xlfn.XLOOKUP(B11,INDIRECT("'"&amp;$A$1&amp;"'!"&amp;$AK$1&amp;"[pam_code]"),INDIRECT("'"&amp;$A$1&amp;"'!"&amp;$AK$1&amp;"[int_rate]")),AA10)</f>
        <v>#N/A</v>
      </c>
      <c r="AB11" s="116" t="e" cm="1">
        <f t="array" aca="1" ref="AB11" ca="1">IF(N11="vd",_xlfn.XLOOKUP(B11,INDIRECT("'"&amp;$A$1&amp;"'!"&amp;$AK$1&amp;"[pam_code]"),INDIRECT("'"&amp;$A$1&amp;"'!"&amp;$AK$1&amp;"[eir_rate]")),AB10)</f>
        <v>#N/A</v>
      </c>
      <c r="AC11" s="117" t="e">
        <f t="shared" ca="1" si="39"/>
        <v>#N/A</v>
      </c>
      <c r="AD11" s="93" cm="1">
        <f t="array" aca="1" ref="AD11" ca="1">IFERROR(_xlfn.IFS(G10="jm_vat",(BT10+BW10+CC10)/CG10,G10="npl_vat",(BQ10+BZ10)/CG10,G10="cm_vat",(BT10+BW10+BZ10)/CG10,ISNUMBER(FIND("_all_vat",G11)),CF10/CG10,NOT(ISNUMBER(FIND("_vat",G11))),0,G10=0,0,AND(N11="sold",$DG$7="hp"),0),0)</f>
        <v>0</v>
      </c>
      <c r="AE11" s="94" t="e">
        <f t="shared" ca="1" si="0"/>
        <v>#N/A</v>
      </c>
      <c r="AF11" s="94" t="e">
        <f t="shared" ca="1" si="1"/>
        <v>#N/A</v>
      </c>
      <c r="AG11" s="95">
        <f t="shared" ca="1" si="2"/>
        <v>0</v>
      </c>
      <c r="AH11" s="95">
        <f t="shared" ca="1" si="3"/>
        <v>0</v>
      </c>
      <c r="AK11" s="100" cm="1">
        <f t="array" aca="1" ref="AK11" ca="1">IF(N11="vd",_xlfn.XLOOKUP($B$4,INDIRECT("'"&amp;$A$1&amp;"'!"&amp;$AK$1&amp;"[pam_code]"),INDIRECT("'"&amp;$A$1&amp;"'!"&amp;$AK$1&amp;"[verdict_expense_balance]")),
IF(N11="sold",W11,0))</f>
        <v>0</v>
      </c>
      <c r="AL11" s="96" t="e">
        <f t="shared" ca="1" si="4"/>
        <v>#N/A</v>
      </c>
      <c r="AM11" s="96" t="e">
        <f t="shared" ca="1" si="77"/>
        <v>#N/A</v>
      </c>
      <c r="AN11" s="97" t="e">
        <f t="shared" ca="1" si="40"/>
        <v>#N/A</v>
      </c>
      <c r="AO11" s="98">
        <f t="shared" si="5"/>
        <v>0</v>
      </c>
      <c r="AP11" s="99" t="e">
        <f t="shared" ca="1" si="70"/>
        <v>#N/A</v>
      </c>
      <c r="AQ11" s="96">
        <f t="shared" si="6"/>
        <v>0</v>
      </c>
      <c r="AR11" s="96" t="e">
        <f t="shared" ref="AR11:AR24" ca="1" si="80">AR10+AP11-AQ11</f>
        <v>#N/A</v>
      </c>
      <c r="AS11" s="100">
        <f t="shared" si="41"/>
        <v>0</v>
      </c>
      <c r="AT11" s="96" t="e">
        <f t="shared" ca="1" si="7"/>
        <v>#N/A</v>
      </c>
      <c r="AU11" s="96" t="e">
        <f t="shared" ca="1" si="78"/>
        <v>#N/A</v>
      </c>
      <c r="AV11" s="118"/>
      <c r="AW11" s="100" t="e">
        <f t="shared" ca="1" si="8"/>
        <v>#N/A</v>
      </c>
      <c r="AX11" s="118"/>
      <c r="AY11" s="100"/>
      <c r="BB11" s="100" cm="1">
        <f t="array" aca="1" ref="BB11" ca="1">IF(N11="vd",_xlfn.XLOOKUP(B11,INDIRECT("'"&amp;$A$1&amp;"'!"&amp;$AK$1&amp;"[pam_code]"),INDIRECT("'"&amp;$A$1&amp;"'!"&amp;$AK$1&amp;"[verdict_expense_balance]")),
IF(N11="sold",W11,0))</f>
        <v>0</v>
      </c>
      <c r="BC11" s="100" t="e">
        <f t="shared" ca="1" si="9"/>
        <v>#N/A</v>
      </c>
      <c r="BD11" s="96" t="e">
        <f t="shared" ca="1" si="71"/>
        <v>#N/A</v>
      </c>
      <c r="BE11" s="100" cm="1">
        <f t="array" aca="1" ref="BE11" ca="1">IF(N11="vd",_xlfn.XLOOKUP(B11,INDIRECT("'"&amp;$A$1&amp;"'!"&amp;$AK$1&amp;"[pam_code]"),INDIRECT("'"&amp;$A$1&amp;"'!"&amp;$AK$1&amp;"[verdict_outlay_balance]")),0)</f>
        <v>0</v>
      </c>
      <c r="BF11" s="100" t="e">
        <f t="shared" ca="1" si="10"/>
        <v>#N/A</v>
      </c>
      <c r="BG11" s="96" t="e">
        <f t="shared" ca="1" si="42"/>
        <v>#N/A</v>
      </c>
      <c r="BH11" s="100" cm="1">
        <f t="array" aca="1" ref="BH11" ca="1">IF(N11="vd",_xlfn.XLOOKUP(B11,INDIRECT("'"&amp;$A$1&amp;"'!"&amp;$AK$1&amp;"[pam_code]"),INDIRECT("'"&amp;$A$1&amp;"'!"&amp;$AK$1&amp;"[verdict_loss_balance]")),0)</f>
        <v>0</v>
      </c>
      <c r="BI11" s="100" t="e">
        <f t="shared" ca="1" si="11"/>
        <v>#N/A</v>
      </c>
      <c r="BJ11" s="96" t="e">
        <f t="shared" ca="1" si="43"/>
        <v>#N/A</v>
      </c>
      <c r="BK11" s="100" cm="1">
        <f t="array" aca="1" ref="BK11" ca="1">IF(N11="vd",_xlfn.XLOOKUP(B11,INDIRECT("'"&amp;$A$1&amp;"'!"&amp;$AK$1&amp;"[pam_code]"),INDIRECT("'"&amp;$A$1&amp;"'!"&amp;$AK$1&amp;"[verdict_penalty_balance]")),0)</f>
        <v>0</v>
      </c>
      <c r="BL11" s="100" t="e">
        <f t="shared" ca="1" si="12"/>
        <v>#N/A</v>
      </c>
      <c r="BM11" s="96" t="e">
        <f t="shared" ca="1" si="44"/>
        <v>#N/A</v>
      </c>
      <c r="BN11" s="102">
        <f t="shared" si="13"/>
        <v>0</v>
      </c>
      <c r="BO11" s="119" cm="1">
        <f t="array" aca="1" ref="BO11" ca="1">IF(N11="vd",_xlfn.XLOOKUP(B11,INDIRECT("'"&amp;$A$1&amp;"'!"&amp;$AK$1&amp;"[pam_code]"),INDIRECT("'"&amp;$A$1&amp;"'!"&amp;$AK$1&amp;"[verdict_oldinterest_balance]")),IF(N11="add",Z11,0))</f>
        <v>0</v>
      </c>
      <c r="BP11" s="104" t="e">
        <f t="shared" ca="1" si="14"/>
        <v>#N/A</v>
      </c>
      <c r="BQ11" s="105" t="e">
        <f t="shared" ca="1" si="45"/>
        <v>#N/A</v>
      </c>
      <c r="BR11" s="100" cm="1">
        <f t="array" aca="1" ref="BR11" ca="1">IF(N11="vd",_xlfn.XLOOKUP(B11,INDIRECT("'"&amp;$A$1&amp;"'!"&amp;$AK$1&amp;"[pam_code]"),INDIRECT("'"&amp;$A$1&amp;"'!"&amp;$AK$1&amp;"[verdict_opportunitycost_balance]")),0)</f>
        <v>0</v>
      </c>
      <c r="BS11" s="106" t="e">
        <f t="shared" ca="1" si="15"/>
        <v>#N/A</v>
      </c>
      <c r="BT11" s="96" t="e">
        <f t="shared" ca="1" si="46"/>
        <v>#N/A</v>
      </c>
      <c r="BU11" s="109" cm="1">
        <f t="array" aca="1" ref="BU11" ca="1">IF(N11="vd",_xlfn.XLOOKUP(B11,INDIRECT("'"&amp;$A$1&amp;"'!"&amp;$AK$1&amp;"[pam_code]"),INDIRECT("'"&amp;$A$1&amp;"'!"&amp;$AK$1&amp;"[verdict_oldcharge_balance]")),0)</f>
        <v>0</v>
      </c>
      <c r="BV11" s="108" t="e">
        <f t="shared" ca="1" si="16"/>
        <v>#N/A</v>
      </c>
      <c r="BW11" s="109" t="e">
        <f t="shared" ca="1" si="47"/>
        <v>#N/A</v>
      </c>
      <c r="BX11" s="109" cm="1">
        <f t="array" aca="1" ref="BX11" ca="1">IF(N11="vd",_xlfn.XLOOKUP(B11,INDIRECT("'"&amp;$A$1&amp;"'!"&amp;$AK$1&amp;"[pam_code]"),INDIRECT("'"&amp;$A$1&amp;"'!"&amp;$AK$1&amp;"[verdict_principal_balance]")),0)</f>
        <v>0</v>
      </c>
      <c r="BY11" s="109" t="e">
        <f t="shared" ca="1" si="17"/>
        <v>#N/A</v>
      </c>
      <c r="BZ11" s="109" t="e">
        <f t="shared" ca="1" si="48"/>
        <v>#N/A</v>
      </c>
      <c r="CA11" s="109" cm="1">
        <f t="array" aca="1" ref="CA11" ca="1">IF(N11="vd",_xlfn.XLOOKUP(B11,INDIRECT("'"&amp;$A$1&amp;"'!"&amp;$AK$1&amp;"[pam_code]"),INDIRECT("'"&amp;$A$1&amp;"'!"&amp;$AK$1&amp;"[verdict_replacement_balance]")),0)</f>
        <v>0</v>
      </c>
      <c r="CB11" s="108" t="e">
        <f t="shared" ca="1" si="18"/>
        <v>#N/A</v>
      </c>
      <c r="CC11" s="109" t="e">
        <f t="shared" ca="1" si="49"/>
        <v>#N/A</v>
      </c>
      <c r="CD11" s="109" cm="1">
        <f t="array" aca="1" ref="CD11" ca="1">IF(N11="vd",_xlfn.XLOOKUP(B11,INDIRECT("'"&amp;$A$1&amp;"'!"&amp;$AK$1&amp;"[pam_code]"),INDIRECT("'"&amp;$A$1&amp;"'!"&amp;$AK$1&amp;"[verdict_all_balance]")),0)</f>
        <v>0</v>
      </c>
      <c r="CE11" s="109" t="e">
        <f t="shared" ca="1" si="19"/>
        <v>#N/A</v>
      </c>
      <c r="CF11" s="109" t="e">
        <f t="shared" ca="1" si="50"/>
        <v>#N/A</v>
      </c>
      <c r="CG11" s="109" t="e">
        <f t="shared" ca="1" si="51"/>
        <v>#N/A</v>
      </c>
      <c r="CH11" s="109">
        <f t="shared" si="52"/>
        <v>0</v>
      </c>
      <c r="CI11" s="109" t="e">
        <f t="shared" ca="1" si="53"/>
        <v>#N/A</v>
      </c>
      <c r="CJ11" s="109">
        <f t="shared" si="54"/>
        <v>0</v>
      </c>
      <c r="CK11" s="109">
        <f t="shared" si="55"/>
        <v>0</v>
      </c>
      <c r="CL11" s="230" t="str">
        <f t="shared" si="72"/>
        <v>No information</v>
      </c>
      <c r="CM11" s="109" t="e">
        <f t="shared" ca="1" si="56"/>
        <v>#N/A</v>
      </c>
      <c r="CN11" s="109" t="e">
        <f t="shared" ca="1" si="20"/>
        <v>#N/A</v>
      </c>
      <c r="CO11" s="90" t="e">
        <f t="shared" ca="1" si="21"/>
        <v>#N/A</v>
      </c>
      <c r="CQ11" s="96" t="e">
        <f t="shared" ca="1" si="73"/>
        <v>#N/A</v>
      </c>
      <c r="CR11" s="100" t="e">
        <f t="shared" ca="1" si="57"/>
        <v>#N/A</v>
      </c>
      <c r="CS11" s="120" t="e">
        <f t="shared" ca="1" si="57"/>
        <v>#N/A</v>
      </c>
      <c r="CT11" s="112" t="e">
        <f t="shared" ca="1" si="22"/>
        <v>#N/A</v>
      </c>
      <c r="CU11" s="112" t="e">
        <f t="shared" ca="1" si="74"/>
        <v>#N/A</v>
      </c>
      <c r="CV11" s="97" t="e">
        <f t="shared" ca="1" si="23"/>
        <v>#N/A</v>
      </c>
      <c r="CW11" s="100" cm="1">
        <f t="array" aca="1" ref="CW11" ca="1">IF(N11="vd",_xlfn.XLOOKUP(B11,INDIRECT("'"&amp;$A$1&amp;"'!"&amp;$AK$1&amp;"[pam_code]"),INDIRECT("'"&amp;$A$1&amp;"'!"&amp;$AK$1&amp;"[verdict_expense_balance]")),
IF(N11="sold",W11,0))</f>
        <v>0</v>
      </c>
      <c r="CX11" s="100" t="e">
        <f t="shared" ca="1" si="24"/>
        <v>#N/A</v>
      </c>
      <c r="CY11" s="96" t="e">
        <f t="shared" ca="1" si="79"/>
        <v>#N/A</v>
      </c>
      <c r="CZ11" s="100" t="e">
        <f t="shared" ca="1" si="25"/>
        <v>#N/A</v>
      </c>
      <c r="DA11" s="100">
        <f t="shared" si="26"/>
        <v>0</v>
      </c>
      <c r="DB11" s="100" t="e">
        <f t="shared" ca="1" si="27"/>
        <v>#N/A</v>
      </c>
      <c r="DC11" s="96" t="e">
        <f t="shared" ca="1" si="28"/>
        <v>#N/A</v>
      </c>
      <c r="DD11" s="100" t="e">
        <f t="shared" ca="1" si="29"/>
        <v>#N/A</v>
      </c>
      <c r="DE11" s="100" t="e">
        <f t="shared" ca="1" si="58"/>
        <v>#N/A</v>
      </c>
      <c r="DF11"/>
      <c r="DG11" s="252"/>
      <c r="DH11" s="252"/>
      <c r="DI11" s="234">
        <f t="shared" si="59"/>
        <v>0</v>
      </c>
      <c r="DJ11" s="234">
        <f t="shared" si="60"/>
        <v>0</v>
      </c>
      <c r="DK11" s="234">
        <f t="shared" si="61"/>
        <v>0</v>
      </c>
      <c r="DL11" s="234">
        <f t="shared" si="62"/>
        <v>0</v>
      </c>
      <c r="DM11" s="234">
        <f t="shared" si="63"/>
        <v>0</v>
      </c>
      <c r="DN11" s="235">
        <f t="shared" si="64"/>
        <v>0</v>
      </c>
      <c r="DO11" s="236">
        <f t="shared" si="32"/>
        <v>0</v>
      </c>
      <c r="DP11" s="245">
        <f t="shared" si="65"/>
        <v>0</v>
      </c>
      <c r="DQ11" s="235"/>
      <c r="DR11" s="237">
        <f t="shared" si="33"/>
        <v>0</v>
      </c>
      <c r="DS11" s="237" t="e">
        <f t="shared" ca="1" si="66"/>
        <v>#N/A</v>
      </c>
      <c r="DT11" s="237" t="e">
        <f t="shared" ca="1" si="67"/>
        <v>#N/A</v>
      </c>
      <c r="DU11" s="237" t="e">
        <f t="shared" ca="1" si="75"/>
        <v>#N/A</v>
      </c>
      <c r="DV11" s="237" t="e">
        <f t="shared" ca="1" si="76"/>
        <v>#N/A</v>
      </c>
      <c r="DW11" s="241" t="e">
        <f t="shared" ca="1" si="34"/>
        <v>#N/A</v>
      </c>
      <c r="DX11" s="238" t="e">
        <f t="shared" ca="1" si="35"/>
        <v>#N/A</v>
      </c>
      <c r="DY11" s="237" t="e" cm="1">
        <f t="array" aca="1" ref="DY11" ca="1">_xlfn.UNIQUE(IF(CI11=0,DZ10,IF(N11="repo",DZ10,IF(N11="sold",DT11,IF(ISERR(_xlfn._xlws.FILTER($N$7:N11,$N$7:N11="sold")),MIN(DT11*DW11,DZ10),0)))))</f>
        <v>#N/A</v>
      </c>
      <c r="DZ11" s="237" t="e" cm="1">
        <f t="array" aca="1" ref="DZ11" ca="1">_xlfn.UNIQUE(IF(N11="aq",DQ11,IF(N11="sold",_xlfn._xlws.FILTER($DY$7:DY11,$N$7:N11="repo"),IF(ISERR(_xlfn._xlws.FILTER($N$7:N11,$N$7:N11="sold")),DZ10-DY11,0))))</f>
        <v>#N/A</v>
      </c>
      <c r="EA11" s="237" t="e" cm="1">
        <f t="array" aca="1" ref="EA11" ca="1">IF(OR(N11="repo",IFERROR(_xlfn._xlws.FILTER($N$7:N11,$N$7:N11="sold")="sold",FALSE)),0,DP11*DZ10*(DX11/365))</f>
        <v>#N/A</v>
      </c>
      <c r="EB11" s="237" t="e">
        <f t="shared" ca="1" si="36"/>
        <v>#N/A</v>
      </c>
      <c r="EC11" s="237" t="e">
        <f t="shared" ca="1" si="68"/>
        <v>#N/A</v>
      </c>
      <c r="ED11" s="237" cm="1">
        <f t="array" aca="1" ref="ED11" ca="1">_xlfn.IFS(N11="repo",0,N11="sold",DY11-DZ11,N11&lt;&gt;"",DT11-DY11-EB11,N11="",0)</f>
        <v>0</v>
      </c>
      <c r="EE11" s="237" t="e">
        <f t="shared" ca="1" si="37"/>
        <v>#N/A</v>
      </c>
      <c r="EF11" s="237" t="e">
        <f t="shared" ca="1" si="69"/>
        <v>#N/A</v>
      </c>
      <c r="EG11" s="237" t="e">
        <f t="shared" ca="1" si="38"/>
        <v>#N/A</v>
      </c>
    </row>
    <row r="12" spans="1:137" x14ac:dyDescent="0.3">
      <c r="B12" s="83"/>
      <c r="C12" s="205"/>
      <c r="D12" s="84"/>
      <c r="E12" s="84"/>
      <c r="F12" s="190"/>
      <c r="G12" s="190"/>
      <c r="H12" s="190"/>
      <c r="I12" s="190"/>
      <c r="J12" s="85"/>
      <c r="K12" s="85"/>
      <c r="L12" s="113"/>
      <c r="M12" s="87"/>
      <c r="N12" s="191"/>
      <c r="O12" s="272"/>
      <c r="P12" s="184"/>
      <c r="Q12" s="231"/>
      <c r="R12" s="231"/>
      <c r="S12" s="114"/>
      <c r="T12" s="115"/>
      <c r="U12"/>
      <c r="V12" s="90"/>
      <c r="W12" s="260"/>
      <c r="X12" s="260"/>
      <c r="Y12" s="89"/>
      <c r="Z12" s="91"/>
      <c r="AA12" s="97" t="e" cm="1">
        <f t="array" aca="1" ref="AA12" ca="1">IF(N12="vd",_xlfn.XLOOKUP(B12,INDIRECT("'"&amp;$A$1&amp;"'!"&amp;$AK$1&amp;"[pam_code]"),INDIRECT("'"&amp;$A$1&amp;"'!"&amp;$AK$1&amp;"[int_rate]")),AA11)</f>
        <v>#N/A</v>
      </c>
      <c r="AB12" s="116" t="e" cm="1">
        <f t="array" aca="1" ref="AB12" ca="1">IF(N12="vd",_xlfn.XLOOKUP(B12,INDIRECT("'"&amp;$A$1&amp;"'!"&amp;$AK$1&amp;"[pam_code]"),INDIRECT("'"&amp;$A$1&amp;"'!"&amp;$AK$1&amp;"[eir_rate]")),AB11)</f>
        <v>#N/A</v>
      </c>
      <c r="AC12" s="117" t="e">
        <f t="shared" ca="1" si="39"/>
        <v>#N/A</v>
      </c>
      <c r="AD12" s="93" cm="1">
        <f t="array" aca="1" ref="AD12" ca="1">IFERROR(_xlfn.IFS(G11="jm_vat",(BT11+BW11+CC11)/CG11,G11="npl_vat",(BQ11+BZ11)/CG11,G11="cm_vat",(BT11+BW11+BZ11)/CG11,ISNUMBER(FIND("_all_vat",G12)),CF11/CG11,NOT(ISNUMBER(FIND("_vat",G12))),0,G11=0,0,AND(N12="sold",$DG$7="hp"),0),0)</f>
        <v>0</v>
      </c>
      <c r="AE12" s="94" t="e">
        <f t="shared" ca="1" si="0"/>
        <v>#N/A</v>
      </c>
      <c r="AF12" s="94" t="e">
        <f t="shared" ca="1" si="1"/>
        <v>#N/A</v>
      </c>
      <c r="AG12" s="95">
        <f t="shared" ca="1" si="2"/>
        <v>0</v>
      </c>
      <c r="AH12" s="95">
        <f t="shared" ca="1" si="3"/>
        <v>0</v>
      </c>
      <c r="AK12" s="100" cm="1">
        <f t="array" aca="1" ref="AK12" ca="1">IF(N12="vd",_xlfn.XLOOKUP($B$4,INDIRECT("'"&amp;$A$1&amp;"'!"&amp;$AK$1&amp;"[pam_code]"),INDIRECT("'"&amp;$A$1&amp;"'!"&amp;$AK$1&amp;"[verdict_expense_balance]")),
IF(N12="sold",W12,0))</f>
        <v>0</v>
      </c>
      <c r="AL12" s="96" t="e">
        <f t="shared" ca="1" si="4"/>
        <v>#N/A</v>
      </c>
      <c r="AM12" s="96" t="e">
        <f t="shared" ca="1" si="77"/>
        <v>#N/A</v>
      </c>
      <c r="AN12" s="97" t="e">
        <f t="shared" ca="1" si="40"/>
        <v>#N/A</v>
      </c>
      <c r="AO12" s="98">
        <f t="shared" si="5"/>
        <v>0</v>
      </c>
      <c r="AP12" s="99" t="e">
        <f t="shared" ca="1" si="70"/>
        <v>#N/A</v>
      </c>
      <c r="AQ12" s="96">
        <f t="shared" si="6"/>
        <v>0</v>
      </c>
      <c r="AR12" s="96" t="e">
        <f t="shared" ca="1" si="80"/>
        <v>#N/A</v>
      </c>
      <c r="AS12" s="100">
        <f t="shared" si="41"/>
        <v>0</v>
      </c>
      <c r="AT12" s="96" t="e">
        <f t="shared" ca="1" si="7"/>
        <v>#N/A</v>
      </c>
      <c r="AU12" s="96" t="e">
        <f t="shared" ca="1" si="78"/>
        <v>#N/A</v>
      </c>
      <c r="AV12" s="118"/>
      <c r="AW12" s="100" t="e">
        <f t="shared" ca="1" si="8"/>
        <v>#N/A</v>
      </c>
      <c r="AX12" s="118"/>
      <c r="AY12" s="100"/>
      <c r="BB12" s="100" cm="1">
        <f t="array" aca="1" ref="BB12" ca="1">IF(N12="vd",_xlfn.XLOOKUP(B12,INDIRECT("'"&amp;$A$1&amp;"'!"&amp;$AK$1&amp;"[pam_code]"),INDIRECT("'"&amp;$A$1&amp;"'!"&amp;$AK$1&amp;"[verdict_expense_balance]")),
IF(N12="sold",W12,0))</f>
        <v>0</v>
      </c>
      <c r="BC12" s="100" t="e">
        <f t="shared" ca="1" si="9"/>
        <v>#N/A</v>
      </c>
      <c r="BD12" s="96" t="e">
        <f t="shared" ca="1" si="71"/>
        <v>#N/A</v>
      </c>
      <c r="BE12" s="100" cm="1">
        <f t="array" aca="1" ref="BE12" ca="1">IF(N12="vd",_xlfn.XLOOKUP(B12,INDIRECT("'"&amp;$A$1&amp;"'!"&amp;$AK$1&amp;"[pam_code]"),INDIRECT("'"&amp;$A$1&amp;"'!"&amp;$AK$1&amp;"[verdict_outlay_balance]")),0)</f>
        <v>0</v>
      </c>
      <c r="BF12" s="100" t="e">
        <f t="shared" ca="1" si="10"/>
        <v>#N/A</v>
      </c>
      <c r="BG12" s="96" t="e">
        <f t="shared" ca="1" si="42"/>
        <v>#N/A</v>
      </c>
      <c r="BH12" s="100" cm="1">
        <f t="array" aca="1" ref="BH12" ca="1">IF(N12="vd",_xlfn.XLOOKUP(B12,INDIRECT("'"&amp;$A$1&amp;"'!"&amp;$AK$1&amp;"[pam_code]"),INDIRECT("'"&amp;$A$1&amp;"'!"&amp;$AK$1&amp;"[verdict_loss_balance]")),0)</f>
        <v>0</v>
      </c>
      <c r="BI12" s="100" t="e">
        <f t="shared" ca="1" si="11"/>
        <v>#N/A</v>
      </c>
      <c r="BJ12" s="96" t="e">
        <f t="shared" ca="1" si="43"/>
        <v>#N/A</v>
      </c>
      <c r="BK12" s="100" cm="1">
        <f t="array" aca="1" ref="BK12" ca="1">IF(N12="vd",_xlfn.XLOOKUP(B12,INDIRECT("'"&amp;$A$1&amp;"'!"&amp;$AK$1&amp;"[pam_code]"),INDIRECT("'"&amp;$A$1&amp;"'!"&amp;$AK$1&amp;"[verdict_penalty_balance]")),0)</f>
        <v>0</v>
      </c>
      <c r="BL12" s="100" t="e">
        <f t="shared" ca="1" si="12"/>
        <v>#N/A</v>
      </c>
      <c r="BM12" s="96" t="e">
        <f t="shared" ca="1" si="44"/>
        <v>#N/A</v>
      </c>
      <c r="BN12" s="102">
        <f t="shared" si="13"/>
        <v>0</v>
      </c>
      <c r="BO12" s="119" cm="1">
        <f t="array" aca="1" ref="BO12" ca="1">IF(N12="vd",_xlfn.XLOOKUP(B12,INDIRECT("'"&amp;$A$1&amp;"'!"&amp;$AK$1&amp;"[pam_code]"),INDIRECT("'"&amp;$A$1&amp;"'!"&amp;$AK$1&amp;"[verdict_oldinterest_balance]")),IF(N12="add",Z12,0))</f>
        <v>0</v>
      </c>
      <c r="BP12" s="104" t="e">
        <f t="shared" ca="1" si="14"/>
        <v>#N/A</v>
      </c>
      <c r="BQ12" s="105" t="e">
        <f t="shared" ca="1" si="45"/>
        <v>#N/A</v>
      </c>
      <c r="BR12" s="100" cm="1">
        <f t="array" aca="1" ref="BR12" ca="1">IF(N12="vd",_xlfn.XLOOKUP(B12,INDIRECT("'"&amp;$A$1&amp;"'!"&amp;$AK$1&amp;"[pam_code]"),INDIRECT("'"&amp;$A$1&amp;"'!"&amp;$AK$1&amp;"[verdict_opportunitycost_balance]")),0)</f>
        <v>0</v>
      </c>
      <c r="BS12" s="106" t="e">
        <f t="shared" ca="1" si="15"/>
        <v>#N/A</v>
      </c>
      <c r="BT12" s="96" t="e">
        <f t="shared" ca="1" si="46"/>
        <v>#N/A</v>
      </c>
      <c r="BU12" s="109" cm="1">
        <f t="array" aca="1" ref="BU12" ca="1">IF(N12="vd",_xlfn.XLOOKUP(B12,INDIRECT("'"&amp;$A$1&amp;"'!"&amp;$AK$1&amp;"[pam_code]"),INDIRECT("'"&amp;$A$1&amp;"'!"&amp;$AK$1&amp;"[verdict_oldcharge_balance]")),0)</f>
        <v>0</v>
      </c>
      <c r="BV12" s="108" t="e">
        <f t="shared" ca="1" si="16"/>
        <v>#N/A</v>
      </c>
      <c r="BW12" s="109" t="e">
        <f t="shared" ca="1" si="47"/>
        <v>#N/A</v>
      </c>
      <c r="BX12" s="109" cm="1">
        <f t="array" aca="1" ref="BX12" ca="1">IF(N12="vd",_xlfn.XLOOKUP(B12,INDIRECT("'"&amp;$A$1&amp;"'!"&amp;$AK$1&amp;"[pam_code]"),INDIRECT("'"&amp;$A$1&amp;"'!"&amp;$AK$1&amp;"[verdict_principal_balance]")),0)</f>
        <v>0</v>
      </c>
      <c r="BY12" s="109" t="e">
        <f t="shared" ca="1" si="17"/>
        <v>#N/A</v>
      </c>
      <c r="BZ12" s="109" t="e">
        <f t="shared" ca="1" si="48"/>
        <v>#N/A</v>
      </c>
      <c r="CA12" s="109" cm="1">
        <f t="array" aca="1" ref="CA12" ca="1">IF(N12="vd",_xlfn.XLOOKUP(B12,INDIRECT("'"&amp;$A$1&amp;"'!"&amp;$AK$1&amp;"[pam_code]"),INDIRECT("'"&amp;$A$1&amp;"'!"&amp;$AK$1&amp;"[verdict_replacement_balance]")),0)</f>
        <v>0</v>
      </c>
      <c r="CB12" s="108" t="e">
        <f t="shared" ca="1" si="18"/>
        <v>#N/A</v>
      </c>
      <c r="CC12" s="109" t="e">
        <f t="shared" ca="1" si="49"/>
        <v>#N/A</v>
      </c>
      <c r="CD12" s="109" cm="1">
        <f t="array" aca="1" ref="CD12" ca="1">IF(N12="vd",_xlfn.XLOOKUP(B12,INDIRECT("'"&amp;$A$1&amp;"'!"&amp;$AK$1&amp;"[pam_code]"),INDIRECT("'"&amp;$A$1&amp;"'!"&amp;$AK$1&amp;"[verdict_all_balance]")),0)</f>
        <v>0</v>
      </c>
      <c r="CE12" s="109" t="e">
        <f t="shared" ca="1" si="19"/>
        <v>#N/A</v>
      </c>
      <c r="CF12" s="109" t="e">
        <f t="shared" ca="1" si="50"/>
        <v>#N/A</v>
      </c>
      <c r="CG12" s="109" t="e">
        <f t="shared" ca="1" si="51"/>
        <v>#N/A</v>
      </c>
      <c r="CH12" s="109">
        <f t="shared" si="52"/>
        <v>0</v>
      </c>
      <c r="CI12" s="109" t="e">
        <f t="shared" ca="1" si="53"/>
        <v>#N/A</v>
      </c>
      <c r="CJ12" s="109">
        <f t="shared" si="54"/>
        <v>0</v>
      </c>
      <c r="CK12" s="109">
        <f t="shared" si="55"/>
        <v>0</v>
      </c>
      <c r="CL12" s="230" t="str">
        <f t="shared" si="72"/>
        <v>No information</v>
      </c>
      <c r="CM12" s="109" t="e">
        <f t="shared" ca="1" si="56"/>
        <v>#N/A</v>
      </c>
      <c r="CN12" s="109" t="e">
        <f t="shared" ca="1" si="20"/>
        <v>#N/A</v>
      </c>
      <c r="CO12" s="90" t="e">
        <f t="shared" ca="1" si="21"/>
        <v>#N/A</v>
      </c>
      <c r="CQ12" s="96" t="e">
        <f t="shared" ca="1" si="73"/>
        <v>#N/A</v>
      </c>
      <c r="CR12" s="100" t="e">
        <f t="shared" ca="1" si="57"/>
        <v>#N/A</v>
      </c>
      <c r="CS12" s="120" t="e">
        <f t="shared" ca="1" si="57"/>
        <v>#N/A</v>
      </c>
      <c r="CT12" s="112" t="e">
        <f t="shared" ca="1" si="22"/>
        <v>#N/A</v>
      </c>
      <c r="CU12" s="112" t="e">
        <f t="shared" ca="1" si="74"/>
        <v>#N/A</v>
      </c>
      <c r="CV12" s="97" t="e">
        <f t="shared" ca="1" si="23"/>
        <v>#N/A</v>
      </c>
      <c r="CW12" s="100" cm="1">
        <f t="array" aca="1" ref="CW12" ca="1">IF(N12="vd",_xlfn.XLOOKUP(B12,INDIRECT("'"&amp;$A$1&amp;"'!"&amp;$AK$1&amp;"[pam_code]"),INDIRECT("'"&amp;$A$1&amp;"'!"&amp;$AK$1&amp;"[verdict_expense_balance]")),
IF(N12="sold",W12,0))</f>
        <v>0</v>
      </c>
      <c r="CX12" s="100" t="e">
        <f t="shared" ca="1" si="24"/>
        <v>#N/A</v>
      </c>
      <c r="CY12" s="96" t="e">
        <f t="shared" ca="1" si="79"/>
        <v>#N/A</v>
      </c>
      <c r="CZ12" s="100" t="e">
        <f t="shared" ca="1" si="25"/>
        <v>#N/A</v>
      </c>
      <c r="DA12" s="100">
        <f t="shared" si="26"/>
        <v>0</v>
      </c>
      <c r="DB12" s="100" t="e">
        <f t="shared" ca="1" si="27"/>
        <v>#N/A</v>
      </c>
      <c r="DC12" s="96" t="e">
        <f t="shared" ca="1" si="28"/>
        <v>#N/A</v>
      </c>
      <c r="DD12" s="100" t="e">
        <f t="shared" ca="1" si="29"/>
        <v>#N/A</v>
      </c>
      <c r="DE12" s="100" t="e">
        <f t="shared" ca="1" si="58"/>
        <v>#N/A</v>
      </c>
      <c r="DF12"/>
      <c r="DG12" s="252"/>
      <c r="DH12" s="252"/>
      <c r="DI12" s="234">
        <f t="shared" si="59"/>
        <v>0</v>
      </c>
      <c r="DJ12" s="234">
        <f t="shared" si="60"/>
        <v>0</v>
      </c>
      <c r="DK12" s="234">
        <f t="shared" si="61"/>
        <v>0</v>
      </c>
      <c r="DL12" s="234">
        <f t="shared" si="62"/>
        <v>0</v>
      </c>
      <c r="DM12" s="234">
        <f t="shared" si="63"/>
        <v>0</v>
      </c>
      <c r="DN12" s="235">
        <f t="shared" si="64"/>
        <v>0</v>
      </c>
      <c r="DO12" s="236">
        <f t="shared" si="32"/>
        <v>0</v>
      </c>
      <c r="DP12" s="245">
        <f t="shared" si="65"/>
        <v>0</v>
      </c>
      <c r="DQ12" s="235"/>
      <c r="DR12" s="237">
        <f t="shared" si="33"/>
        <v>0</v>
      </c>
      <c r="DS12" s="237" t="e">
        <f t="shared" ca="1" si="66"/>
        <v>#N/A</v>
      </c>
      <c r="DT12" s="237" t="e">
        <f t="shared" ca="1" si="67"/>
        <v>#N/A</v>
      </c>
      <c r="DU12" s="237" t="e">
        <f t="shared" ca="1" si="75"/>
        <v>#N/A</v>
      </c>
      <c r="DV12" s="237" t="e">
        <f t="shared" ca="1" si="76"/>
        <v>#N/A</v>
      </c>
      <c r="DW12" s="241" t="e">
        <f t="shared" ca="1" si="34"/>
        <v>#N/A</v>
      </c>
      <c r="DX12" s="238" t="e">
        <f t="shared" ca="1" si="35"/>
        <v>#N/A</v>
      </c>
      <c r="DY12" s="237" t="e" cm="1">
        <f t="array" aca="1" ref="DY12" ca="1">_xlfn.UNIQUE(IF(CI12=0,DZ11,IF(N12="repo",DZ11,IF(N12="sold",DT12,IF(ISERR(_xlfn._xlws.FILTER($N$7:N12,$N$7:N12="sold")),MIN(DT12*DW12,DZ11),0)))))</f>
        <v>#N/A</v>
      </c>
      <c r="DZ12" s="237" t="e" cm="1">
        <f t="array" aca="1" ref="DZ12" ca="1">_xlfn.UNIQUE(IF(N12="aq",DQ12,IF(N12="sold",_xlfn._xlws.FILTER($DY$7:DY12,$N$7:N12="repo"),IF(ISERR(_xlfn._xlws.FILTER($N$7:N12,$N$7:N12="sold")),DZ11-DY12,0))))</f>
        <v>#N/A</v>
      </c>
      <c r="EA12" s="237" t="e" cm="1">
        <f t="array" aca="1" ref="EA12" ca="1">IF(OR(N12="repo",IFERROR(_xlfn._xlws.FILTER($N$7:N12,$N$7:N12="sold")="sold",FALSE)),0,DP12*DZ11*(DX12/365))</f>
        <v>#N/A</v>
      </c>
      <c r="EB12" s="237" t="e">
        <f t="shared" ca="1" si="36"/>
        <v>#N/A</v>
      </c>
      <c r="EC12" s="237" t="e">
        <f t="shared" ca="1" si="68"/>
        <v>#N/A</v>
      </c>
      <c r="ED12" s="237" cm="1">
        <f t="array" aca="1" ref="ED12" ca="1">_xlfn.IFS(N12="repo",0,N12="sold",DY12-DZ12,N12&lt;&gt;"",DT12-DY12-EB12,N12="",0)</f>
        <v>0</v>
      </c>
      <c r="EE12" s="237" t="e">
        <f t="shared" ca="1" si="37"/>
        <v>#N/A</v>
      </c>
      <c r="EF12" s="237" t="e">
        <f t="shared" ca="1" si="69"/>
        <v>#N/A</v>
      </c>
      <c r="EG12" s="237" t="e">
        <f t="shared" ca="1" si="38"/>
        <v>#N/A</v>
      </c>
    </row>
    <row r="13" spans="1:137" x14ac:dyDescent="0.3">
      <c r="B13" s="83"/>
      <c r="C13" s="205"/>
      <c r="D13" s="84"/>
      <c r="E13" s="84"/>
      <c r="F13" s="190"/>
      <c r="G13" s="190"/>
      <c r="H13" s="190"/>
      <c r="I13" s="190"/>
      <c r="J13" s="85"/>
      <c r="K13" s="85"/>
      <c r="L13" s="113"/>
      <c r="M13" s="87"/>
      <c r="N13" s="191"/>
      <c r="O13" s="272"/>
      <c r="P13" s="184"/>
      <c r="Q13" s="231"/>
      <c r="R13" s="231"/>
      <c r="S13" s="122"/>
      <c r="T13" s="115"/>
      <c r="V13" s="90"/>
      <c r="W13" s="260"/>
      <c r="X13" s="260"/>
      <c r="Y13" s="89"/>
      <c r="Z13" s="91"/>
      <c r="AA13" s="97" t="e" cm="1">
        <f t="array" aca="1" ref="AA13" ca="1">IF(N13="vd",_xlfn.XLOOKUP(B13,INDIRECT("'"&amp;$A$1&amp;"'!"&amp;$AK$1&amp;"[pam_code]"),INDIRECT("'"&amp;$A$1&amp;"'!"&amp;$AK$1&amp;"[int_rate]")),AA12)</f>
        <v>#N/A</v>
      </c>
      <c r="AB13" s="116" t="e" cm="1">
        <f t="array" aca="1" ref="AB13" ca="1">IF(N13="vd",_xlfn.XLOOKUP(B13,INDIRECT("'"&amp;$A$1&amp;"'!"&amp;$AK$1&amp;"[pam_code]"),INDIRECT("'"&amp;$A$1&amp;"'!"&amp;$AK$1&amp;"[eir_rate]")),AB12)</f>
        <v>#N/A</v>
      </c>
      <c r="AC13" s="117" t="e">
        <f t="shared" ca="1" si="39"/>
        <v>#N/A</v>
      </c>
      <c r="AD13" s="93" cm="1">
        <f t="array" aca="1" ref="AD13" ca="1">IFERROR(_xlfn.IFS(G12="jm_vat",(BT12+BW12+CC12)/CG12,G12="npl_vat",(BQ12+BZ12)/CG12,G12="cm_vat",(BT12+BW12+BZ12)/CG12,ISNUMBER(FIND("_all_vat",G13)),CF12/CG12,NOT(ISNUMBER(FIND("_vat",G13))),0,G12=0,0,AND(N13="sold",$DG$7="hp"),0),0)</f>
        <v>0</v>
      </c>
      <c r="AE13" s="94" t="e">
        <f t="shared" ca="1" si="0"/>
        <v>#N/A</v>
      </c>
      <c r="AF13" s="94" t="e">
        <f t="shared" ca="1" si="1"/>
        <v>#N/A</v>
      </c>
      <c r="AG13" s="95">
        <f t="shared" ca="1" si="2"/>
        <v>0</v>
      </c>
      <c r="AH13" s="95">
        <f t="shared" ca="1" si="3"/>
        <v>0</v>
      </c>
      <c r="AK13" s="100" cm="1">
        <f t="array" aca="1" ref="AK13" ca="1">IF(N13="vd",_xlfn.XLOOKUP($B$4,INDIRECT("'"&amp;$A$1&amp;"'!"&amp;$AK$1&amp;"[pam_code]"),INDIRECT("'"&amp;$A$1&amp;"'!"&amp;$AK$1&amp;"[verdict_expense_balance]")),
IF(N13="sold",W13,0))</f>
        <v>0</v>
      </c>
      <c r="AL13" s="96" t="e">
        <f t="shared" ca="1" si="4"/>
        <v>#N/A</v>
      </c>
      <c r="AM13" s="96" t="e">
        <f t="shared" ca="1" si="77"/>
        <v>#N/A</v>
      </c>
      <c r="AN13" s="97" t="e">
        <f t="shared" ca="1" si="40"/>
        <v>#N/A</v>
      </c>
      <c r="AO13" s="98">
        <f t="shared" si="5"/>
        <v>0</v>
      </c>
      <c r="AP13" s="99" t="e">
        <f t="shared" ca="1" si="70"/>
        <v>#N/A</v>
      </c>
      <c r="AQ13" s="96">
        <f t="shared" si="6"/>
        <v>0</v>
      </c>
      <c r="AR13" s="96" t="e">
        <f t="shared" ca="1" si="80"/>
        <v>#N/A</v>
      </c>
      <c r="AS13" s="100">
        <f t="shared" si="41"/>
        <v>0</v>
      </c>
      <c r="AT13" s="96" t="e">
        <f t="shared" ca="1" si="7"/>
        <v>#N/A</v>
      </c>
      <c r="AU13" s="96" t="e">
        <f t="shared" ca="1" si="78"/>
        <v>#N/A</v>
      </c>
      <c r="AV13" s="118"/>
      <c r="AW13" s="100" t="e">
        <f t="shared" ca="1" si="8"/>
        <v>#N/A</v>
      </c>
      <c r="AX13" s="118"/>
      <c r="AY13" s="100"/>
      <c r="BB13" s="100" cm="1">
        <f t="array" aca="1" ref="BB13" ca="1">IF(N13="vd",_xlfn.XLOOKUP(B13,INDIRECT("'"&amp;$A$1&amp;"'!"&amp;$AK$1&amp;"[pam_code]"),INDIRECT("'"&amp;$A$1&amp;"'!"&amp;$AK$1&amp;"[verdict_expense_balance]")),
IF(N13="sold",W13,0))</f>
        <v>0</v>
      </c>
      <c r="BC13" s="100" t="e">
        <f t="shared" ca="1" si="9"/>
        <v>#N/A</v>
      </c>
      <c r="BD13" s="96" t="e">
        <f t="shared" ca="1" si="71"/>
        <v>#N/A</v>
      </c>
      <c r="BE13" s="100" cm="1">
        <f t="array" aca="1" ref="BE13" ca="1">IF(N13="vd",_xlfn.XLOOKUP(B13,INDIRECT("'"&amp;$A$1&amp;"'!"&amp;$AK$1&amp;"[pam_code]"),INDIRECT("'"&amp;$A$1&amp;"'!"&amp;$AK$1&amp;"[verdict_outlay_balance]")),0)</f>
        <v>0</v>
      </c>
      <c r="BF13" s="100" t="e">
        <f t="shared" ca="1" si="10"/>
        <v>#N/A</v>
      </c>
      <c r="BG13" s="96" t="e">
        <f t="shared" ca="1" si="42"/>
        <v>#N/A</v>
      </c>
      <c r="BH13" s="100" cm="1">
        <f t="array" aca="1" ref="BH13" ca="1">IF(N13="vd",_xlfn.XLOOKUP(B13,INDIRECT("'"&amp;$A$1&amp;"'!"&amp;$AK$1&amp;"[pam_code]"),INDIRECT("'"&amp;$A$1&amp;"'!"&amp;$AK$1&amp;"[verdict_loss_balance]")),0)</f>
        <v>0</v>
      </c>
      <c r="BI13" s="100" t="e">
        <f t="shared" ca="1" si="11"/>
        <v>#N/A</v>
      </c>
      <c r="BJ13" s="96" t="e">
        <f t="shared" ca="1" si="43"/>
        <v>#N/A</v>
      </c>
      <c r="BK13" s="100" cm="1">
        <f t="array" aca="1" ref="BK13" ca="1">IF(N13="vd",_xlfn.XLOOKUP(B13,INDIRECT("'"&amp;$A$1&amp;"'!"&amp;$AK$1&amp;"[pam_code]"),INDIRECT("'"&amp;$A$1&amp;"'!"&amp;$AK$1&amp;"[verdict_penalty_balance]")),0)</f>
        <v>0</v>
      </c>
      <c r="BL13" s="100" t="e">
        <f t="shared" ca="1" si="12"/>
        <v>#N/A</v>
      </c>
      <c r="BM13" s="96" t="e">
        <f t="shared" ca="1" si="44"/>
        <v>#N/A</v>
      </c>
      <c r="BN13" s="102">
        <f t="shared" si="13"/>
        <v>0</v>
      </c>
      <c r="BO13" s="119" cm="1">
        <f t="array" aca="1" ref="BO13" ca="1">IF(N13="vd",_xlfn.XLOOKUP(B13,INDIRECT("'"&amp;$A$1&amp;"'!"&amp;$AK$1&amp;"[pam_code]"),INDIRECT("'"&amp;$A$1&amp;"'!"&amp;$AK$1&amp;"[verdict_oldinterest_balance]")),IF(N13="add",Z13,0))</f>
        <v>0</v>
      </c>
      <c r="BP13" s="104" t="e">
        <f t="shared" ca="1" si="14"/>
        <v>#N/A</v>
      </c>
      <c r="BQ13" s="105" t="e">
        <f t="shared" ca="1" si="45"/>
        <v>#N/A</v>
      </c>
      <c r="BR13" s="100" cm="1">
        <f t="array" aca="1" ref="BR13" ca="1">IF(N13="vd",_xlfn.XLOOKUP(B13,INDIRECT("'"&amp;$A$1&amp;"'!"&amp;$AK$1&amp;"[pam_code]"),INDIRECT("'"&amp;$A$1&amp;"'!"&amp;$AK$1&amp;"[verdict_opportunitycost_balance]")),0)</f>
        <v>0</v>
      </c>
      <c r="BS13" s="106" t="e">
        <f t="shared" ca="1" si="15"/>
        <v>#N/A</v>
      </c>
      <c r="BT13" s="96" t="e">
        <f t="shared" ca="1" si="46"/>
        <v>#N/A</v>
      </c>
      <c r="BU13" s="109" cm="1">
        <f t="array" aca="1" ref="BU13" ca="1">IF(N13="vd",_xlfn.XLOOKUP(B13,INDIRECT("'"&amp;$A$1&amp;"'!"&amp;$AK$1&amp;"[pam_code]"),INDIRECT("'"&amp;$A$1&amp;"'!"&amp;$AK$1&amp;"[verdict_oldcharge_balance]")),0)</f>
        <v>0</v>
      </c>
      <c r="BV13" s="108" t="e">
        <f t="shared" ca="1" si="16"/>
        <v>#N/A</v>
      </c>
      <c r="BW13" s="109" t="e">
        <f t="shared" ca="1" si="47"/>
        <v>#N/A</v>
      </c>
      <c r="BX13" s="109" cm="1">
        <f t="array" aca="1" ref="BX13" ca="1">IF(N13="vd",_xlfn.XLOOKUP(B13,INDIRECT("'"&amp;$A$1&amp;"'!"&amp;$AK$1&amp;"[pam_code]"),INDIRECT("'"&amp;$A$1&amp;"'!"&amp;$AK$1&amp;"[verdict_principal_balance]")),0)</f>
        <v>0</v>
      </c>
      <c r="BY13" s="109" t="e">
        <f t="shared" ca="1" si="17"/>
        <v>#N/A</v>
      </c>
      <c r="BZ13" s="109" t="e">
        <f t="shared" ca="1" si="48"/>
        <v>#N/A</v>
      </c>
      <c r="CA13" s="109" cm="1">
        <f t="array" aca="1" ref="CA13" ca="1">IF(N13="vd",_xlfn.XLOOKUP(B13,INDIRECT("'"&amp;$A$1&amp;"'!"&amp;$AK$1&amp;"[pam_code]"),INDIRECT("'"&amp;$A$1&amp;"'!"&amp;$AK$1&amp;"[verdict_replacement_balance]")),0)</f>
        <v>0</v>
      </c>
      <c r="CB13" s="108" t="e">
        <f t="shared" ca="1" si="18"/>
        <v>#N/A</v>
      </c>
      <c r="CC13" s="109" t="e">
        <f t="shared" ca="1" si="49"/>
        <v>#N/A</v>
      </c>
      <c r="CD13" s="109" cm="1">
        <f t="array" aca="1" ref="CD13" ca="1">IF(N13="vd",_xlfn.XLOOKUP(B13,INDIRECT("'"&amp;$A$1&amp;"'!"&amp;$AK$1&amp;"[pam_code]"),INDIRECT("'"&amp;$A$1&amp;"'!"&amp;$AK$1&amp;"[verdict_all_balance]")),0)</f>
        <v>0</v>
      </c>
      <c r="CE13" s="109" t="e">
        <f t="shared" ca="1" si="19"/>
        <v>#N/A</v>
      </c>
      <c r="CF13" s="109" t="e">
        <f t="shared" ca="1" si="50"/>
        <v>#N/A</v>
      </c>
      <c r="CG13" s="109" t="e">
        <f t="shared" ca="1" si="51"/>
        <v>#N/A</v>
      </c>
      <c r="CH13" s="109">
        <f t="shared" si="52"/>
        <v>0</v>
      </c>
      <c r="CI13" s="109" t="e">
        <f t="shared" ca="1" si="53"/>
        <v>#N/A</v>
      </c>
      <c r="CJ13" s="109">
        <f t="shared" si="54"/>
        <v>0</v>
      </c>
      <c r="CK13" s="109">
        <f t="shared" si="55"/>
        <v>0</v>
      </c>
      <c r="CL13" s="230" t="str">
        <f t="shared" si="72"/>
        <v>No information</v>
      </c>
      <c r="CM13" s="109" t="e">
        <f t="shared" ca="1" si="56"/>
        <v>#N/A</v>
      </c>
      <c r="CN13" s="109" t="e">
        <f t="shared" ca="1" si="20"/>
        <v>#N/A</v>
      </c>
      <c r="CO13" s="90" t="e">
        <f t="shared" ca="1" si="21"/>
        <v>#N/A</v>
      </c>
      <c r="CQ13" s="96" t="e">
        <f t="shared" ca="1" si="73"/>
        <v>#N/A</v>
      </c>
      <c r="CR13" s="100" t="e">
        <f t="shared" ca="1" si="57"/>
        <v>#N/A</v>
      </c>
      <c r="CS13" s="120" t="e">
        <f t="shared" ca="1" si="57"/>
        <v>#N/A</v>
      </c>
      <c r="CT13" s="112" t="e">
        <f t="shared" ca="1" si="22"/>
        <v>#N/A</v>
      </c>
      <c r="CU13" s="112" t="e">
        <f t="shared" ca="1" si="74"/>
        <v>#N/A</v>
      </c>
      <c r="CV13" s="97" t="e">
        <f t="shared" ca="1" si="23"/>
        <v>#N/A</v>
      </c>
      <c r="CW13" s="100" cm="1">
        <f t="array" aca="1" ref="CW13" ca="1">IF(N13="vd",_xlfn.XLOOKUP(B13,INDIRECT("'"&amp;$A$1&amp;"'!"&amp;$AK$1&amp;"[pam_code]"),INDIRECT("'"&amp;$A$1&amp;"'!"&amp;$AK$1&amp;"[verdict_expense_balance]")),
IF(N13="sold",W13,0))</f>
        <v>0</v>
      </c>
      <c r="CX13" s="100" t="e">
        <f t="shared" ca="1" si="24"/>
        <v>#N/A</v>
      </c>
      <c r="CY13" s="96" t="e">
        <f t="shared" ca="1" si="79"/>
        <v>#N/A</v>
      </c>
      <c r="CZ13" s="100" t="e">
        <f t="shared" ca="1" si="25"/>
        <v>#N/A</v>
      </c>
      <c r="DA13" s="100">
        <f t="shared" si="26"/>
        <v>0</v>
      </c>
      <c r="DB13" s="100" t="e">
        <f t="shared" ca="1" si="27"/>
        <v>#N/A</v>
      </c>
      <c r="DC13" s="96" t="e">
        <f t="shared" ca="1" si="28"/>
        <v>#N/A</v>
      </c>
      <c r="DD13" s="100" t="e">
        <f t="shared" ca="1" si="29"/>
        <v>#N/A</v>
      </c>
      <c r="DE13" s="100" t="e">
        <f t="shared" ca="1" si="58"/>
        <v>#N/A</v>
      </c>
      <c r="DF13"/>
      <c r="DG13" s="252"/>
      <c r="DH13" s="252"/>
      <c r="DI13" s="234">
        <f t="shared" si="59"/>
        <v>0</v>
      </c>
      <c r="DJ13" s="234">
        <f t="shared" si="60"/>
        <v>0</v>
      </c>
      <c r="DK13" s="234">
        <f t="shared" si="61"/>
        <v>0</v>
      </c>
      <c r="DL13" s="234">
        <f t="shared" si="62"/>
        <v>0</v>
      </c>
      <c r="DM13" s="234">
        <f t="shared" si="63"/>
        <v>0</v>
      </c>
      <c r="DN13" s="235">
        <f t="shared" si="64"/>
        <v>0</v>
      </c>
      <c r="DO13" s="236">
        <f t="shared" si="32"/>
        <v>0</v>
      </c>
      <c r="DP13" s="245">
        <f t="shared" si="65"/>
        <v>0</v>
      </c>
      <c r="DQ13" s="235"/>
      <c r="DR13" s="237">
        <f t="shared" si="33"/>
        <v>0</v>
      </c>
      <c r="DS13" s="237" t="e">
        <f t="shared" ca="1" si="66"/>
        <v>#N/A</v>
      </c>
      <c r="DT13" s="237" t="e">
        <f t="shared" ca="1" si="67"/>
        <v>#N/A</v>
      </c>
      <c r="DU13" s="237" t="e">
        <f t="shared" ca="1" si="75"/>
        <v>#N/A</v>
      </c>
      <c r="DV13" s="237" t="e">
        <f t="shared" ca="1" si="76"/>
        <v>#N/A</v>
      </c>
      <c r="DW13" s="241" t="e">
        <f t="shared" ca="1" si="34"/>
        <v>#N/A</v>
      </c>
      <c r="DX13" s="238" t="e">
        <f t="shared" ca="1" si="35"/>
        <v>#N/A</v>
      </c>
      <c r="DY13" s="237" t="e" cm="1">
        <f t="array" aca="1" ref="DY13" ca="1">_xlfn.UNIQUE(IF(CI13=0,DZ12,IF(N13="repo",DZ12,IF(N13="sold",DT13,IF(ISERR(_xlfn._xlws.FILTER($N$7:N13,$N$7:N13="sold")),MIN(DT13*DW13,DZ12),0)))))</f>
        <v>#N/A</v>
      </c>
      <c r="DZ13" s="237" t="e" cm="1">
        <f t="array" aca="1" ref="DZ13" ca="1">_xlfn.UNIQUE(IF(N13="aq",DQ13,IF(N13="sold",_xlfn._xlws.FILTER($DY$7:DY13,$N$7:N13="repo"),IF(ISERR(_xlfn._xlws.FILTER($N$7:N13,$N$7:N13="sold")),DZ12-DY13,0))))</f>
        <v>#N/A</v>
      </c>
      <c r="EA13" s="237" t="e" cm="1">
        <f t="array" aca="1" ref="EA13" ca="1">IF(OR(N13="repo",IFERROR(_xlfn._xlws.FILTER($N$7:N13,$N$7:N13="sold")="sold",FALSE)),0,DP13*DZ12*(DX13/365))</f>
        <v>#N/A</v>
      </c>
      <c r="EB13" s="237" t="e">
        <f t="shared" ca="1" si="36"/>
        <v>#N/A</v>
      </c>
      <c r="EC13" s="237" t="e">
        <f t="shared" ca="1" si="68"/>
        <v>#N/A</v>
      </c>
      <c r="ED13" s="237" cm="1">
        <f t="array" aca="1" ref="ED13" ca="1">_xlfn.IFS(N13="repo",0,N13="sold",DY13-DZ13,N13&lt;&gt;"",DT13-DY13-EB13,N13="",0)</f>
        <v>0</v>
      </c>
      <c r="EE13" s="237" t="e">
        <f t="shared" ca="1" si="37"/>
        <v>#N/A</v>
      </c>
      <c r="EF13" s="237" t="e">
        <f t="shared" ca="1" si="69"/>
        <v>#N/A</v>
      </c>
      <c r="EG13" s="237" t="e">
        <f t="shared" ca="1" si="38"/>
        <v>#N/A</v>
      </c>
    </row>
    <row r="14" spans="1:137" x14ac:dyDescent="0.3">
      <c r="B14" s="83"/>
      <c r="C14" s="83"/>
      <c r="D14" s="84"/>
      <c r="E14" s="84"/>
      <c r="F14" s="190"/>
      <c r="G14" s="190"/>
      <c r="H14" s="190"/>
      <c r="I14" s="190"/>
      <c r="J14" s="85"/>
      <c r="K14" s="85"/>
      <c r="L14" s="113"/>
      <c r="M14" s="87"/>
      <c r="N14" s="191"/>
      <c r="O14" s="272"/>
      <c r="P14" s="184"/>
      <c r="Q14" s="231"/>
      <c r="R14" s="231"/>
      <c r="S14" s="114"/>
      <c r="T14" s="115"/>
      <c r="U14"/>
      <c r="V14" s="90"/>
      <c r="W14" s="260"/>
      <c r="X14" s="260"/>
      <c r="Y14" s="89"/>
      <c r="Z14" s="91"/>
      <c r="AA14" s="97" t="e" cm="1">
        <f t="array" aca="1" ref="AA14" ca="1">IF(N14="vd",_xlfn.XLOOKUP(B14,INDIRECT("'"&amp;$A$1&amp;"'!"&amp;$AK$1&amp;"[pam_code]"),INDIRECT("'"&amp;$A$1&amp;"'!"&amp;$AK$1&amp;"[int_rate]")),AA13)</f>
        <v>#N/A</v>
      </c>
      <c r="AB14" s="116" t="e" cm="1">
        <f t="array" aca="1" ref="AB14" ca="1">IF(N14="vd",_xlfn.XLOOKUP(B14,INDIRECT("'"&amp;$A$1&amp;"'!"&amp;$AK$1&amp;"[pam_code]"),INDIRECT("'"&amp;$A$1&amp;"'!"&amp;$AK$1&amp;"[eir_rate]")),AB13)</f>
        <v>#N/A</v>
      </c>
      <c r="AC14" s="117" t="e">
        <f t="shared" ca="1" si="39"/>
        <v>#N/A</v>
      </c>
      <c r="AD14" s="93" cm="1">
        <f t="array" aca="1" ref="AD14" ca="1">IFERROR(_xlfn.IFS(G13="jm_vat",(BT13+BW13+CC13)/CG13,G13="npl_vat",(BQ13+BZ13)/CG13,G13="cm_vat",(BT13+BW13+BZ13)/CG13,ISNUMBER(FIND("_all_vat",G14)),CF13/CG13,NOT(ISNUMBER(FIND("_vat",G14))),0,G13=0,0,AND(N14="sold",$DG$7="hp"),0),0)</f>
        <v>0</v>
      </c>
      <c r="AE14" s="94" t="e">
        <f t="shared" ca="1" si="0"/>
        <v>#N/A</v>
      </c>
      <c r="AF14" s="94" t="e">
        <f t="shared" ca="1" si="1"/>
        <v>#N/A</v>
      </c>
      <c r="AG14" s="95">
        <f t="shared" ca="1" si="2"/>
        <v>0</v>
      </c>
      <c r="AH14" s="95">
        <f t="shared" ca="1" si="3"/>
        <v>0</v>
      </c>
      <c r="AK14" s="100" cm="1">
        <f t="array" aca="1" ref="AK14" ca="1">IF(N14="vd",_xlfn.XLOOKUP($B$4,INDIRECT("'"&amp;$A$1&amp;"'!"&amp;$AK$1&amp;"[pam_code]"),INDIRECT("'"&amp;$A$1&amp;"'!"&amp;$AK$1&amp;"[verdict_expense_balance]")),
IF(N14="sold",W14,0))</f>
        <v>0</v>
      </c>
      <c r="AL14" s="96" t="e">
        <f t="shared" ca="1" si="4"/>
        <v>#N/A</v>
      </c>
      <c r="AM14" s="96" t="e">
        <f t="shared" ca="1" si="77"/>
        <v>#N/A</v>
      </c>
      <c r="AN14" s="97" t="e">
        <f t="shared" ca="1" si="40"/>
        <v>#N/A</v>
      </c>
      <c r="AO14" s="98">
        <f t="shared" si="5"/>
        <v>0</v>
      </c>
      <c r="AP14" s="99" t="e">
        <f t="shared" ca="1" si="70"/>
        <v>#N/A</v>
      </c>
      <c r="AQ14" s="96">
        <f t="shared" si="6"/>
        <v>0</v>
      </c>
      <c r="AR14" s="96" t="e">
        <f t="shared" ca="1" si="80"/>
        <v>#N/A</v>
      </c>
      <c r="AS14" s="100">
        <f t="shared" si="41"/>
        <v>0</v>
      </c>
      <c r="AT14" s="96" t="e">
        <f t="shared" ca="1" si="7"/>
        <v>#N/A</v>
      </c>
      <c r="AU14" s="96" t="e">
        <f t="shared" ca="1" si="78"/>
        <v>#N/A</v>
      </c>
      <c r="AV14" s="118"/>
      <c r="AW14" s="100" t="e">
        <f t="shared" ca="1" si="8"/>
        <v>#N/A</v>
      </c>
      <c r="AX14" s="118"/>
      <c r="AY14" s="100"/>
      <c r="BB14" s="100" cm="1">
        <f t="array" aca="1" ref="BB14" ca="1">IF(N14="vd",_xlfn.XLOOKUP(B14,INDIRECT("'"&amp;$A$1&amp;"'!"&amp;$AK$1&amp;"[pam_code]"),INDIRECT("'"&amp;$A$1&amp;"'!"&amp;$AK$1&amp;"[verdict_expense_balance]")),
IF(N14="sold",W14,0))</f>
        <v>0</v>
      </c>
      <c r="BC14" s="100" t="e">
        <f t="shared" ca="1" si="9"/>
        <v>#N/A</v>
      </c>
      <c r="BD14" s="96" t="e">
        <f t="shared" ca="1" si="71"/>
        <v>#N/A</v>
      </c>
      <c r="BE14" s="100" cm="1">
        <f t="array" aca="1" ref="BE14" ca="1">IF(N14="vd",_xlfn.XLOOKUP(B14,INDIRECT("'"&amp;$A$1&amp;"'!"&amp;$AK$1&amp;"[pam_code]"),INDIRECT("'"&amp;$A$1&amp;"'!"&amp;$AK$1&amp;"[verdict_outlay_balance]")),0)</f>
        <v>0</v>
      </c>
      <c r="BF14" s="100" t="e">
        <f t="shared" ca="1" si="10"/>
        <v>#N/A</v>
      </c>
      <c r="BG14" s="96" t="e">
        <f t="shared" ca="1" si="42"/>
        <v>#N/A</v>
      </c>
      <c r="BH14" s="100" cm="1">
        <f t="array" aca="1" ref="BH14" ca="1">IF(N14="vd",_xlfn.XLOOKUP(B14,INDIRECT("'"&amp;$A$1&amp;"'!"&amp;$AK$1&amp;"[pam_code]"),INDIRECT("'"&amp;$A$1&amp;"'!"&amp;$AK$1&amp;"[verdict_loss_balance]")),0)</f>
        <v>0</v>
      </c>
      <c r="BI14" s="100" t="e">
        <f t="shared" ca="1" si="11"/>
        <v>#N/A</v>
      </c>
      <c r="BJ14" s="96" t="e">
        <f t="shared" ca="1" si="43"/>
        <v>#N/A</v>
      </c>
      <c r="BK14" s="100" cm="1">
        <f t="array" aca="1" ref="BK14" ca="1">IF(N14="vd",_xlfn.XLOOKUP(B14,INDIRECT("'"&amp;$A$1&amp;"'!"&amp;$AK$1&amp;"[pam_code]"),INDIRECT("'"&amp;$A$1&amp;"'!"&amp;$AK$1&amp;"[verdict_penalty_balance]")),0)</f>
        <v>0</v>
      </c>
      <c r="BL14" s="100" t="e">
        <f t="shared" ca="1" si="12"/>
        <v>#N/A</v>
      </c>
      <c r="BM14" s="96" t="e">
        <f t="shared" ca="1" si="44"/>
        <v>#N/A</v>
      </c>
      <c r="BN14" s="102">
        <f t="shared" si="13"/>
        <v>0</v>
      </c>
      <c r="BO14" s="119" cm="1">
        <f t="array" aca="1" ref="BO14" ca="1">IF(N14="vd",_xlfn.XLOOKUP(B14,INDIRECT("'"&amp;$A$1&amp;"'!"&amp;$AK$1&amp;"[pam_code]"),INDIRECT("'"&amp;$A$1&amp;"'!"&amp;$AK$1&amp;"[verdict_oldinterest_balance]")),IF(N14="add",Z14,0))</f>
        <v>0</v>
      </c>
      <c r="BP14" s="104" t="e">
        <f t="shared" ca="1" si="14"/>
        <v>#N/A</v>
      </c>
      <c r="BQ14" s="105" t="e">
        <f t="shared" ca="1" si="45"/>
        <v>#N/A</v>
      </c>
      <c r="BR14" s="100" cm="1">
        <f t="array" aca="1" ref="BR14" ca="1">IF(N14="vd",_xlfn.XLOOKUP(B14,INDIRECT("'"&amp;$A$1&amp;"'!"&amp;$AK$1&amp;"[pam_code]"),INDIRECT("'"&amp;$A$1&amp;"'!"&amp;$AK$1&amp;"[verdict_opportunitycost_balance]")),0)</f>
        <v>0</v>
      </c>
      <c r="BS14" s="106" t="e">
        <f t="shared" ca="1" si="15"/>
        <v>#N/A</v>
      </c>
      <c r="BT14" s="96" t="e">
        <f t="shared" ca="1" si="46"/>
        <v>#N/A</v>
      </c>
      <c r="BU14" s="109" cm="1">
        <f t="array" aca="1" ref="BU14" ca="1">IF(N14="vd",_xlfn.XLOOKUP(B14,INDIRECT("'"&amp;$A$1&amp;"'!"&amp;$AK$1&amp;"[pam_code]"),INDIRECT("'"&amp;$A$1&amp;"'!"&amp;$AK$1&amp;"[verdict_oldcharge_balance]")),0)</f>
        <v>0</v>
      </c>
      <c r="BV14" s="108" t="e">
        <f t="shared" ca="1" si="16"/>
        <v>#N/A</v>
      </c>
      <c r="BW14" s="109" t="e">
        <f t="shared" ca="1" si="47"/>
        <v>#N/A</v>
      </c>
      <c r="BX14" s="109" cm="1">
        <f t="array" aca="1" ref="BX14" ca="1">IF(N14="vd",_xlfn.XLOOKUP(B14,INDIRECT("'"&amp;$A$1&amp;"'!"&amp;$AK$1&amp;"[pam_code]"),INDIRECT("'"&amp;$A$1&amp;"'!"&amp;$AK$1&amp;"[verdict_principal_balance]")),0)</f>
        <v>0</v>
      </c>
      <c r="BY14" s="109" t="e">
        <f t="shared" ca="1" si="17"/>
        <v>#N/A</v>
      </c>
      <c r="BZ14" s="109" t="e">
        <f t="shared" ca="1" si="48"/>
        <v>#N/A</v>
      </c>
      <c r="CA14" s="109" cm="1">
        <f t="array" aca="1" ref="CA14" ca="1">IF(N14="vd",_xlfn.XLOOKUP(B14,INDIRECT("'"&amp;$A$1&amp;"'!"&amp;$AK$1&amp;"[pam_code]"),INDIRECT("'"&amp;$A$1&amp;"'!"&amp;$AK$1&amp;"[verdict_replacement_balance]")),0)</f>
        <v>0</v>
      </c>
      <c r="CB14" s="108" t="e">
        <f t="shared" ca="1" si="18"/>
        <v>#N/A</v>
      </c>
      <c r="CC14" s="109" t="e">
        <f t="shared" ca="1" si="49"/>
        <v>#N/A</v>
      </c>
      <c r="CD14" s="109" cm="1">
        <f t="array" aca="1" ref="CD14" ca="1">IF(N14="vd",_xlfn.XLOOKUP(B14,INDIRECT("'"&amp;$A$1&amp;"'!"&amp;$AK$1&amp;"[pam_code]"),INDIRECT("'"&amp;$A$1&amp;"'!"&amp;$AK$1&amp;"[verdict_all_balance]")),0)</f>
        <v>0</v>
      </c>
      <c r="CE14" s="109" t="e">
        <f t="shared" ca="1" si="19"/>
        <v>#N/A</v>
      </c>
      <c r="CF14" s="109" t="e">
        <f t="shared" ca="1" si="50"/>
        <v>#N/A</v>
      </c>
      <c r="CG14" s="109" t="e">
        <f t="shared" ca="1" si="51"/>
        <v>#N/A</v>
      </c>
      <c r="CH14" s="109">
        <f t="shared" si="52"/>
        <v>0</v>
      </c>
      <c r="CI14" s="109" t="e">
        <f t="shared" ca="1" si="53"/>
        <v>#N/A</v>
      </c>
      <c r="CJ14" s="109">
        <f t="shared" si="54"/>
        <v>0</v>
      </c>
      <c r="CK14" s="109">
        <f t="shared" si="55"/>
        <v>0</v>
      </c>
      <c r="CL14" s="230" t="str">
        <f t="shared" si="72"/>
        <v>No information</v>
      </c>
      <c r="CM14" s="109" t="e">
        <f t="shared" ca="1" si="56"/>
        <v>#N/A</v>
      </c>
      <c r="CN14" s="109" t="e">
        <f t="shared" ca="1" si="20"/>
        <v>#N/A</v>
      </c>
      <c r="CO14" s="90" t="e">
        <f t="shared" ca="1" si="21"/>
        <v>#N/A</v>
      </c>
      <c r="CQ14" s="96" t="e">
        <f t="shared" ca="1" si="73"/>
        <v>#N/A</v>
      </c>
      <c r="CR14" s="100" t="e">
        <f t="shared" ca="1" si="57"/>
        <v>#N/A</v>
      </c>
      <c r="CS14" s="120" t="e">
        <f t="shared" ca="1" si="57"/>
        <v>#N/A</v>
      </c>
      <c r="CT14" s="112" t="e">
        <f t="shared" ca="1" si="22"/>
        <v>#N/A</v>
      </c>
      <c r="CU14" s="112" t="e">
        <f t="shared" ca="1" si="74"/>
        <v>#N/A</v>
      </c>
      <c r="CV14" s="97" t="e">
        <f t="shared" ca="1" si="23"/>
        <v>#N/A</v>
      </c>
      <c r="CW14" s="100" cm="1">
        <f t="array" aca="1" ref="CW14" ca="1">IF(N14="vd",_xlfn.XLOOKUP(B14,INDIRECT("'"&amp;$A$1&amp;"'!"&amp;$AK$1&amp;"[pam_code]"),INDIRECT("'"&amp;$A$1&amp;"'!"&amp;$AK$1&amp;"[verdict_expense_balance]")),
IF(N14="sold",W14,0))</f>
        <v>0</v>
      </c>
      <c r="CX14" s="100" t="e">
        <f t="shared" ca="1" si="24"/>
        <v>#N/A</v>
      </c>
      <c r="CY14" s="96" t="e">
        <f t="shared" ca="1" si="79"/>
        <v>#N/A</v>
      </c>
      <c r="CZ14" s="100" t="e">
        <f t="shared" ca="1" si="25"/>
        <v>#N/A</v>
      </c>
      <c r="DA14" s="100">
        <f t="shared" si="26"/>
        <v>0</v>
      </c>
      <c r="DB14" s="100" t="e">
        <f t="shared" ca="1" si="27"/>
        <v>#N/A</v>
      </c>
      <c r="DC14" s="96" t="e">
        <f t="shared" ca="1" si="28"/>
        <v>#N/A</v>
      </c>
      <c r="DD14" s="100" t="e">
        <f t="shared" ca="1" si="29"/>
        <v>#N/A</v>
      </c>
      <c r="DE14" s="100" t="e">
        <f t="shared" ca="1" si="58"/>
        <v>#N/A</v>
      </c>
      <c r="DF14"/>
      <c r="DG14" s="252"/>
      <c r="DH14" s="252"/>
      <c r="DI14" s="234">
        <f t="shared" si="59"/>
        <v>0</v>
      </c>
      <c r="DJ14" s="234">
        <f t="shared" si="60"/>
        <v>0</v>
      </c>
      <c r="DK14" s="234">
        <f t="shared" si="61"/>
        <v>0</v>
      </c>
      <c r="DL14" s="234">
        <f t="shared" si="62"/>
        <v>0</v>
      </c>
      <c r="DM14" s="234">
        <f t="shared" si="63"/>
        <v>0</v>
      </c>
      <c r="DN14" s="235">
        <f t="shared" si="64"/>
        <v>0</v>
      </c>
      <c r="DO14" s="236">
        <f t="shared" si="32"/>
        <v>0</v>
      </c>
      <c r="DP14" s="245">
        <f t="shared" si="65"/>
        <v>0</v>
      </c>
      <c r="DQ14" s="235"/>
      <c r="DR14" s="237">
        <f t="shared" si="33"/>
        <v>0</v>
      </c>
      <c r="DS14" s="237" t="e">
        <f t="shared" ca="1" si="66"/>
        <v>#N/A</v>
      </c>
      <c r="DT14" s="237" t="e">
        <f t="shared" ca="1" si="67"/>
        <v>#N/A</v>
      </c>
      <c r="DU14" s="237" t="e">
        <f t="shared" ca="1" si="75"/>
        <v>#N/A</v>
      </c>
      <c r="DV14" s="237" t="e">
        <f t="shared" ca="1" si="76"/>
        <v>#N/A</v>
      </c>
      <c r="DW14" s="241" t="e">
        <f t="shared" ca="1" si="34"/>
        <v>#N/A</v>
      </c>
      <c r="DX14" s="238" t="e">
        <f t="shared" ca="1" si="35"/>
        <v>#N/A</v>
      </c>
      <c r="DY14" s="237" t="e" cm="1">
        <f t="array" aca="1" ref="DY14" ca="1">_xlfn.UNIQUE(IF(CI14=0,DZ13,IF(N14="repo",DZ13,IF(N14="sold",DT14,IF(ISERR(_xlfn._xlws.FILTER($N$7:N14,$N$7:N14="sold")),MIN(DT14*DW14,DZ13),0)))))</f>
        <v>#N/A</v>
      </c>
      <c r="DZ14" s="237" t="e" cm="1">
        <f t="array" aca="1" ref="DZ14" ca="1">_xlfn.UNIQUE(IF(N14="aq",DQ14,IF(N14="sold",_xlfn._xlws.FILTER($DY$7:DY14,$N$7:N14="repo"),IF(ISERR(_xlfn._xlws.FILTER($N$7:N14,$N$7:N14="sold")),DZ13-DY14,0))))</f>
        <v>#N/A</v>
      </c>
      <c r="EA14" s="237" t="e" cm="1">
        <f t="array" aca="1" ref="EA14" ca="1">IF(OR(N14="repo",IFERROR(_xlfn._xlws.FILTER($N$7:N14,$N$7:N14="sold")="sold",FALSE)),0,DP14*DZ13*(DX14/365))</f>
        <v>#N/A</v>
      </c>
      <c r="EB14" s="237" t="e">
        <f t="shared" ca="1" si="36"/>
        <v>#N/A</v>
      </c>
      <c r="EC14" s="237" t="e">
        <f t="shared" ca="1" si="68"/>
        <v>#N/A</v>
      </c>
      <c r="ED14" s="237" cm="1">
        <f t="array" aca="1" ref="ED14" ca="1">_xlfn.IFS(N14="repo",0,N14="sold",DY14-DZ14,N14&lt;&gt;"",DT14-DY14-EB14,N14="",0)</f>
        <v>0</v>
      </c>
      <c r="EE14" s="237" t="e">
        <f t="shared" ca="1" si="37"/>
        <v>#N/A</v>
      </c>
      <c r="EF14" s="237" t="e">
        <f t="shared" ca="1" si="69"/>
        <v>#N/A</v>
      </c>
      <c r="EG14" s="237" t="e">
        <f t="shared" ca="1" si="38"/>
        <v>#N/A</v>
      </c>
    </row>
    <row r="15" spans="1:137" x14ac:dyDescent="0.3">
      <c r="B15" s="83"/>
      <c r="C15" s="83"/>
      <c r="D15" s="84"/>
      <c r="E15" s="84"/>
      <c r="F15" s="190"/>
      <c r="G15" s="190"/>
      <c r="H15" s="190"/>
      <c r="I15" s="190"/>
      <c r="J15" s="85"/>
      <c r="K15" s="85"/>
      <c r="L15" s="113"/>
      <c r="M15" s="87"/>
      <c r="N15" s="191"/>
      <c r="O15" s="272"/>
      <c r="P15" s="184"/>
      <c r="Q15" s="231"/>
      <c r="R15" s="231"/>
      <c r="S15" s="122"/>
      <c r="T15" s="115"/>
      <c r="U15"/>
      <c r="V15" s="90"/>
      <c r="W15" s="260"/>
      <c r="X15" s="260"/>
      <c r="Y15" s="89"/>
      <c r="Z15" s="91"/>
      <c r="AA15" s="97" t="e" cm="1">
        <f t="array" aca="1" ref="AA15" ca="1">IF(N15="vd",_xlfn.XLOOKUP(B15,INDIRECT("'"&amp;$A$1&amp;"'!"&amp;$AK$1&amp;"[pam_code]"),INDIRECT("'"&amp;$A$1&amp;"'!"&amp;$AK$1&amp;"[int_rate]")),AA14)</f>
        <v>#N/A</v>
      </c>
      <c r="AB15" s="116" t="e" cm="1">
        <f t="array" aca="1" ref="AB15" ca="1">IF(N15="vd",_xlfn.XLOOKUP(B15,INDIRECT("'"&amp;$A$1&amp;"'!"&amp;$AK$1&amp;"[pam_code]"),INDIRECT("'"&amp;$A$1&amp;"'!"&amp;$AK$1&amp;"[eir_rate]")),AB14)</f>
        <v>#N/A</v>
      </c>
      <c r="AC15" s="117" t="e">
        <f t="shared" ca="1" si="39"/>
        <v>#N/A</v>
      </c>
      <c r="AD15" s="93" cm="1">
        <f t="array" aca="1" ref="AD15" ca="1">IFERROR(_xlfn.IFS(G14="jm_vat",(BT14+BW14+CC14)/CG14,G14="npl_vat",(BQ14+BZ14)/CG14,G14="cm_vat",(BT14+BW14+BZ14)/CG14,ISNUMBER(FIND("_all_vat",G15)),CF14/CG14,NOT(ISNUMBER(FIND("_vat",G15))),0,G14=0,0,AND(N15="sold",$DG$7="hp"),0),0)</f>
        <v>0</v>
      </c>
      <c r="AE15" s="94" t="e">
        <f t="shared" ca="1" si="0"/>
        <v>#N/A</v>
      </c>
      <c r="AF15" s="94" t="e">
        <f t="shared" ca="1" si="1"/>
        <v>#N/A</v>
      </c>
      <c r="AG15" s="95">
        <f t="shared" ca="1" si="2"/>
        <v>0</v>
      </c>
      <c r="AH15" s="95">
        <f t="shared" ca="1" si="3"/>
        <v>0</v>
      </c>
      <c r="AK15" s="100" cm="1">
        <f t="array" aca="1" ref="AK15" ca="1">IF(N15="vd",_xlfn.XLOOKUP($B$4,INDIRECT("'"&amp;$A$1&amp;"'!"&amp;$AK$1&amp;"[pam_code]"),INDIRECT("'"&amp;$A$1&amp;"'!"&amp;$AK$1&amp;"[verdict_expense_balance]")),
IF(N15="sold",W15,0))</f>
        <v>0</v>
      </c>
      <c r="AL15" s="96" t="e">
        <f t="shared" ca="1" si="4"/>
        <v>#N/A</v>
      </c>
      <c r="AM15" s="96" t="e">
        <f t="shared" ca="1" si="77"/>
        <v>#N/A</v>
      </c>
      <c r="AN15" s="97" t="e">
        <f t="shared" ca="1" si="40"/>
        <v>#N/A</v>
      </c>
      <c r="AO15" s="98">
        <f t="shared" si="5"/>
        <v>0</v>
      </c>
      <c r="AP15" s="99" t="e">
        <f t="shared" ca="1" si="70"/>
        <v>#N/A</v>
      </c>
      <c r="AQ15" s="96">
        <f t="shared" si="6"/>
        <v>0</v>
      </c>
      <c r="AR15" s="96" t="e">
        <f t="shared" ca="1" si="80"/>
        <v>#N/A</v>
      </c>
      <c r="AS15" s="100">
        <f t="shared" si="41"/>
        <v>0</v>
      </c>
      <c r="AT15" s="96" t="e">
        <f t="shared" ca="1" si="7"/>
        <v>#N/A</v>
      </c>
      <c r="AU15" s="96" t="e">
        <f t="shared" ca="1" si="78"/>
        <v>#N/A</v>
      </c>
      <c r="AV15" s="118"/>
      <c r="AW15" s="100" t="e">
        <f t="shared" ca="1" si="8"/>
        <v>#N/A</v>
      </c>
      <c r="AX15" s="118"/>
      <c r="AY15" s="100"/>
      <c r="BB15" s="100" cm="1">
        <f t="array" aca="1" ref="BB15" ca="1">IF(N15="vd",_xlfn.XLOOKUP(B15,INDIRECT("'"&amp;$A$1&amp;"'!"&amp;$AK$1&amp;"[pam_code]"),INDIRECT("'"&amp;$A$1&amp;"'!"&amp;$AK$1&amp;"[verdict_expense_balance]")),
IF(N15="sold",W15,0))</f>
        <v>0</v>
      </c>
      <c r="BC15" s="100" t="e">
        <f t="shared" ca="1" si="9"/>
        <v>#N/A</v>
      </c>
      <c r="BD15" s="96" t="e">
        <f t="shared" ca="1" si="71"/>
        <v>#N/A</v>
      </c>
      <c r="BE15" s="100" cm="1">
        <f t="array" aca="1" ref="BE15" ca="1">IF(N15="vd",_xlfn.XLOOKUP(B15,INDIRECT("'"&amp;$A$1&amp;"'!"&amp;$AK$1&amp;"[pam_code]"),INDIRECT("'"&amp;$A$1&amp;"'!"&amp;$AK$1&amp;"[verdict_outlay_balance]")),0)</f>
        <v>0</v>
      </c>
      <c r="BF15" s="100" t="e">
        <f t="shared" ca="1" si="10"/>
        <v>#N/A</v>
      </c>
      <c r="BG15" s="96" t="e">
        <f t="shared" ca="1" si="42"/>
        <v>#N/A</v>
      </c>
      <c r="BH15" s="100" cm="1">
        <f t="array" aca="1" ref="BH15" ca="1">IF(N15="vd",_xlfn.XLOOKUP(B15,INDIRECT("'"&amp;$A$1&amp;"'!"&amp;$AK$1&amp;"[pam_code]"),INDIRECT("'"&amp;$A$1&amp;"'!"&amp;$AK$1&amp;"[verdict_loss_balance]")),0)</f>
        <v>0</v>
      </c>
      <c r="BI15" s="100" t="e">
        <f t="shared" ca="1" si="11"/>
        <v>#N/A</v>
      </c>
      <c r="BJ15" s="96" t="e">
        <f t="shared" ca="1" si="43"/>
        <v>#N/A</v>
      </c>
      <c r="BK15" s="100" cm="1">
        <f t="array" aca="1" ref="BK15" ca="1">IF(N15="vd",_xlfn.XLOOKUP(B15,INDIRECT("'"&amp;$A$1&amp;"'!"&amp;$AK$1&amp;"[pam_code]"),INDIRECT("'"&amp;$A$1&amp;"'!"&amp;$AK$1&amp;"[verdict_penalty_balance]")),0)</f>
        <v>0</v>
      </c>
      <c r="BL15" s="100" t="e">
        <f t="shared" ca="1" si="12"/>
        <v>#N/A</v>
      </c>
      <c r="BM15" s="96" t="e">
        <f t="shared" ca="1" si="44"/>
        <v>#N/A</v>
      </c>
      <c r="BN15" s="102">
        <f t="shared" si="13"/>
        <v>0</v>
      </c>
      <c r="BO15" s="119" cm="1">
        <f t="array" aca="1" ref="BO15" ca="1">IF(N15="vd",_xlfn.XLOOKUP(B15,INDIRECT("'"&amp;$A$1&amp;"'!"&amp;$AK$1&amp;"[pam_code]"),INDIRECT("'"&amp;$A$1&amp;"'!"&amp;$AK$1&amp;"[verdict_oldinterest_balance]")),IF(N15="add",Z15,0))</f>
        <v>0</v>
      </c>
      <c r="BP15" s="104" t="e">
        <f t="shared" ca="1" si="14"/>
        <v>#N/A</v>
      </c>
      <c r="BQ15" s="105" t="e">
        <f t="shared" ca="1" si="45"/>
        <v>#N/A</v>
      </c>
      <c r="BR15" s="100" cm="1">
        <f t="array" aca="1" ref="BR15" ca="1">IF(N15="vd",_xlfn.XLOOKUP(B15,INDIRECT("'"&amp;$A$1&amp;"'!"&amp;$AK$1&amp;"[pam_code]"),INDIRECT("'"&amp;$A$1&amp;"'!"&amp;$AK$1&amp;"[verdict_opportunitycost_balance]")),0)</f>
        <v>0</v>
      </c>
      <c r="BS15" s="106" t="e">
        <f t="shared" ca="1" si="15"/>
        <v>#N/A</v>
      </c>
      <c r="BT15" s="96" t="e">
        <f t="shared" ca="1" si="46"/>
        <v>#N/A</v>
      </c>
      <c r="BU15" s="109" cm="1">
        <f t="array" aca="1" ref="BU15" ca="1">IF(N15="vd",_xlfn.XLOOKUP(B15,INDIRECT("'"&amp;$A$1&amp;"'!"&amp;$AK$1&amp;"[pam_code]"),INDIRECT("'"&amp;$A$1&amp;"'!"&amp;$AK$1&amp;"[verdict_oldcharge_balance]")),0)</f>
        <v>0</v>
      </c>
      <c r="BV15" s="108" t="e">
        <f t="shared" ca="1" si="16"/>
        <v>#N/A</v>
      </c>
      <c r="BW15" s="109" t="e">
        <f t="shared" ca="1" si="47"/>
        <v>#N/A</v>
      </c>
      <c r="BX15" s="109" cm="1">
        <f t="array" aca="1" ref="BX15" ca="1">IF(N15="vd",_xlfn.XLOOKUP(B15,INDIRECT("'"&amp;$A$1&amp;"'!"&amp;$AK$1&amp;"[pam_code]"),INDIRECT("'"&amp;$A$1&amp;"'!"&amp;$AK$1&amp;"[verdict_principal_balance]")),0)</f>
        <v>0</v>
      </c>
      <c r="BY15" s="109" t="e">
        <f t="shared" ca="1" si="17"/>
        <v>#N/A</v>
      </c>
      <c r="BZ15" s="109" t="e">
        <f t="shared" ca="1" si="48"/>
        <v>#N/A</v>
      </c>
      <c r="CA15" s="109" cm="1">
        <f t="array" aca="1" ref="CA15" ca="1">IF(N15="vd",_xlfn.XLOOKUP(B15,INDIRECT("'"&amp;$A$1&amp;"'!"&amp;$AK$1&amp;"[pam_code]"),INDIRECT("'"&amp;$A$1&amp;"'!"&amp;$AK$1&amp;"[verdict_replacement_balance]")),0)</f>
        <v>0</v>
      </c>
      <c r="CB15" s="108" t="e">
        <f t="shared" ca="1" si="18"/>
        <v>#N/A</v>
      </c>
      <c r="CC15" s="109" t="e">
        <f t="shared" ca="1" si="49"/>
        <v>#N/A</v>
      </c>
      <c r="CD15" s="109" cm="1">
        <f t="array" aca="1" ref="CD15" ca="1">IF(N15="vd",_xlfn.XLOOKUP(B15,INDIRECT("'"&amp;$A$1&amp;"'!"&amp;$AK$1&amp;"[pam_code]"),INDIRECT("'"&amp;$A$1&amp;"'!"&amp;$AK$1&amp;"[verdict_all_balance]")),0)</f>
        <v>0</v>
      </c>
      <c r="CE15" s="109" t="e">
        <f t="shared" ca="1" si="19"/>
        <v>#N/A</v>
      </c>
      <c r="CF15" s="109" t="e">
        <f t="shared" ca="1" si="50"/>
        <v>#N/A</v>
      </c>
      <c r="CG15" s="109" t="e">
        <f t="shared" ca="1" si="51"/>
        <v>#N/A</v>
      </c>
      <c r="CH15" s="109">
        <f t="shared" si="52"/>
        <v>0</v>
      </c>
      <c r="CI15" s="109" t="e">
        <f t="shared" ca="1" si="53"/>
        <v>#N/A</v>
      </c>
      <c r="CJ15" s="109">
        <f t="shared" si="54"/>
        <v>0</v>
      </c>
      <c r="CK15" s="109">
        <f t="shared" si="55"/>
        <v>0</v>
      </c>
      <c r="CL15" s="230" t="str">
        <f t="shared" si="72"/>
        <v>No information</v>
      </c>
      <c r="CM15" s="109" t="e">
        <f t="shared" ca="1" si="56"/>
        <v>#N/A</v>
      </c>
      <c r="CN15" s="109" t="e">
        <f t="shared" ca="1" si="20"/>
        <v>#N/A</v>
      </c>
      <c r="CO15" s="90" t="e">
        <f t="shared" ca="1" si="21"/>
        <v>#N/A</v>
      </c>
      <c r="CQ15" s="96" t="e">
        <f t="shared" ca="1" si="73"/>
        <v>#N/A</v>
      </c>
      <c r="CR15" s="100" t="e">
        <f t="shared" ca="1" si="57"/>
        <v>#N/A</v>
      </c>
      <c r="CS15" s="120" t="e">
        <f t="shared" ca="1" si="57"/>
        <v>#N/A</v>
      </c>
      <c r="CT15" s="112" t="e">
        <f t="shared" ca="1" si="22"/>
        <v>#N/A</v>
      </c>
      <c r="CU15" s="112" t="e">
        <f t="shared" ca="1" si="74"/>
        <v>#N/A</v>
      </c>
      <c r="CV15" s="97" t="e">
        <f t="shared" ca="1" si="23"/>
        <v>#N/A</v>
      </c>
      <c r="CW15" s="100" cm="1">
        <f t="array" aca="1" ref="CW15" ca="1">IF(N15="vd",_xlfn.XLOOKUP(B15,INDIRECT("'"&amp;$A$1&amp;"'!"&amp;$AK$1&amp;"[pam_code]"),INDIRECT("'"&amp;$A$1&amp;"'!"&amp;$AK$1&amp;"[verdict_expense_balance]")),
IF(N15="sold",W15,0))</f>
        <v>0</v>
      </c>
      <c r="CX15" s="100" t="e">
        <f t="shared" ca="1" si="24"/>
        <v>#N/A</v>
      </c>
      <c r="CY15" s="96" t="e">
        <f t="shared" ca="1" si="79"/>
        <v>#N/A</v>
      </c>
      <c r="CZ15" s="100" t="e">
        <f t="shared" ca="1" si="25"/>
        <v>#N/A</v>
      </c>
      <c r="DA15" s="100">
        <f t="shared" si="26"/>
        <v>0</v>
      </c>
      <c r="DB15" s="100" t="e">
        <f t="shared" ca="1" si="27"/>
        <v>#N/A</v>
      </c>
      <c r="DC15" s="96" t="e">
        <f t="shared" ca="1" si="28"/>
        <v>#N/A</v>
      </c>
      <c r="DD15" s="100" t="e">
        <f t="shared" ca="1" si="29"/>
        <v>#N/A</v>
      </c>
      <c r="DE15" s="100" t="e">
        <f t="shared" ca="1" si="58"/>
        <v>#N/A</v>
      </c>
      <c r="DF15"/>
      <c r="DG15" s="252"/>
      <c r="DH15" s="252"/>
      <c r="DI15" s="234">
        <f t="shared" si="59"/>
        <v>0</v>
      </c>
      <c r="DJ15" s="234">
        <f t="shared" si="60"/>
        <v>0</v>
      </c>
      <c r="DK15" s="234">
        <f t="shared" si="61"/>
        <v>0</v>
      </c>
      <c r="DL15" s="234">
        <f t="shared" si="62"/>
        <v>0</v>
      </c>
      <c r="DM15" s="234">
        <f t="shared" si="63"/>
        <v>0</v>
      </c>
      <c r="DN15" s="235">
        <f t="shared" si="64"/>
        <v>0</v>
      </c>
      <c r="DO15" s="236">
        <f t="shared" si="32"/>
        <v>0</v>
      </c>
      <c r="DP15" s="245">
        <f t="shared" si="65"/>
        <v>0</v>
      </c>
      <c r="DQ15" s="235"/>
      <c r="DR15" s="237">
        <f t="shared" si="33"/>
        <v>0</v>
      </c>
      <c r="DS15" s="237" t="e">
        <f t="shared" ca="1" si="66"/>
        <v>#N/A</v>
      </c>
      <c r="DT15" s="237" t="e">
        <f t="shared" ca="1" si="67"/>
        <v>#N/A</v>
      </c>
      <c r="DU15" s="237" t="e">
        <f t="shared" ca="1" si="75"/>
        <v>#N/A</v>
      </c>
      <c r="DV15" s="237" t="e">
        <f t="shared" ca="1" si="76"/>
        <v>#N/A</v>
      </c>
      <c r="DW15" s="241" t="e">
        <f t="shared" ca="1" si="34"/>
        <v>#N/A</v>
      </c>
      <c r="DX15" s="238" t="e">
        <f t="shared" ca="1" si="35"/>
        <v>#N/A</v>
      </c>
      <c r="DY15" s="237" t="e" cm="1">
        <f t="array" aca="1" ref="DY15" ca="1">_xlfn.UNIQUE(IF(CI15=0,DZ14,IF(N15="repo",DZ14,IF(N15="sold",DT15,IF(ISERR(_xlfn._xlws.FILTER($N$7:N15,$N$7:N15="sold")),MIN(DT15*DW15,DZ14),0)))))</f>
        <v>#N/A</v>
      </c>
      <c r="DZ15" s="237" t="e" cm="1">
        <f t="array" aca="1" ref="DZ15" ca="1">_xlfn.UNIQUE(IF(N15="aq",DQ15,IF(N15="sold",_xlfn._xlws.FILTER($DY$7:DY15,$N$7:N15="repo"),IF(ISERR(_xlfn._xlws.FILTER($N$7:N15,$N$7:N15="sold")),DZ14-DY15,0))))</f>
        <v>#N/A</v>
      </c>
      <c r="EA15" s="237" t="e" cm="1">
        <f t="array" aca="1" ref="EA15" ca="1">IF(OR(N15="repo",IFERROR(_xlfn._xlws.FILTER($N$7:N15,$N$7:N15="sold")="sold",FALSE)),0,DP15*DZ14*(DX15/365))</f>
        <v>#N/A</v>
      </c>
      <c r="EB15" s="237" t="e">
        <f t="shared" ca="1" si="36"/>
        <v>#N/A</v>
      </c>
      <c r="EC15" s="237" t="e">
        <f t="shared" ca="1" si="68"/>
        <v>#N/A</v>
      </c>
      <c r="ED15" s="237" cm="1">
        <f t="array" aca="1" ref="ED15" ca="1">_xlfn.IFS(N15="repo",0,N15="sold",DY15-DZ15,N15&lt;&gt;"",DT15-DY15-EB15,N15="",0)</f>
        <v>0</v>
      </c>
      <c r="EE15" s="237" t="e">
        <f t="shared" ca="1" si="37"/>
        <v>#N/A</v>
      </c>
      <c r="EF15" s="237" t="e">
        <f t="shared" ca="1" si="69"/>
        <v>#N/A</v>
      </c>
      <c r="EG15" s="237" t="e">
        <f t="shared" ca="1" si="38"/>
        <v>#N/A</v>
      </c>
    </row>
    <row r="16" spans="1:137" x14ac:dyDescent="0.3">
      <c r="B16" s="83"/>
      <c r="C16" s="83"/>
      <c r="D16" s="84"/>
      <c r="E16" s="84"/>
      <c r="F16" s="190"/>
      <c r="G16" s="190"/>
      <c r="H16" s="190"/>
      <c r="I16" s="190"/>
      <c r="J16" s="85"/>
      <c r="K16" s="85"/>
      <c r="L16" s="113"/>
      <c r="M16" s="87"/>
      <c r="N16" s="191"/>
      <c r="O16" s="272"/>
      <c r="P16" s="184"/>
      <c r="Q16" s="231"/>
      <c r="R16" s="231"/>
      <c r="S16" s="114"/>
      <c r="T16" s="115"/>
      <c r="U16"/>
      <c r="V16" s="90"/>
      <c r="W16" s="260"/>
      <c r="X16" s="260"/>
      <c r="Y16" s="89"/>
      <c r="Z16" s="91"/>
      <c r="AA16" s="97" t="e" cm="1">
        <f t="array" aca="1" ref="AA16" ca="1">IF(N16="vd",_xlfn.XLOOKUP(B16,INDIRECT("'"&amp;$A$1&amp;"'!"&amp;$AK$1&amp;"[pam_code]"),INDIRECT("'"&amp;$A$1&amp;"'!"&amp;$AK$1&amp;"[int_rate]")),AA15)</f>
        <v>#N/A</v>
      </c>
      <c r="AB16" s="116" t="e" cm="1">
        <f t="array" aca="1" ref="AB16" ca="1">IF(N16="vd",_xlfn.XLOOKUP(B16,INDIRECT("'"&amp;$A$1&amp;"'!"&amp;$AK$1&amp;"[pam_code]"),INDIRECT("'"&amp;$A$1&amp;"'!"&amp;$AK$1&amp;"[eir_rate]")),AB15)</f>
        <v>#N/A</v>
      </c>
      <c r="AC16" s="117" t="e">
        <f t="shared" ca="1" si="39"/>
        <v>#N/A</v>
      </c>
      <c r="AD16" s="93" cm="1">
        <f t="array" aca="1" ref="AD16" ca="1">IFERROR(_xlfn.IFS(G15="jm_vat",(BT15+BW15+CC15)/CG15,G15="npl_vat",(BQ15+BZ15)/CG15,G15="cm_vat",(BT15+BW15+BZ15)/CG15,ISNUMBER(FIND("_all_vat",G16)),CF15/CG15,NOT(ISNUMBER(FIND("_vat",G16))),0,G15=0,0,AND(N16="sold",$DG$7="hp"),0),0)</f>
        <v>0</v>
      </c>
      <c r="AE16" s="94" t="e">
        <f t="shared" ca="1" si="0"/>
        <v>#N/A</v>
      </c>
      <c r="AF16" s="94" t="e">
        <f t="shared" ca="1" si="1"/>
        <v>#N/A</v>
      </c>
      <c r="AG16" s="95">
        <f t="shared" ca="1" si="2"/>
        <v>0</v>
      </c>
      <c r="AH16" s="95">
        <f t="shared" ca="1" si="3"/>
        <v>0</v>
      </c>
      <c r="AK16" s="100" cm="1">
        <f t="array" aca="1" ref="AK16" ca="1">IF(N16="vd",_xlfn.XLOOKUP($B$4,INDIRECT("'"&amp;$A$1&amp;"'!"&amp;$AK$1&amp;"[pam_code]"),INDIRECT("'"&amp;$A$1&amp;"'!"&amp;$AK$1&amp;"[verdict_expense_balance]")),
IF(N16="sold",W16,0))</f>
        <v>0</v>
      </c>
      <c r="AL16" s="96" t="e">
        <f t="shared" ca="1" si="4"/>
        <v>#N/A</v>
      </c>
      <c r="AM16" s="96" t="e">
        <f t="shared" ca="1" si="77"/>
        <v>#N/A</v>
      </c>
      <c r="AN16" s="97" t="e">
        <f t="shared" ca="1" si="40"/>
        <v>#N/A</v>
      </c>
      <c r="AO16" s="98">
        <f t="shared" si="5"/>
        <v>0</v>
      </c>
      <c r="AP16" s="99" t="e">
        <f t="shared" ca="1" si="70"/>
        <v>#N/A</v>
      </c>
      <c r="AQ16" s="96">
        <f t="shared" si="6"/>
        <v>0</v>
      </c>
      <c r="AR16" s="96" t="e">
        <f t="shared" ca="1" si="80"/>
        <v>#N/A</v>
      </c>
      <c r="AS16" s="100">
        <f t="shared" si="41"/>
        <v>0</v>
      </c>
      <c r="AT16" s="96" t="e">
        <f t="shared" ca="1" si="7"/>
        <v>#N/A</v>
      </c>
      <c r="AU16" s="96" t="e">
        <f t="shared" ca="1" si="78"/>
        <v>#N/A</v>
      </c>
      <c r="AV16" s="118"/>
      <c r="AW16" s="100" t="e">
        <f t="shared" ca="1" si="8"/>
        <v>#N/A</v>
      </c>
      <c r="AX16" s="118"/>
      <c r="AY16" s="100"/>
      <c r="BB16" s="100" cm="1">
        <f t="array" aca="1" ref="BB16" ca="1">IF(N16="vd",_xlfn.XLOOKUP(B16,INDIRECT("'"&amp;$A$1&amp;"'!"&amp;$AK$1&amp;"[pam_code]"),INDIRECT("'"&amp;$A$1&amp;"'!"&amp;$AK$1&amp;"[verdict_expense_balance]")),
IF(N16="sold",W16,0))</f>
        <v>0</v>
      </c>
      <c r="BC16" s="100" t="e">
        <f t="shared" ca="1" si="9"/>
        <v>#N/A</v>
      </c>
      <c r="BD16" s="96" t="e">
        <f t="shared" ca="1" si="71"/>
        <v>#N/A</v>
      </c>
      <c r="BE16" s="100" cm="1">
        <f t="array" aca="1" ref="BE16" ca="1">IF(N16="vd",_xlfn.XLOOKUP(B16,INDIRECT("'"&amp;$A$1&amp;"'!"&amp;$AK$1&amp;"[pam_code]"),INDIRECT("'"&amp;$A$1&amp;"'!"&amp;$AK$1&amp;"[verdict_outlay_balance]")),0)</f>
        <v>0</v>
      </c>
      <c r="BF16" s="100" t="e">
        <f t="shared" ca="1" si="10"/>
        <v>#N/A</v>
      </c>
      <c r="BG16" s="96" t="e">
        <f t="shared" ca="1" si="42"/>
        <v>#N/A</v>
      </c>
      <c r="BH16" s="100" cm="1">
        <f t="array" aca="1" ref="BH16" ca="1">IF(N16="vd",_xlfn.XLOOKUP(B16,INDIRECT("'"&amp;$A$1&amp;"'!"&amp;$AK$1&amp;"[pam_code]"),INDIRECT("'"&amp;$A$1&amp;"'!"&amp;$AK$1&amp;"[verdict_loss_balance]")),0)</f>
        <v>0</v>
      </c>
      <c r="BI16" s="100" t="e">
        <f t="shared" ca="1" si="11"/>
        <v>#N/A</v>
      </c>
      <c r="BJ16" s="96" t="e">
        <f t="shared" ca="1" si="43"/>
        <v>#N/A</v>
      </c>
      <c r="BK16" s="100" cm="1">
        <f t="array" aca="1" ref="BK16" ca="1">IF(N16="vd",_xlfn.XLOOKUP(B16,INDIRECT("'"&amp;$A$1&amp;"'!"&amp;$AK$1&amp;"[pam_code]"),INDIRECT("'"&amp;$A$1&amp;"'!"&amp;$AK$1&amp;"[verdict_penalty_balance]")),0)</f>
        <v>0</v>
      </c>
      <c r="BL16" s="100" t="e">
        <f t="shared" ca="1" si="12"/>
        <v>#N/A</v>
      </c>
      <c r="BM16" s="96" t="e">
        <f t="shared" ca="1" si="44"/>
        <v>#N/A</v>
      </c>
      <c r="BN16" s="102">
        <f t="shared" si="13"/>
        <v>0</v>
      </c>
      <c r="BO16" s="119" cm="1">
        <f t="array" aca="1" ref="BO16" ca="1">IF(N16="vd",_xlfn.XLOOKUP(B16,INDIRECT("'"&amp;$A$1&amp;"'!"&amp;$AK$1&amp;"[pam_code]"),INDIRECT("'"&amp;$A$1&amp;"'!"&amp;$AK$1&amp;"[verdict_oldinterest_balance]")),IF(N16="add",Z16,0))</f>
        <v>0</v>
      </c>
      <c r="BP16" s="104" t="e">
        <f t="shared" ca="1" si="14"/>
        <v>#N/A</v>
      </c>
      <c r="BQ16" s="105" t="e">
        <f t="shared" ca="1" si="45"/>
        <v>#N/A</v>
      </c>
      <c r="BR16" s="100" cm="1">
        <f t="array" aca="1" ref="BR16" ca="1">IF(N16="vd",_xlfn.XLOOKUP(B16,INDIRECT("'"&amp;$A$1&amp;"'!"&amp;$AK$1&amp;"[pam_code]"),INDIRECT("'"&amp;$A$1&amp;"'!"&amp;$AK$1&amp;"[verdict_opportunitycost_balance]")),0)</f>
        <v>0</v>
      </c>
      <c r="BS16" s="106" t="e">
        <f t="shared" ca="1" si="15"/>
        <v>#N/A</v>
      </c>
      <c r="BT16" s="96" t="e">
        <f t="shared" ca="1" si="46"/>
        <v>#N/A</v>
      </c>
      <c r="BU16" s="109" cm="1">
        <f t="array" aca="1" ref="BU16" ca="1">IF(N16="vd",_xlfn.XLOOKUP(B16,INDIRECT("'"&amp;$A$1&amp;"'!"&amp;$AK$1&amp;"[pam_code]"),INDIRECT("'"&amp;$A$1&amp;"'!"&amp;$AK$1&amp;"[verdict_oldcharge_balance]")),0)</f>
        <v>0</v>
      </c>
      <c r="BV16" s="108" t="e">
        <f t="shared" ca="1" si="16"/>
        <v>#N/A</v>
      </c>
      <c r="BW16" s="109" t="e">
        <f t="shared" ca="1" si="47"/>
        <v>#N/A</v>
      </c>
      <c r="BX16" s="109" cm="1">
        <f t="array" aca="1" ref="BX16" ca="1">IF(N16="vd",_xlfn.XLOOKUP(B16,INDIRECT("'"&amp;$A$1&amp;"'!"&amp;$AK$1&amp;"[pam_code]"),INDIRECT("'"&amp;$A$1&amp;"'!"&amp;$AK$1&amp;"[verdict_principal_balance]")),0)</f>
        <v>0</v>
      </c>
      <c r="BY16" s="109" t="e">
        <f t="shared" ca="1" si="17"/>
        <v>#N/A</v>
      </c>
      <c r="BZ16" s="109" t="e">
        <f t="shared" ca="1" si="48"/>
        <v>#N/A</v>
      </c>
      <c r="CA16" s="109" cm="1">
        <f t="array" aca="1" ref="CA16" ca="1">IF(N16="vd",_xlfn.XLOOKUP(B16,INDIRECT("'"&amp;$A$1&amp;"'!"&amp;$AK$1&amp;"[pam_code]"),INDIRECT("'"&amp;$A$1&amp;"'!"&amp;$AK$1&amp;"[verdict_replacement_balance]")),0)</f>
        <v>0</v>
      </c>
      <c r="CB16" s="108" t="e">
        <f t="shared" ca="1" si="18"/>
        <v>#N/A</v>
      </c>
      <c r="CC16" s="109" t="e">
        <f t="shared" ca="1" si="49"/>
        <v>#N/A</v>
      </c>
      <c r="CD16" s="109" cm="1">
        <f t="array" aca="1" ref="CD16" ca="1">IF(N16="vd",_xlfn.XLOOKUP(B16,INDIRECT("'"&amp;$A$1&amp;"'!"&amp;$AK$1&amp;"[pam_code]"),INDIRECT("'"&amp;$A$1&amp;"'!"&amp;$AK$1&amp;"[verdict_all_balance]")),0)</f>
        <v>0</v>
      </c>
      <c r="CE16" s="109" t="e">
        <f t="shared" ca="1" si="19"/>
        <v>#N/A</v>
      </c>
      <c r="CF16" s="109" t="e">
        <f t="shared" ca="1" si="50"/>
        <v>#N/A</v>
      </c>
      <c r="CG16" s="109" t="e">
        <f t="shared" ca="1" si="51"/>
        <v>#N/A</v>
      </c>
      <c r="CH16" s="109">
        <f t="shared" si="52"/>
        <v>0</v>
      </c>
      <c r="CI16" s="109" t="e">
        <f t="shared" ca="1" si="53"/>
        <v>#N/A</v>
      </c>
      <c r="CJ16" s="109">
        <f t="shared" si="54"/>
        <v>0</v>
      </c>
      <c r="CK16" s="109">
        <f t="shared" si="55"/>
        <v>0</v>
      </c>
      <c r="CL16" s="230" t="str">
        <f t="shared" si="72"/>
        <v>No information</v>
      </c>
      <c r="CM16" s="109" t="e">
        <f t="shared" ca="1" si="56"/>
        <v>#N/A</v>
      </c>
      <c r="CN16" s="109" t="e">
        <f t="shared" ca="1" si="20"/>
        <v>#N/A</v>
      </c>
      <c r="CO16" s="90" t="e">
        <f t="shared" ca="1" si="21"/>
        <v>#N/A</v>
      </c>
      <c r="CQ16" s="96" t="e">
        <f t="shared" ca="1" si="73"/>
        <v>#N/A</v>
      </c>
      <c r="CR16" s="100" t="e">
        <f t="shared" ca="1" si="57"/>
        <v>#N/A</v>
      </c>
      <c r="CS16" s="120" t="e">
        <f t="shared" ca="1" si="57"/>
        <v>#N/A</v>
      </c>
      <c r="CT16" s="112" t="e">
        <f t="shared" ca="1" si="22"/>
        <v>#N/A</v>
      </c>
      <c r="CU16" s="112" t="e">
        <f t="shared" ca="1" si="74"/>
        <v>#N/A</v>
      </c>
      <c r="CV16" s="97" t="e">
        <f t="shared" ca="1" si="23"/>
        <v>#N/A</v>
      </c>
      <c r="CW16" s="100" cm="1">
        <f t="array" aca="1" ref="CW16" ca="1">IF(N16="vd",_xlfn.XLOOKUP(B16,INDIRECT("'"&amp;$A$1&amp;"'!"&amp;$AK$1&amp;"[pam_code]"),INDIRECT("'"&amp;$A$1&amp;"'!"&amp;$AK$1&amp;"[verdict_expense_balance]")),
IF(N16="sold",W16,0))</f>
        <v>0</v>
      </c>
      <c r="CX16" s="100" t="e">
        <f t="shared" ca="1" si="24"/>
        <v>#N/A</v>
      </c>
      <c r="CY16" s="96" t="e">
        <f t="shared" ca="1" si="79"/>
        <v>#N/A</v>
      </c>
      <c r="CZ16" s="100" t="e">
        <f t="shared" ca="1" si="25"/>
        <v>#N/A</v>
      </c>
      <c r="DA16" s="100">
        <f t="shared" si="26"/>
        <v>0</v>
      </c>
      <c r="DB16" s="100" t="e">
        <f t="shared" ca="1" si="27"/>
        <v>#N/A</v>
      </c>
      <c r="DC16" s="96" t="e">
        <f t="shared" ca="1" si="28"/>
        <v>#N/A</v>
      </c>
      <c r="DD16" s="100" t="e">
        <f t="shared" ca="1" si="29"/>
        <v>#N/A</v>
      </c>
      <c r="DE16" s="100" t="e">
        <f t="shared" ca="1" si="58"/>
        <v>#N/A</v>
      </c>
      <c r="DF16"/>
      <c r="DG16" s="252"/>
      <c r="DH16" s="252"/>
      <c r="DI16" s="234">
        <f t="shared" si="59"/>
        <v>0</v>
      </c>
      <c r="DJ16" s="234">
        <f t="shared" si="60"/>
        <v>0</v>
      </c>
      <c r="DK16" s="234">
        <f t="shared" si="61"/>
        <v>0</v>
      </c>
      <c r="DL16" s="234">
        <f t="shared" si="62"/>
        <v>0</v>
      </c>
      <c r="DM16" s="234">
        <f t="shared" si="63"/>
        <v>0</v>
      </c>
      <c r="DN16" s="235">
        <f t="shared" si="64"/>
        <v>0</v>
      </c>
      <c r="DO16" s="236">
        <f t="shared" si="32"/>
        <v>0</v>
      </c>
      <c r="DP16" s="245">
        <f t="shared" si="65"/>
        <v>0</v>
      </c>
      <c r="DQ16" s="235"/>
      <c r="DR16" s="237">
        <f t="shared" si="33"/>
        <v>0</v>
      </c>
      <c r="DS16" s="237" t="e">
        <f t="shared" ca="1" si="66"/>
        <v>#N/A</v>
      </c>
      <c r="DT16" s="237" t="e">
        <f t="shared" ca="1" si="67"/>
        <v>#N/A</v>
      </c>
      <c r="DU16" s="237" t="e">
        <f t="shared" ca="1" si="75"/>
        <v>#N/A</v>
      </c>
      <c r="DV16" s="237" t="e">
        <f t="shared" ca="1" si="76"/>
        <v>#N/A</v>
      </c>
      <c r="DW16" s="241" t="e">
        <f t="shared" ca="1" si="34"/>
        <v>#N/A</v>
      </c>
      <c r="DX16" s="238" t="e">
        <f t="shared" ca="1" si="35"/>
        <v>#N/A</v>
      </c>
      <c r="DY16" s="237" t="e" cm="1">
        <f t="array" aca="1" ref="DY16" ca="1">_xlfn.UNIQUE(IF(CI16=0,DZ15,IF(N16="repo",DZ15,IF(N16="sold",DT16,IF(ISERR(_xlfn._xlws.FILTER($N$7:N16,$N$7:N16="sold")),MIN(DT16*DW16,DZ15),0)))))</f>
        <v>#N/A</v>
      </c>
      <c r="DZ16" s="237" t="e" cm="1">
        <f t="array" aca="1" ref="DZ16" ca="1">_xlfn.UNIQUE(IF(N16="aq",DQ16,IF(N16="sold",_xlfn._xlws.FILTER($DY$7:DY16,$N$7:N16="repo"),IF(ISERR(_xlfn._xlws.FILTER($N$7:N16,$N$7:N16="sold")),DZ15-DY16,0))))</f>
        <v>#N/A</v>
      </c>
      <c r="EA16" s="237" t="e" cm="1">
        <f t="array" aca="1" ref="EA16" ca="1">IF(OR(N16="repo",IFERROR(_xlfn._xlws.FILTER($N$7:N16,$N$7:N16="sold")="sold",FALSE)),0,DP16*DZ15*(DX16/365))</f>
        <v>#N/A</v>
      </c>
      <c r="EB16" s="237" t="e">
        <f t="shared" ca="1" si="36"/>
        <v>#N/A</v>
      </c>
      <c r="EC16" s="237" t="e">
        <f t="shared" ca="1" si="68"/>
        <v>#N/A</v>
      </c>
      <c r="ED16" s="237" cm="1">
        <f t="array" aca="1" ref="ED16" ca="1">_xlfn.IFS(N16="repo",0,N16="sold",DY16-DZ16,N16&lt;&gt;"",DT16-DY16-EB16,N16="",0)</f>
        <v>0</v>
      </c>
      <c r="EE16" s="237" t="e">
        <f t="shared" ca="1" si="37"/>
        <v>#N/A</v>
      </c>
      <c r="EF16" s="237" t="e">
        <f t="shared" ca="1" si="69"/>
        <v>#N/A</v>
      </c>
      <c r="EG16" s="237" t="e">
        <f t="shared" ca="1" si="38"/>
        <v>#N/A</v>
      </c>
    </row>
    <row r="17" spans="2:137" x14ac:dyDescent="0.3">
      <c r="B17" s="83"/>
      <c r="C17" s="83"/>
      <c r="D17" s="84"/>
      <c r="E17" s="84"/>
      <c r="F17" s="190"/>
      <c r="G17" s="190"/>
      <c r="H17" s="190"/>
      <c r="I17" s="190"/>
      <c r="J17" s="85"/>
      <c r="K17" s="85"/>
      <c r="L17" s="113"/>
      <c r="M17" s="87"/>
      <c r="N17" s="191"/>
      <c r="O17" s="272"/>
      <c r="P17" s="184"/>
      <c r="Q17" s="231"/>
      <c r="R17" s="231"/>
      <c r="S17" s="114"/>
      <c r="T17" s="115"/>
      <c r="U17"/>
      <c r="V17" s="90"/>
      <c r="W17" s="260"/>
      <c r="X17" s="260"/>
      <c r="Y17" s="89"/>
      <c r="Z17" s="91"/>
      <c r="AA17" s="97" t="e" cm="1">
        <f t="array" aca="1" ref="AA17" ca="1">IF(N17="vd",_xlfn.XLOOKUP(B17,INDIRECT("'"&amp;$A$1&amp;"'!"&amp;$AK$1&amp;"[pam_code]"),INDIRECT("'"&amp;$A$1&amp;"'!"&amp;$AK$1&amp;"[int_rate]")),AA16)</f>
        <v>#N/A</v>
      </c>
      <c r="AB17" s="116" t="e" cm="1">
        <f t="array" aca="1" ref="AB17" ca="1">IF(N17="vd",_xlfn.XLOOKUP(B17,INDIRECT("'"&amp;$A$1&amp;"'!"&amp;$AK$1&amp;"[pam_code]"),INDIRECT("'"&amp;$A$1&amp;"'!"&amp;$AK$1&amp;"[eir_rate]")),AB16)</f>
        <v>#N/A</v>
      </c>
      <c r="AC17" s="117" t="e">
        <f t="shared" ca="1" si="39"/>
        <v>#N/A</v>
      </c>
      <c r="AD17" s="93" cm="1">
        <f t="array" aca="1" ref="AD17" ca="1">IFERROR(_xlfn.IFS(G16="jm_vat",(BT16+BW16+CC16)/CG16,G16="npl_vat",(BQ16+BZ16)/CG16,G16="cm_vat",(BT16+BW16+BZ16)/CG16,ISNUMBER(FIND("_all_vat",G17)),CF16/CG16,NOT(ISNUMBER(FIND("_vat",G17))),0,G16=0,0,AND(N17="sold",$DG$7="hp"),0),0)</f>
        <v>0</v>
      </c>
      <c r="AE17" s="94" t="e">
        <f t="shared" ca="1" si="0"/>
        <v>#N/A</v>
      </c>
      <c r="AF17" s="94" t="e">
        <f t="shared" ca="1" si="1"/>
        <v>#N/A</v>
      </c>
      <c r="AG17" s="95">
        <f t="shared" ca="1" si="2"/>
        <v>0</v>
      </c>
      <c r="AH17" s="95">
        <f t="shared" ca="1" si="3"/>
        <v>0</v>
      </c>
      <c r="AK17" s="100" cm="1">
        <f t="array" aca="1" ref="AK17" ca="1">IF(N17="vd",_xlfn.XLOOKUP($B$4,INDIRECT("'"&amp;$A$1&amp;"'!"&amp;$AK$1&amp;"[pam_code]"),INDIRECT("'"&amp;$A$1&amp;"'!"&amp;$AK$1&amp;"[verdict_expense_balance]")),
IF(N17="sold",W17,0))</f>
        <v>0</v>
      </c>
      <c r="AL17" s="96" t="e">
        <f t="shared" ca="1" si="4"/>
        <v>#N/A</v>
      </c>
      <c r="AM17" s="96" t="e">
        <f t="shared" ca="1" si="77"/>
        <v>#N/A</v>
      </c>
      <c r="AN17" s="97" t="e">
        <f t="shared" ca="1" si="40"/>
        <v>#N/A</v>
      </c>
      <c r="AO17" s="98">
        <f t="shared" si="5"/>
        <v>0</v>
      </c>
      <c r="AP17" s="99" t="e">
        <f t="shared" ca="1" si="70"/>
        <v>#N/A</v>
      </c>
      <c r="AQ17" s="96">
        <f t="shared" si="6"/>
        <v>0</v>
      </c>
      <c r="AR17" s="96" t="e">
        <f t="shared" ca="1" si="80"/>
        <v>#N/A</v>
      </c>
      <c r="AS17" s="100">
        <f t="shared" si="41"/>
        <v>0</v>
      </c>
      <c r="AT17" s="96" t="e">
        <f t="shared" ca="1" si="7"/>
        <v>#N/A</v>
      </c>
      <c r="AU17" s="96" t="e">
        <f t="shared" ca="1" si="78"/>
        <v>#N/A</v>
      </c>
      <c r="AV17" s="118"/>
      <c r="AW17" s="100" t="e">
        <f t="shared" ca="1" si="8"/>
        <v>#N/A</v>
      </c>
      <c r="AX17" s="118"/>
      <c r="AY17" s="100"/>
      <c r="BB17" s="100" cm="1">
        <f t="array" aca="1" ref="BB17" ca="1">IF(N17="vd",_xlfn.XLOOKUP(B17,INDIRECT("'"&amp;$A$1&amp;"'!"&amp;$AK$1&amp;"[pam_code]"),INDIRECT("'"&amp;$A$1&amp;"'!"&amp;$AK$1&amp;"[verdict_expense_balance]")),
IF(N17="sold",W17,0))</f>
        <v>0</v>
      </c>
      <c r="BC17" s="100" t="e">
        <f t="shared" ca="1" si="9"/>
        <v>#N/A</v>
      </c>
      <c r="BD17" s="96" t="e">
        <f t="shared" ca="1" si="71"/>
        <v>#N/A</v>
      </c>
      <c r="BE17" s="100" cm="1">
        <f t="array" aca="1" ref="BE17" ca="1">IF(N17="vd",_xlfn.XLOOKUP(B17,INDIRECT("'"&amp;$A$1&amp;"'!"&amp;$AK$1&amp;"[pam_code]"),INDIRECT("'"&amp;$A$1&amp;"'!"&amp;$AK$1&amp;"[verdict_outlay_balance]")),0)</f>
        <v>0</v>
      </c>
      <c r="BF17" s="100" t="e">
        <f t="shared" ca="1" si="10"/>
        <v>#N/A</v>
      </c>
      <c r="BG17" s="96" t="e">
        <f t="shared" ca="1" si="42"/>
        <v>#N/A</v>
      </c>
      <c r="BH17" s="100" cm="1">
        <f t="array" aca="1" ref="BH17" ca="1">IF(N17="vd",_xlfn.XLOOKUP(B17,INDIRECT("'"&amp;$A$1&amp;"'!"&amp;$AK$1&amp;"[pam_code]"),INDIRECT("'"&amp;$A$1&amp;"'!"&amp;$AK$1&amp;"[verdict_loss_balance]")),0)</f>
        <v>0</v>
      </c>
      <c r="BI17" s="100" t="e">
        <f t="shared" ca="1" si="11"/>
        <v>#N/A</v>
      </c>
      <c r="BJ17" s="96" t="e">
        <f t="shared" ca="1" si="43"/>
        <v>#N/A</v>
      </c>
      <c r="BK17" s="100" cm="1">
        <f t="array" aca="1" ref="BK17" ca="1">IF(N17="vd",_xlfn.XLOOKUP(B17,INDIRECT("'"&amp;$A$1&amp;"'!"&amp;$AK$1&amp;"[pam_code]"),INDIRECT("'"&amp;$A$1&amp;"'!"&amp;$AK$1&amp;"[verdict_penalty_balance]")),0)</f>
        <v>0</v>
      </c>
      <c r="BL17" s="100" t="e">
        <f t="shared" ca="1" si="12"/>
        <v>#N/A</v>
      </c>
      <c r="BM17" s="96" t="e">
        <f t="shared" ca="1" si="44"/>
        <v>#N/A</v>
      </c>
      <c r="BN17" s="102">
        <f t="shared" si="13"/>
        <v>0</v>
      </c>
      <c r="BO17" s="119" cm="1">
        <f t="array" aca="1" ref="BO17" ca="1">IF(N17="vd",_xlfn.XLOOKUP(B17,INDIRECT("'"&amp;$A$1&amp;"'!"&amp;$AK$1&amp;"[pam_code]"),INDIRECT("'"&amp;$A$1&amp;"'!"&amp;$AK$1&amp;"[verdict_oldinterest_balance]")),IF(N17="add",Z17,0))</f>
        <v>0</v>
      </c>
      <c r="BP17" s="104" t="e">
        <f t="shared" ca="1" si="14"/>
        <v>#N/A</v>
      </c>
      <c r="BQ17" s="105" t="e">
        <f t="shared" ca="1" si="45"/>
        <v>#N/A</v>
      </c>
      <c r="BR17" s="100" cm="1">
        <f t="array" aca="1" ref="BR17" ca="1">IF(N17="vd",_xlfn.XLOOKUP(B17,INDIRECT("'"&amp;$A$1&amp;"'!"&amp;$AK$1&amp;"[pam_code]"),INDIRECT("'"&amp;$A$1&amp;"'!"&amp;$AK$1&amp;"[verdict_opportunitycost_balance]")),0)</f>
        <v>0</v>
      </c>
      <c r="BS17" s="106" t="e">
        <f t="shared" ca="1" si="15"/>
        <v>#N/A</v>
      </c>
      <c r="BT17" s="96" t="e">
        <f t="shared" ca="1" si="46"/>
        <v>#N/A</v>
      </c>
      <c r="BU17" s="109" cm="1">
        <f t="array" aca="1" ref="BU17" ca="1">IF(N17="vd",_xlfn.XLOOKUP(B17,INDIRECT("'"&amp;$A$1&amp;"'!"&amp;$AK$1&amp;"[pam_code]"),INDIRECT("'"&amp;$A$1&amp;"'!"&amp;$AK$1&amp;"[verdict_oldcharge_balance]")),0)</f>
        <v>0</v>
      </c>
      <c r="BV17" s="108" t="e">
        <f t="shared" ca="1" si="16"/>
        <v>#N/A</v>
      </c>
      <c r="BW17" s="109" t="e">
        <f t="shared" ca="1" si="47"/>
        <v>#N/A</v>
      </c>
      <c r="BX17" s="109" cm="1">
        <f t="array" aca="1" ref="BX17" ca="1">IF(N17="vd",_xlfn.XLOOKUP(B17,INDIRECT("'"&amp;$A$1&amp;"'!"&amp;$AK$1&amp;"[pam_code]"),INDIRECT("'"&amp;$A$1&amp;"'!"&amp;$AK$1&amp;"[verdict_principal_balance]")),0)</f>
        <v>0</v>
      </c>
      <c r="BY17" s="109" t="e">
        <f t="shared" ca="1" si="17"/>
        <v>#N/A</v>
      </c>
      <c r="BZ17" s="109" t="e">
        <f t="shared" ca="1" si="48"/>
        <v>#N/A</v>
      </c>
      <c r="CA17" s="109" cm="1">
        <f t="array" aca="1" ref="CA17" ca="1">IF(N17="vd",_xlfn.XLOOKUP(B17,INDIRECT("'"&amp;$A$1&amp;"'!"&amp;$AK$1&amp;"[pam_code]"),INDIRECT("'"&amp;$A$1&amp;"'!"&amp;$AK$1&amp;"[verdict_replacement_balance]")),0)</f>
        <v>0</v>
      </c>
      <c r="CB17" s="108" t="e">
        <f t="shared" ca="1" si="18"/>
        <v>#N/A</v>
      </c>
      <c r="CC17" s="109" t="e">
        <f t="shared" ca="1" si="49"/>
        <v>#N/A</v>
      </c>
      <c r="CD17" s="109" cm="1">
        <f t="array" aca="1" ref="CD17" ca="1">IF(N17="vd",_xlfn.XLOOKUP(B17,INDIRECT("'"&amp;$A$1&amp;"'!"&amp;$AK$1&amp;"[pam_code]"),INDIRECT("'"&amp;$A$1&amp;"'!"&amp;$AK$1&amp;"[verdict_all_balance]")),0)</f>
        <v>0</v>
      </c>
      <c r="CE17" s="109" t="e">
        <f t="shared" ca="1" si="19"/>
        <v>#N/A</v>
      </c>
      <c r="CF17" s="109" t="e">
        <f t="shared" ca="1" si="50"/>
        <v>#N/A</v>
      </c>
      <c r="CG17" s="109" t="e">
        <f t="shared" ca="1" si="51"/>
        <v>#N/A</v>
      </c>
      <c r="CH17" s="109">
        <f t="shared" si="52"/>
        <v>0</v>
      </c>
      <c r="CI17" s="109" t="e">
        <f t="shared" ca="1" si="53"/>
        <v>#N/A</v>
      </c>
      <c r="CJ17" s="109">
        <f t="shared" si="54"/>
        <v>0</v>
      </c>
      <c r="CK17" s="109">
        <f t="shared" si="55"/>
        <v>0</v>
      </c>
      <c r="CL17" s="230" t="str">
        <f t="shared" si="72"/>
        <v>No information</v>
      </c>
      <c r="CM17" s="109" t="e">
        <f t="shared" ca="1" si="56"/>
        <v>#N/A</v>
      </c>
      <c r="CN17" s="109" t="e">
        <f t="shared" ca="1" si="20"/>
        <v>#N/A</v>
      </c>
      <c r="CO17" s="90" t="e">
        <f t="shared" ca="1" si="21"/>
        <v>#N/A</v>
      </c>
      <c r="CQ17" s="96" t="e">
        <f t="shared" ca="1" si="73"/>
        <v>#N/A</v>
      </c>
      <c r="CR17" s="100" t="e">
        <f t="shared" ca="1" si="57"/>
        <v>#N/A</v>
      </c>
      <c r="CS17" s="120" t="e">
        <f t="shared" ca="1" si="57"/>
        <v>#N/A</v>
      </c>
      <c r="CT17" s="112" t="e">
        <f t="shared" ca="1" si="22"/>
        <v>#N/A</v>
      </c>
      <c r="CU17" s="112" t="e">
        <f t="shared" ca="1" si="74"/>
        <v>#N/A</v>
      </c>
      <c r="CV17" s="97" t="e">
        <f t="shared" ca="1" si="23"/>
        <v>#N/A</v>
      </c>
      <c r="CW17" s="100" cm="1">
        <f t="array" aca="1" ref="CW17" ca="1">IF(N17="vd",_xlfn.XLOOKUP(B17,INDIRECT("'"&amp;$A$1&amp;"'!"&amp;$AK$1&amp;"[pam_code]"),INDIRECT("'"&amp;$A$1&amp;"'!"&amp;$AK$1&amp;"[verdict_expense_balance]")),
IF(N17="sold",W17,0))</f>
        <v>0</v>
      </c>
      <c r="CX17" s="100" t="e">
        <f t="shared" ca="1" si="24"/>
        <v>#N/A</v>
      </c>
      <c r="CY17" s="96" t="e">
        <f t="shared" ca="1" si="79"/>
        <v>#N/A</v>
      </c>
      <c r="CZ17" s="100" t="e">
        <f t="shared" ca="1" si="25"/>
        <v>#N/A</v>
      </c>
      <c r="DA17" s="100">
        <f t="shared" si="26"/>
        <v>0</v>
      </c>
      <c r="DB17" s="100" t="e">
        <f t="shared" ca="1" si="27"/>
        <v>#N/A</v>
      </c>
      <c r="DC17" s="96" t="e">
        <f t="shared" ca="1" si="28"/>
        <v>#N/A</v>
      </c>
      <c r="DD17" s="100" t="e">
        <f t="shared" ca="1" si="29"/>
        <v>#N/A</v>
      </c>
      <c r="DE17" s="100" t="e">
        <f t="shared" ca="1" si="58"/>
        <v>#N/A</v>
      </c>
      <c r="DF17"/>
      <c r="DG17" s="252"/>
      <c r="DH17" s="252"/>
      <c r="DI17" s="234">
        <f t="shared" si="59"/>
        <v>0</v>
      </c>
      <c r="DJ17" s="234">
        <f t="shared" si="60"/>
        <v>0</v>
      </c>
      <c r="DK17" s="234">
        <f t="shared" si="61"/>
        <v>0</v>
      </c>
      <c r="DL17" s="234">
        <f t="shared" si="62"/>
        <v>0</v>
      </c>
      <c r="DM17" s="234">
        <f t="shared" si="63"/>
        <v>0</v>
      </c>
      <c r="DN17" s="235">
        <f t="shared" si="64"/>
        <v>0</v>
      </c>
      <c r="DO17" s="236">
        <f t="shared" si="32"/>
        <v>0</v>
      </c>
      <c r="DP17" s="245">
        <f t="shared" si="65"/>
        <v>0</v>
      </c>
      <c r="DQ17" s="235"/>
      <c r="DR17" s="237">
        <f t="shared" si="33"/>
        <v>0</v>
      </c>
      <c r="DS17" s="237" t="e">
        <f t="shared" ca="1" si="66"/>
        <v>#N/A</v>
      </c>
      <c r="DT17" s="237" t="e">
        <f t="shared" ca="1" si="67"/>
        <v>#N/A</v>
      </c>
      <c r="DU17" s="237" t="e">
        <f t="shared" ca="1" si="75"/>
        <v>#N/A</v>
      </c>
      <c r="DV17" s="237" t="e">
        <f t="shared" ca="1" si="76"/>
        <v>#N/A</v>
      </c>
      <c r="DW17" s="241" t="e">
        <f t="shared" ca="1" si="34"/>
        <v>#N/A</v>
      </c>
      <c r="DX17" s="238" t="e">
        <f t="shared" ca="1" si="35"/>
        <v>#N/A</v>
      </c>
      <c r="DY17" s="237" t="e" cm="1">
        <f t="array" aca="1" ref="DY17" ca="1">_xlfn.UNIQUE(IF(CI17=0,DZ16,IF(N17="repo",DZ16,IF(N17="sold",DT17,IF(ISERR(_xlfn._xlws.FILTER($N$7:N17,$N$7:N17="sold")),MIN(DT17*DW17,DZ16),0)))))</f>
        <v>#N/A</v>
      </c>
      <c r="DZ17" s="237" t="e" cm="1">
        <f t="array" aca="1" ref="DZ17" ca="1">_xlfn.UNIQUE(IF(N17="aq",DQ17,IF(N17="sold",_xlfn._xlws.FILTER($DY$7:DY17,$N$7:N17="repo"),IF(ISERR(_xlfn._xlws.FILTER($N$7:N17,$N$7:N17="sold")),DZ16-DY17,0))))</f>
        <v>#N/A</v>
      </c>
      <c r="EA17" s="237" t="e" cm="1">
        <f t="array" aca="1" ref="EA17" ca="1">IF(OR(N17="repo",IFERROR(_xlfn._xlws.FILTER($N$7:N17,$N$7:N17="sold")="sold",FALSE)),0,DP17*DZ16*(DX17/365))</f>
        <v>#N/A</v>
      </c>
      <c r="EB17" s="237" t="e">
        <f t="shared" ca="1" si="36"/>
        <v>#N/A</v>
      </c>
      <c r="EC17" s="237" t="e">
        <f t="shared" ca="1" si="68"/>
        <v>#N/A</v>
      </c>
      <c r="ED17" s="237" cm="1">
        <f t="array" aca="1" ref="ED17" ca="1">_xlfn.IFS(N17="repo",0,N17="sold",DY17-DZ17,N17&lt;&gt;"",DT17-DY17-EB17,N17="",0)</f>
        <v>0</v>
      </c>
      <c r="EE17" s="237" t="e">
        <f t="shared" ca="1" si="37"/>
        <v>#N/A</v>
      </c>
      <c r="EF17" s="237" t="e">
        <f t="shared" ca="1" si="69"/>
        <v>#N/A</v>
      </c>
      <c r="EG17" s="237" t="e">
        <f t="shared" ca="1" si="38"/>
        <v>#N/A</v>
      </c>
    </row>
    <row r="18" spans="2:137" x14ac:dyDescent="0.3">
      <c r="B18" s="83"/>
      <c r="C18" s="83"/>
      <c r="D18" s="84"/>
      <c r="E18" s="84"/>
      <c r="F18" s="190"/>
      <c r="G18" s="190"/>
      <c r="H18" s="190"/>
      <c r="I18" s="190"/>
      <c r="J18" s="85"/>
      <c r="K18" s="85"/>
      <c r="L18" s="113"/>
      <c r="M18" s="87"/>
      <c r="N18" s="191"/>
      <c r="O18" s="272"/>
      <c r="P18" s="184"/>
      <c r="Q18" s="121"/>
      <c r="R18" s="121"/>
      <c r="S18" s="114"/>
      <c r="T18" s="90"/>
      <c r="U18"/>
      <c r="V18" s="90"/>
      <c r="W18" s="260"/>
      <c r="X18" s="260"/>
      <c r="Y18" s="89"/>
      <c r="Z18" s="91"/>
      <c r="AA18" s="97" t="e" cm="1">
        <f t="array" aca="1" ref="AA18" ca="1">IF(N18="vd",_xlfn.XLOOKUP(B18,INDIRECT("'"&amp;$A$1&amp;"'!"&amp;$AK$1&amp;"[pam_code]"),INDIRECT("'"&amp;$A$1&amp;"'!"&amp;$AK$1&amp;"[int_rate]")),AA17)</f>
        <v>#N/A</v>
      </c>
      <c r="AB18" s="116" t="e" cm="1">
        <f t="array" aca="1" ref="AB18" ca="1">IF(N18="vd",_xlfn.XLOOKUP(B18,INDIRECT("'"&amp;$A$1&amp;"'!"&amp;$AK$1&amp;"[pam_code]"),INDIRECT("'"&amp;$A$1&amp;"'!"&amp;$AK$1&amp;"[eir_rate]")),AB17)</f>
        <v>#N/A</v>
      </c>
      <c r="AC18" s="117" t="e">
        <f t="shared" ca="1" si="39"/>
        <v>#N/A</v>
      </c>
      <c r="AD18" s="93" cm="1">
        <f t="array" aca="1" ref="AD18" ca="1">IFERROR(_xlfn.IFS(G17="jm_vat",(BT17+BW17+CC17)/CG17,G17="npl_vat",(BQ17+BZ17)/CG17,G17="cm_vat",(BT17+BW17+BZ17)/CG17,ISNUMBER(FIND("_all_vat",G18)),CF17/CG17,NOT(ISNUMBER(FIND("_vat",G18))),0,G17=0,0,AND(N18="sold",$DG$7="hp"),0),0)</f>
        <v>0</v>
      </c>
      <c r="AE18" s="94" t="e">
        <f t="shared" ca="1" si="0"/>
        <v>#N/A</v>
      </c>
      <c r="AF18" s="94" t="e">
        <f t="shared" ca="1" si="1"/>
        <v>#N/A</v>
      </c>
      <c r="AG18" s="95">
        <f t="shared" ca="1" si="2"/>
        <v>0</v>
      </c>
      <c r="AH18" s="95">
        <f t="shared" ca="1" si="3"/>
        <v>0</v>
      </c>
      <c r="AK18" s="100" cm="1">
        <f t="array" aca="1" ref="AK18" ca="1">IF(N18="vd",_xlfn.XLOOKUP($B$4,INDIRECT("'"&amp;$A$1&amp;"'!"&amp;$AK$1&amp;"[pam_code]"),INDIRECT("'"&amp;$A$1&amp;"'!"&amp;$AK$1&amp;"[verdict_expense_balance]")),
IF(N18="sold",W18,0))</f>
        <v>0</v>
      </c>
      <c r="AL18" s="96" t="e">
        <f t="shared" ca="1" si="4"/>
        <v>#N/A</v>
      </c>
      <c r="AM18" s="96" t="e">
        <f t="shared" ca="1" si="77"/>
        <v>#N/A</v>
      </c>
      <c r="AN18" s="97" t="e">
        <f t="shared" ca="1" si="40"/>
        <v>#N/A</v>
      </c>
      <c r="AO18" s="98">
        <f t="shared" si="5"/>
        <v>0</v>
      </c>
      <c r="AP18" s="99" t="e">
        <f t="shared" ca="1" si="70"/>
        <v>#N/A</v>
      </c>
      <c r="AQ18" s="96">
        <f t="shared" si="6"/>
        <v>0</v>
      </c>
      <c r="AR18" s="96" t="e">
        <f t="shared" ca="1" si="80"/>
        <v>#N/A</v>
      </c>
      <c r="AS18" s="100">
        <f t="shared" si="41"/>
        <v>0</v>
      </c>
      <c r="AT18" s="96" t="e">
        <f t="shared" ca="1" si="7"/>
        <v>#N/A</v>
      </c>
      <c r="AU18" s="96" t="e">
        <f t="shared" ca="1" si="78"/>
        <v>#N/A</v>
      </c>
      <c r="AV18" s="118"/>
      <c r="AW18" s="100" t="e">
        <f t="shared" ca="1" si="8"/>
        <v>#N/A</v>
      </c>
      <c r="AX18" s="118"/>
      <c r="AY18" s="100"/>
      <c r="BB18" s="100" cm="1">
        <f t="array" aca="1" ref="BB18" ca="1">IF(N18="vd",_xlfn.XLOOKUP(B18,INDIRECT("'"&amp;$A$1&amp;"'!"&amp;$AK$1&amp;"[pam_code]"),INDIRECT("'"&amp;$A$1&amp;"'!"&amp;$AK$1&amp;"[verdict_expense_balance]")),
IF(N18="sold",W18,0))</f>
        <v>0</v>
      </c>
      <c r="BC18" s="100" t="e">
        <f t="shared" ca="1" si="9"/>
        <v>#N/A</v>
      </c>
      <c r="BD18" s="96" t="e">
        <f t="shared" ca="1" si="71"/>
        <v>#N/A</v>
      </c>
      <c r="BE18" s="100" cm="1">
        <f t="array" aca="1" ref="BE18" ca="1">IF(N18="vd",_xlfn.XLOOKUP(B18,INDIRECT("'"&amp;$A$1&amp;"'!"&amp;$AK$1&amp;"[pam_code]"),INDIRECT("'"&amp;$A$1&amp;"'!"&amp;$AK$1&amp;"[verdict_outlay_balance]")),0)</f>
        <v>0</v>
      </c>
      <c r="BF18" s="100" t="e">
        <f t="shared" ca="1" si="10"/>
        <v>#N/A</v>
      </c>
      <c r="BG18" s="96" t="e">
        <f t="shared" ca="1" si="42"/>
        <v>#N/A</v>
      </c>
      <c r="BH18" s="100" cm="1">
        <f t="array" aca="1" ref="BH18" ca="1">IF(N18="vd",_xlfn.XLOOKUP(B18,INDIRECT("'"&amp;$A$1&amp;"'!"&amp;$AK$1&amp;"[pam_code]"),INDIRECT("'"&amp;$A$1&amp;"'!"&amp;$AK$1&amp;"[verdict_loss_balance]")),0)</f>
        <v>0</v>
      </c>
      <c r="BI18" s="100" t="e">
        <f t="shared" ca="1" si="11"/>
        <v>#N/A</v>
      </c>
      <c r="BJ18" s="96" t="e">
        <f t="shared" ca="1" si="43"/>
        <v>#N/A</v>
      </c>
      <c r="BK18" s="100" cm="1">
        <f t="array" aca="1" ref="BK18" ca="1">IF(N18="vd",_xlfn.XLOOKUP(B18,INDIRECT("'"&amp;$A$1&amp;"'!"&amp;$AK$1&amp;"[pam_code]"),INDIRECT("'"&amp;$A$1&amp;"'!"&amp;$AK$1&amp;"[verdict_penalty_balance]")),0)</f>
        <v>0</v>
      </c>
      <c r="BL18" s="100" t="e">
        <f t="shared" ca="1" si="12"/>
        <v>#N/A</v>
      </c>
      <c r="BM18" s="96" t="e">
        <f t="shared" ca="1" si="44"/>
        <v>#N/A</v>
      </c>
      <c r="BN18" s="102">
        <f t="shared" si="13"/>
        <v>0</v>
      </c>
      <c r="BO18" s="119" cm="1">
        <f t="array" aca="1" ref="BO18" ca="1">IF(N18="vd",_xlfn.XLOOKUP(B18,INDIRECT("'"&amp;$A$1&amp;"'!"&amp;$AK$1&amp;"[pam_code]"),INDIRECT("'"&amp;$A$1&amp;"'!"&amp;$AK$1&amp;"[verdict_oldinterest_balance]")),IF(N18="add",Z18,0))</f>
        <v>0</v>
      </c>
      <c r="BP18" s="104" t="e">
        <f t="shared" ca="1" si="14"/>
        <v>#N/A</v>
      </c>
      <c r="BQ18" s="105" t="e">
        <f t="shared" ca="1" si="45"/>
        <v>#N/A</v>
      </c>
      <c r="BR18" s="100" cm="1">
        <f t="array" aca="1" ref="BR18" ca="1">IF(N18="vd",_xlfn.XLOOKUP(B18,INDIRECT("'"&amp;$A$1&amp;"'!"&amp;$AK$1&amp;"[pam_code]"),INDIRECT("'"&amp;$A$1&amp;"'!"&amp;$AK$1&amp;"[verdict_opportunitycost_balance]")),0)</f>
        <v>0</v>
      </c>
      <c r="BS18" s="106" t="e">
        <f t="shared" ca="1" si="15"/>
        <v>#N/A</v>
      </c>
      <c r="BT18" s="96" t="e">
        <f t="shared" ca="1" si="46"/>
        <v>#N/A</v>
      </c>
      <c r="BU18" s="109" cm="1">
        <f t="array" aca="1" ref="BU18" ca="1">IF(N18="vd",_xlfn.XLOOKUP(B18,INDIRECT("'"&amp;$A$1&amp;"'!"&amp;$AK$1&amp;"[pam_code]"),INDIRECT("'"&amp;$A$1&amp;"'!"&amp;$AK$1&amp;"[verdict_oldcharge_balance]")),0)</f>
        <v>0</v>
      </c>
      <c r="BV18" s="108" t="e">
        <f t="shared" ca="1" si="16"/>
        <v>#N/A</v>
      </c>
      <c r="BW18" s="109" t="e">
        <f t="shared" ca="1" si="47"/>
        <v>#N/A</v>
      </c>
      <c r="BX18" s="109" cm="1">
        <f t="array" aca="1" ref="BX18" ca="1">IF(N18="vd",_xlfn.XLOOKUP(B18,INDIRECT("'"&amp;$A$1&amp;"'!"&amp;$AK$1&amp;"[pam_code]"),INDIRECT("'"&amp;$A$1&amp;"'!"&amp;$AK$1&amp;"[verdict_principal_balance]")),0)</f>
        <v>0</v>
      </c>
      <c r="BY18" s="109" t="e">
        <f t="shared" ca="1" si="17"/>
        <v>#N/A</v>
      </c>
      <c r="BZ18" s="109" t="e">
        <f t="shared" ca="1" si="48"/>
        <v>#N/A</v>
      </c>
      <c r="CA18" s="109" cm="1">
        <f t="array" aca="1" ref="CA18" ca="1">IF(N18="vd",_xlfn.XLOOKUP(B18,INDIRECT("'"&amp;$A$1&amp;"'!"&amp;$AK$1&amp;"[pam_code]"),INDIRECT("'"&amp;$A$1&amp;"'!"&amp;$AK$1&amp;"[verdict_replacement_balance]")),0)</f>
        <v>0</v>
      </c>
      <c r="CB18" s="108" t="e">
        <f t="shared" ca="1" si="18"/>
        <v>#N/A</v>
      </c>
      <c r="CC18" s="109" t="e">
        <f t="shared" ca="1" si="49"/>
        <v>#N/A</v>
      </c>
      <c r="CD18" s="109" cm="1">
        <f t="array" aca="1" ref="CD18" ca="1">IF(N18="vd",_xlfn.XLOOKUP(B18,INDIRECT("'"&amp;$A$1&amp;"'!"&amp;$AK$1&amp;"[pam_code]"),INDIRECT("'"&amp;$A$1&amp;"'!"&amp;$AK$1&amp;"[verdict_all_balance]")),0)</f>
        <v>0</v>
      </c>
      <c r="CE18" s="109" t="e">
        <f t="shared" ca="1" si="19"/>
        <v>#N/A</v>
      </c>
      <c r="CF18" s="109" t="e">
        <f t="shared" ca="1" si="50"/>
        <v>#N/A</v>
      </c>
      <c r="CG18" s="109" t="e">
        <f t="shared" ca="1" si="51"/>
        <v>#N/A</v>
      </c>
      <c r="CH18" s="109">
        <f t="shared" si="52"/>
        <v>0</v>
      </c>
      <c r="CI18" s="109" t="e">
        <f t="shared" ca="1" si="53"/>
        <v>#N/A</v>
      </c>
      <c r="CJ18" s="109">
        <f t="shared" si="54"/>
        <v>0</v>
      </c>
      <c r="CK18" s="109">
        <f t="shared" si="55"/>
        <v>0</v>
      </c>
      <c r="CL18" s="230" t="str">
        <f t="shared" si="72"/>
        <v>No information</v>
      </c>
      <c r="CM18" s="109" t="e">
        <f t="shared" ca="1" si="56"/>
        <v>#N/A</v>
      </c>
      <c r="CN18" s="109" t="e">
        <f t="shared" ca="1" si="20"/>
        <v>#N/A</v>
      </c>
      <c r="CO18" s="90" t="e">
        <f t="shared" ca="1" si="21"/>
        <v>#N/A</v>
      </c>
      <c r="CQ18" s="96" t="e">
        <f t="shared" ca="1" si="73"/>
        <v>#N/A</v>
      </c>
      <c r="CR18" s="100" t="e">
        <f t="shared" ca="1" si="57"/>
        <v>#N/A</v>
      </c>
      <c r="CS18" s="120" t="e">
        <f t="shared" ca="1" si="57"/>
        <v>#N/A</v>
      </c>
      <c r="CT18" s="112" t="e">
        <f t="shared" ca="1" si="22"/>
        <v>#N/A</v>
      </c>
      <c r="CU18" s="112" t="e">
        <f t="shared" ca="1" si="74"/>
        <v>#N/A</v>
      </c>
      <c r="CV18" s="97" t="e">
        <f t="shared" ca="1" si="23"/>
        <v>#N/A</v>
      </c>
      <c r="CW18" s="100" cm="1">
        <f t="array" aca="1" ref="CW18" ca="1">IF(N18="vd",_xlfn.XLOOKUP(B18,INDIRECT("'"&amp;$A$1&amp;"'!"&amp;$AK$1&amp;"[pam_code]"),INDIRECT("'"&amp;$A$1&amp;"'!"&amp;$AK$1&amp;"[verdict_expense_balance]")),
IF(N18="sold",W18,0))</f>
        <v>0</v>
      </c>
      <c r="CX18" s="100" t="e">
        <f t="shared" ca="1" si="24"/>
        <v>#N/A</v>
      </c>
      <c r="CY18" s="96" t="e">
        <f t="shared" ca="1" si="79"/>
        <v>#N/A</v>
      </c>
      <c r="CZ18" s="100" t="e">
        <f t="shared" ca="1" si="25"/>
        <v>#N/A</v>
      </c>
      <c r="DA18" s="100">
        <f t="shared" si="26"/>
        <v>0</v>
      </c>
      <c r="DB18" s="100" t="e">
        <f t="shared" ca="1" si="27"/>
        <v>#N/A</v>
      </c>
      <c r="DC18" s="96" t="e">
        <f t="shared" ca="1" si="28"/>
        <v>#N/A</v>
      </c>
      <c r="DD18" s="100" t="e">
        <f t="shared" ca="1" si="29"/>
        <v>#N/A</v>
      </c>
      <c r="DE18" s="100" t="e">
        <f t="shared" ca="1" si="58"/>
        <v>#N/A</v>
      </c>
      <c r="DF18"/>
      <c r="DG18" s="252"/>
      <c r="DH18" s="252"/>
      <c r="DI18" s="234">
        <f t="shared" si="59"/>
        <v>0</v>
      </c>
      <c r="DJ18" s="234">
        <f t="shared" si="60"/>
        <v>0</v>
      </c>
      <c r="DK18" s="234">
        <f t="shared" si="61"/>
        <v>0</v>
      </c>
      <c r="DL18" s="234">
        <f t="shared" si="62"/>
        <v>0</v>
      </c>
      <c r="DM18" s="234">
        <f t="shared" si="63"/>
        <v>0</v>
      </c>
      <c r="DN18" s="235">
        <f t="shared" si="64"/>
        <v>0</v>
      </c>
      <c r="DO18" s="236">
        <f t="shared" si="32"/>
        <v>0</v>
      </c>
      <c r="DP18" s="245">
        <f t="shared" si="65"/>
        <v>0</v>
      </c>
      <c r="DQ18" s="235"/>
      <c r="DR18" s="237">
        <f t="shared" si="33"/>
        <v>0</v>
      </c>
      <c r="DS18" s="237" t="e">
        <f t="shared" ca="1" si="66"/>
        <v>#N/A</v>
      </c>
      <c r="DT18" s="237" t="e">
        <f t="shared" ca="1" si="67"/>
        <v>#N/A</v>
      </c>
      <c r="DU18" s="237" t="e">
        <f t="shared" ca="1" si="75"/>
        <v>#N/A</v>
      </c>
      <c r="DV18" s="237" t="e">
        <f t="shared" ca="1" si="76"/>
        <v>#N/A</v>
      </c>
      <c r="DW18" s="241" t="e">
        <f t="shared" ca="1" si="34"/>
        <v>#N/A</v>
      </c>
      <c r="DX18" s="238" t="e">
        <f t="shared" ca="1" si="35"/>
        <v>#N/A</v>
      </c>
      <c r="DY18" s="237" t="e" cm="1">
        <f t="array" aca="1" ref="DY18" ca="1">_xlfn.UNIQUE(IF(CI18=0,DZ17,IF(N18="repo",DZ17,IF(N18="sold",DT18,IF(ISERR(_xlfn._xlws.FILTER($N$7:N18,$N$7:N18="sold")),MIN(DT18*DW18,DZ17),0)))))</f>
        <v>#N/A</v>
      </c>
      <c r="DZ18" s="237" t="e" cm="1">
        <f t="array" aca="1" ref="DZ18" ca="1">_xlfn.UNIQUE(IF(N18="aq",DQ18,IF(N18="sold",_xlfn._xlws.FILTER($DY$7:DY18,$N$7:N18="repo"),IF(ISERR(_xlfn._xlws.FILTER($N$7:N18,$N$7:N18="sold")),DZ17-DY18,0))))</f>
        <v>#N/A</v>
      </c>
      <c r="EA18" s="237" t="e" cm="1">
        <f t="array" aca="1" ref="EA18" ca="1">IF(OR(N18="repo",IFERROR(_xlfn._xlws.FILTER($N$7:N18,$N$7:N18="sold")="sold",FALSE)),0,DP18*DZ17*(DX18/365))</f>
        <v>#N/A</v>
      </c>
      <c r="EB18" s="237" t="e">
        <f t="shared" ca="1" si="36"/>
        <v>#N/A</v>
      </c>
      <c r="EC18" s="237" t="e">
        <f t="shared" ca="1" si="68"/>
        <v>#N/A</v>
      </c>
      <c r="ED18" s="237" cm="1">
        <f t="array" aca="1" ref="ED18" ca="1">_xlfn.IFS(N18="repo",0,N18="sold",DY18-DZ18,N18&lt;&gt;"",DT18-DY18-EB18,N18="",0)</f>
        <v>0</v>
      </c>
      <c r="EE18" s="237" t="e">
        <f t="shared" ca="1" si="37"/>
        <v>#N/A</v>
      </c>
      <c r="EF18" s="237" t="e">
        <f t="shared" ca="1" si="69"/>
        <v>#N/A</v>
      </c>
      <c r="EG18" s="237" t="e">
        <f t="shared" ca="1" si="38"/>
        <v>#N/A</v>
      </c>
    </row>
    <row r="19" spans="2:137" x14ac:dyDescent="0.3">
      <c r="B19" s="83"/>
      <c r="C19" s="83"/>
      <c r="D19" s="84"/>
      <c r="E19" s="84"/>
      <c r="F19" s="190"/>
      <c r="G19" s="190"/>
      <c r="H19" s="190"/>
      <c r="I19" s="190"/>
      <c r="J19" s="85"/>
      <c r="K19" s="85"/>
      <c r="L19" s="113"/>
      <c r="M19" s="87"/>
      <c r="N19" s="191"/>
      <c r="O19" s="272"/>
      <c r="P19" s="184"/>
      <c r="Q19" s="121"/>
      <c r="R19" s="121"/>
      <c r="S19" s="114"/>
      <c r="T19" s="90"/>
      <c r="U19"/>
      <c r="V19" s="90"/>
      <c r="W19" s="260"/>
      <c r="X19" s="260"/>
      <c r="Y19" s="89"/>
      <c r="Z19" s="91"/>
      <c r="AA19" s="97" t="e" cm="1">
        <f t="array" aca="1" ref="AA19" ca="1">IF(N19="vd",_xlfn.XLOOKUP(B19,INDIRECT("'"&amp;$A$1&amp;"'!"&amp;$AK$1&amp;"[pam_code]"),INDIRECT("'"&amp;$A$1&amp;"'!"&amp;$AK$1&amp;"[int_rate]")),AA18)</f>
        <v>#N/A</v>
      </c>
      <c r="AB19" s="116" t="e" cm="1">
        <f t="array" aca="1" ref="AB19" ca="1">IF(N19="vd",_xlfn.XLOOKUP(B19,INDIRECT("'"&amp;$A$1&amp;"'!"&amp;$AK$1&amp;"[pam_code]"),INDIRECT("'"&amp;$A$1&amp;"'!"&amp;$AK$1&amp;"[eir_rate]")),AB18)</f>
        <v>#N/A</v>
      </c>
      <c r="AC19" s="117" t="e">
        <f t="shared" ca="1" si="39"/>
        <v>#N/A</v>
      </c>
      <c r="AD19" s="93" cm="1">
        <f t="array" aca="1" ref="AD19" ca="1">IFERROR(_xlfn.IFS(G18="jm_vat",(BT18+BW18+CC18)/CG18,G18="npl_vat",(BQ18+BZ18)/CG18,G18="cm_vat",(BT18+BW18+BZ18)/CG18,ISNUMBER(FIND("_all_vat",G19)),CF18/CG18,NOT(ISNUMBER(FIND("_vat",G19))),0,G18=0,0,AND(N19="sold",$DG$7="hp"),0),0)</f>
        <v>0</v>
      </c>
      <c r="AE19" s="94" t="e">
        <f t="shared" ca="1" si="0"/>
        <v>#N/A</v>
      </c>
      <c r="AF19" s="94" t="e">
        <f t="shared" ca="1" si="1"/>
        <v>#N/A</v>
      </c>
      <c r="AG19" s="95">
        <f t="shared" ca="1" si="2"/>
        <v>0</v>
      </c>
      <c r="AH19" s="95">
        <f t="shared" ca="1" si="3"/>
        <v>0</v>
      </c>
      <c r="AK19" s="100" cm="1">
        <f t="array" aca="1" ref="AK19" ca="1">IF(N19="vd",_xlfn.XLOOKUP($B$4,INDIRECT("'"&amp;$A$1&amp;"'!"&amp;$AK$1&amp;"[pam_code]"),INDIRECT("'"&amp;$A$1&amp;"'!"&amp;$AK$1&amp;"[verdict_expense_balance]")),
IF(N19="sold",W19,0))</f>
        <v>0</v>
      </c>
      <c r="AL19" s="96" t="e">
        <f t="shared" ca="1" si="4"/>
        <v>#N/A</v>
      </c>
      <c r="AM19" s="96" t="e">
        <f t="shared" ca="1" si="77"/>
        <v>#N/A</v>
      </c>
      <c r="AN19" s="97" t="e">
        <f t="shared" ca="1" si="40"/>
        <v>#N/A</v>
      </c>
      <c r="AO19" s="98">
        <f t="shared" si="5"/>
        <v>0</v>
      </c>
      <c r="AP19" s="99" t="e">
        <f t="shared" ca="1" si="70"/>
        <v>#N/A</v>
      </c>
      <c r="AQ19" s="96">
        <f t="shared" si="6"/>
        <v>0</v>
      </c>
      <c r="AR19" s="96" t="e">
        <f t="shared" ca="1" si="80"/>
        <v>#N/A</v>
      </c>
      <c r="AS19" s="100">
        <f t="shared" si="41"/>
        <v>0</v>
      </c>
      <c r="AT19" s="96" t="e">
        <f t="shared" ca="1" si="7"/>
        <v>#N/A</v>
      </c>
      <c r="AU19" s="96" t="e">
        <f t="shared" ca="1" si="78"/>
        <v>#N/A</v>
      </c>
      <c r="AV19" s="118"/>
      <c r="AW19" s="100" t="e">
        <f t="shared" ca="1" si="8"/>
        <v>#N/A</v>
      </c>
      <c r="AX19" s="118"/>
      <c r="AY19" s="100"/>
      <c r="BB19" s="100" cm="1">
        <f t="array" aca="1" ref="BB19" ca="1">IF(N19="vd",_xlfn.XLOOKUP(B19,INDIRECT("'"&amp;$A$1&amp;"'!"&amp;$AK$1&amp;"[pam_code]"),INDIRECT("'"&amp;$A$1&amp;"'!"&amp;$AK$1&amp;"[verdict_expense_balance]")),
IF(N19="sold",W19,0))</f>
        <v>0</v>
      </c>
      <c r="BC19" s="100" t="e">
        <f t="shared" ca="1" si="9"/>
        <v>#N/A</v>
      </c>
      <c r="BD19" s="96" t="e">
        <f t="shared" ca="1" si="71"/>
        <v>#N/A</v>
      </c>
      <c r="BE19" s="100" cm="1">
        <f t="array" aca="1" ref="BE19" ca="1">IF(N19="vd",_xlfn.XLOOKUP(B19,INDIRECT("'"&amp;$A$1&amp;"'!"&amp;$AK$1&amp;"[pam_code]"),INDIRECT("'"&amp;$A$1&amp;"'!"&amp;$AK$1&amp;"[verdict_outlay_balance]")),0)</f>
        <v>0</v>
      </c>
      <c r="BF19" s="100" t="e">
        <f t="shared" ca="1" si="10"/>
        <v>#N/A</v>
      </c>
      <c r="BG19" s="96" t="e">
        <f t="shared" ca="1" si="42"/>
        <v>#N/A</v>
      </c>
      <c r="BH19" s="100" cm="1">
        <f t="array" aca="1" ref="BH19" ca="1">IF(N19="vd",_xlfn.XLOOKUP(B19,INDIRECT("'"&amp;$A$1&amp;"'!"&amp;$AK$1&amp;"[pam_code]"),INDIRECT("'"&amp;$A$1&amp;"'!"&amp;$AK$1&amp;"[verdict_loss_balance]")),0)</f>
        <v>0</v>
      </c>
      <c r="BI19" s="100" t="e">
        <f t="shared" ca="1" si="11"/>
        <v>#N/A</v>
      </c>
      <c r="BJ19" s="96" t="e">
        <f t="shared" ca="1" si="43"/>
        <v>#N/A</v>
      </c>
      <c r="BK19" s="100" cm="1">
        <f t="array" aca="1" ref="BK19" ca="1">IF(N19="vd",_xlfn.XLOOKUP(B19,INDIRECT("'"&amp;$A$1&amp;"'!"&amp;$AK$1&amp;"[pam_code]"),INDIRECT("'"&amp;$A$1&amp;"'!"&amp;$AK$1&amp;"[verdict_penalty_balance]")),0)</f>
        <v>0</v>
      </c>
      <c r="BL19" s="100" t="e">
        <f t="shared" ca="1" si="12"/>
        <v>#N/A</v>
      </c>
      <c r="BM19" s="96" t="e">
        <f t="shared" ca="1" si="44"/>
        <v>#N/A</v>
      </c>
      <c r="BN19" s="102">
        <f t="shared" si="13"/>
        <v>0</v>
      </c>
      <c r="BO19" s="119" cm="1">
        <f t="array" aca="1" ref="BO19" ca="1">IF(N19="vd",_xlfn.XLOOKUP(B19,INDIRECT("'"&amp;$A$1&amp;"'!"&amp;$AK$1&amp;"[pam_code]"),INDIRECT("'"&amp;$A$1&amp;"'!"&amp;$AK$1&amp;"[verdict_oldinterest_balance]")),IF(N19="add",Z19,0))</f>
        <v>0</v>
      </c>
      <c r="BP19" s="104" t="e">
        <f t="shared" ca="1" si="14"/>
        <v>#N/A</v>
      </c>
      <c r="BQ19" s="105" t="e">
        <f t="shared" ca="1" si="45"/>
        <v>#N/A</v>
      </c>
      <c r="BR19" s="100" cm="1">
        <f t="array" aca="1" ref="BR19" ca="1">IF(N19="vd",_xlfn.XLOOKUP(B19,INDIRECT("'"&amp;$A$1&amp;"'!"&amp;$AK$1&amp;"[pam_code]"),INDIRECT("'"&amp;$A$1&amp;"'!"&amp;$AK$1&amp;"[verdict_opportunitycost_balance]")),0)</f>
        <v>0</v>
      </c>
      <c r="BS19" s="106" t="e">
        <f t="shared" ca="1" si="15"/>
        <v>#N/A</v>
      </c>
      <c r="BT19" s="96" t="e">
        <f t="shared" ca="1" si="46"/>
        <v>#N/A</v>
      </c>
      <c r="BU19" s="109" cm="1">
        <f t="array" aca="1" ref="BU19" ca="1">IF(N19="vd",_xlfn.XLOOKUP(B19,INDIRECT("'"&amp;$A$1&amp;"'!"&amp;$AK$1&amp;"[pam_code]"),INDIRECT("'"&amp;$A$1&amp;"'!"&amp;$AK$1&amp;"[verdict_oldcharge_balance]")),0)</f>
        <v>0</v>
      </c>
      <c r="BV19" s="108" t="e">
        <f t="shared" ca="1" si="16"/>
        <v>#N/A</v>
      </c>
      <c r="BW19" s="109" t="e">
        <f t="shared" ca="1" si="47"/>
        <v>#N/A</v>
      </c>
      <c r="BX19" s="109" cm="1">
        <f t="array" aca="1" ref="BX19" ca="1">IF(N19="vd",_xlfn.XLOOKUP(B19,INDIRECT("'"&amp;$A$1&amp;"'!"&amp;$AK$1&amp;"[pam_code]"),INDIRECT("'"&amp;$A$1&amp;"'!"&amp;$AK$1&amp;"[verdict_principal_balance]")),0)</f>
        <v>0</v>
      </c>
      <c r="BY19" s="109" t="e">
        <f t="shared" ca="1" si="17"/>
        <v>#N/A</v>
      </c>
      <c r="BZ19" s="109" t="e">
        <f t="shared" ca="1" si="48"/>
        <v>#N/A</v>
      </c>
      <c r="CA19" s="109" cm="1">
        <f t="array" aca="1" ref="CA19" ca="1">IF(N19="vd",_xlfn.XLOOKUP(B19,INDIRECT("'"&amp;$A$1&amp;"'!"&amp;$AK$1&amp;"[pam_code]"),INDIRECT("'"&amp;$A$1&amp;"'!"&amp;$AK$1&amp;"[verdict_replacement_balance]")),0)</f>
        <v>0</v>
      </c>
      <c r="CB19" s="108" t="e">
        <f t="shared" ca="1" si="18"/>
        <v>#N/A</v>
      </c>
      <c r="CC19" s="109" t="e">
        <f t="shared" ca="1" si="49"/>
        <v>#N/A</v>
      </c>
      <c r="CD19" s="109" cm="1">
        <f t="array" aca="1" ref="CD19" ca="1">IF(N19="vd",_xlfn.XLOOKUP(B19,INDIRECT("'"&amp;$A$1&amp;"'!"&amp;$AK$1&amp;"[pam_code]"),INDIRECT("'"&amp;$A$1&amp;"'!"&amp;$AK$1&amp;"[verdict_all_balance]")),0)</f>
        <v>0</v>
      </c>
      <c r="CE19" s="109" t="e">
        <f t="shared" ca="1" si="19"/>
        <v>#N/A</v>
      </c>
      <c r="CF19" s="109" t="e">
        <f t="shared" ca="1" si="50"/>
        <v>#N/A</v>
      </c>
      <c r="CG19" s="109" t="e">
        <f t="shared" ca="1" si="51"/>
        <v>#N/A</v>
      </c>
      <c r="CH19" s="109">
        <f t="shared" si="52"/>
        <v>0</v>
      </c>
      <c r="CI19" s="109" t="e">
        <f t="shared" ca="1" si="53"/>
        <v>#N/A</v>
      </c>
      <c r="CJ19" s="109">
        <f t="shared" si="54"/>
        <v>0</v>
      </c>
      <c r="CK19" s="109">
        <f t="shared" si="55"/>
        <v>0</v>
      </c>
      <c r="CL19" s="230" t="str">
        <f t="shared" si="72"/>
        <v>No information</v>
      </c>
      <c r="CM19" s="109" t="e">
        <f t="shared" ca="1" si="56"/>
        <v>#N/A</v>
      </c>
      <c r="CN19" s="109" t="e">
        <f t="shared" ca="1" si="20"/>
        <v>#N/A</v>
      </c>
      <c r="CO19" s="90" t="e">
        <f t="shared" ca="1" si="21"/>
        <v>#N/A</v>
      </c>
      <c r="CQ19" s="96" t="e">
        <f t="shared" ca="1" si="73"/>
        <v>#N/A</v>
      </c>
      <c r="CR19" s="100" t="e">
        <f t="shared" ca="1" si="57"/>
        <v>#N/A</v>
      </c>
      <c r="CS19" s="120" t="e">
        <f t="shared" ca="1" si="57"/>
        <v>#N/A</v>
      </c>
      <c r="CT19" s="112" t="e">
        <f t="shared" ca="1" si="22"/>
        <v>#N/A</v>
      </c>
      <c r="CU19" s="112" t="e">
        <f t="shared" ca="1" si="74"/>
        <v>#N/A</v>
      </c>
      <c r="CV19" s="97" t="e">
        <f t="shared" ca="1" si="23"/>
        <v>#N/A</v>
      </c>
      <c r="CW19" s="100" cm="1">
        <f t="array" aca="1" ref="CW19" ca="1">IF(N19="vd",_xlfn.XLOOKUP(B19,INDIRECT("'"&amp;$A$1&amp;"'!"&amp;$AK$1&amp;"[pam_code]"),INDIRECT("'"&amp;$A$1&amp;"'!"&amp;$AK$1&amp;"[verdict_expense_balance]")),
IF(N19="sold",W19,0))</f>
        <v>0</v>
      </c>
      <c r="CX19" s="100" t="e">
        <f t="shared" ca="1" si="24"/>
        <v>#N/A</v>
      </c>
      <c r="CY19" s="96" t="e">
        <f t="shared" ca="1" si="79"/>
        <v>#N/A</v>
      </c>
      <c r="CZ19" s="100" t="e">
        <f t="shared" ca="1" si="25"/>
        <v>#N/A</v>
      </c>
      <c r="DA19" s="100">
        <f t="shared" si="26"/>
        <v>0</v>
      </c>
      <c r="DB19" s="100" t="e">
        <f t="shared" ca="1" si="27"/>
        <v>#N/A</v>
      </c>
      <c r="DC19" s="96" t="e">
        <f t="shared" ca="1" si="28"/>
        <v>#N/A</v>
      </c>
      <c r="DD19" s="100" t="e">
        <f t="shared" ca="1" si="29"/>
        <v>#N/A</v>
      </c>
      <c r="DE19" s="100" t="e">
        <f t="shared" ca="1" si="58"/>
        <v>#N/A</v>
      </c>
      <c r="DF19"/>
      <c r="DG19" s="252"/>
      <c r="DH19" s="252"/>
      <c r="DI19" s="234">
        <f t="shared" si="59"/>
        <v>0</v>
      </c>
      <c r="DJ19" s="234">
        <f t="shared" si="60"/>
        <v>0</v>
      </c>
      <c r="DK19" s="234">
        <f t="shared" si="61"/>
        <v>0</v>
      </c>
      <c r="DL19" s="234">
        <f t="shared" si="62"/>
        <v>0</v>
      </c>
      <c r="DM19" s="234">
        <f t="shared" si="63"/>
        <v>0</v>
      </c>
      <c r="DN19" s="235">
        <f t="shared" si="64"/>
        <v>0</v>
      </c>
      <c r="DO19" s="236">
        <f t="shared" si="32"/>
        <v>0</v>
      </c>
      <c r="DP19" s="245">
        <f t="shared" si="65"/>
        <v>0</v>
      </c>
      <c r="DQ19" s="235"/>
      <c r="DR19" s="237">
        <f t="shared" si="33"/>
        <v>0</v>
      </c>
      <c r="DS19" s="237" t="e">
        <f t="shared" ca="1" si="66"/>
        <v>#N/A</v>
      </c>
      <c r="DT19" s="237" t="e">
        <f t="shared" ca="1" si="67"/>
        <v>#N/A</v>
      </c>
      <c r="DU19" s="237" t="e">
        <f t="shared" ca="1" si="75"/>
        <v>#N/A</v>
      </c>
      <c r="DV19" s="237" t="e">
        <f t="shared" ca="1" si="76"/>
        <v>#N/A</v>
      </c>
      <c r="DW19" s="241" t="e">
        <f t="shared" ca="1" si="34"/>
        <v>#N/A</v>
      </c>
      <c r="DX19" s="238" t="e">
        <f t="shared" ca="1" si="35"/>
        <v>#N/A</v>
      </c>
      <c r="DY19" s="237" t="e" cm="1">
        <f t="array" aca="1" ref="DY19" ca="1">_xlfn.UNIQUE(IF(CI19=0,DZ18,IF(N19="repo",DZ18,IF(N19="sold",DT19,IF(ISERR(_xlfn._xlws.FILTER($N$7:N19,$N$7:N19="sold")),MIN(DT19*DW19,DZ18),0)))))</f>
        <v>#N/A</v>
      </c>
      <c r="DZ19" s="237" t="e" cm="1">
        <f t="array" aca="1" ref="DZ19" ca="1">_xlfn.UNIQUE(IF(N19="aq",DQ19,IF(N19="sold",_xlfn._xlws.FILTER($DY$7:DY19,$N$7:N19="repo"),IF(ISERR(_xlfn._xlws.FILTER($N$7:N19,$N$7:N19="sold")),DZ18-DY19,0))))</f>
        <v>#N/A</v>
      </c>
      <c r="EA19" s="237" t="e" cm="1">
        <f t="array" aca="1" ref="EA19" ca="1">IF(OR(N19="repo",IFERROR(_xlfn._xlws.FILTER($N$7:N19,$N$7:N19="sold")="sold",FALSE)),0,DP19*DZ18*(DX19/365))</f>
        <v>#N/A</v>
      </c>
      <c r="EB19" s="237" t="e">
        <f t="shared" ca="1" si="36"/>
        <v>#N/A</v>
      </c>
      <c r="EC19" s="237" t="e">
        <f t="shared" ca="1" si="68"/>
        <v>#N/A</v>
      </c>
      <c r="ED19" s="237" cm="1">
        <f t="array" aca="1" ref="ED19" ca="1">_xlfn.IFS(N19="repo",0,N19="sold",DY19-DZ19,N19&lt;&gt;"",DT19-DY19-EB19,N19="",0)</f>
        <v>0</v>
      </c>
      <c r="EE19" s="237" t="e">
        <f t="shared" ca="1" si="37"/>
        <v>#N/A</v>
      </c>
      <c r="EF19" s="237" t="e">
        <f t="shared" ca="1" si="69"/>
        <v>#N/A</v>
      </c>
      <c r="EG19" s="237" t="e">
        <f t="shared" ca="1" si="38"/>
        <v>#N/A</v>
      </c>
    </row>
    <row r="20" spans="2:137" x14ac:dyDescent="0.3">
      <c r="B20" s="83"/>
      <c r="C20" s="83"/>
      <c r="D20" s="84"/>
      <c r="E20" s="84"/>
      <c r="F20" s="190"/>
      <c r="G20" s="190"/>
      <c r="H20" s="190"/>
      <c r="I20" s="190"/>
      <c r="J20" s="85"/>
      <c r="K20" s="85"/>
      <c r="L20" s="113"/>
      <c r="M20" s="87"/>
      <c r="N20" s="191"/>
      <c r="O20" s="272"/>
      <c r="P20" s="184"/>
      <c r="Q20" s="124"/>
      <c r="R20" s="124"/>
      <c r="S20" s="114"/>
      <c r="T20" s="90"/>
      <c r="U20"/>
      <c r="V20" s="90"/>
      <c r="W20" s="260"/>
      <c r="X20" s="260"/>
      <c r="Y20" s="89"/>
      <c r="Z20" s="91"/>
      <c r="AA20" s="97" t="e" cm="1">
        <f t="array" aca="1" ref="AA20" ca="1">IF(N20="vd",_xlfn.XLOOKUP(B20,INDIRECT("'"&amp;$A$1&amp;"'!"&amp;$AK$1&amp;"[pam_code]"),INDIRECT("'"&amp;$A$1&amp;"'!"&amp;$AK$1&amp;"[int_rate]")),AA19)</f>
        <v>#N/A</v>
      </c>
      <c r="AB20" s="116" t="e" cm="1">
        <f t="array" aca="1" ref="AB20" ca="1">IF(N20="vd",_xlfn.XLOOKUP(B20,INDIRECT("'"&amp;$A$1&amp;"'!"&amp;$AK$1&amp;"[pam_code]"),INDIRECT("'"&amp;$A$1&amp;"'!"&amp;$AK$1&amp;"[eir_rate]")),AB19)</f>
        <v>#N/A</v>
      </c>
      <c r="AC20" s="117" t="e">
        <f t="shared" ca="1" si="39"/>
        <v>#N/A</v>
      </c>
      <c r="AD20" s="93" cm="1">
        <f t="array" aca="1" ref="AD20" ca="1">IFERROR(_xlfn.IFS(G19="jm_vat",(BT19+BW19+CC19)/CG19,G19="npl_vat",(BQ19+BZ19)/CG19,G19="cm_vat",(BT19+BW19+BZ19)/CG19,ISNUMBER(FIND("_all_vat",G20)),CF19/CG19,NOT(ISNUMBER(FIND("_vat",G20))),0,G19=0,0,AND(N20="sold",$DG$7="hp"),0),0)</f>
        <v>0</v>
      </c>
      <c r="AE20" s="94" t="e">
        <f t="shared" ca="1" si="0"/>
        <v>#N/A</v>
      </c>
      <c r="AF20" s="94" t="e">
        <f t="shared" ca="1" si="1"/>
        <v>#N/A</v>
      </c>
      <c r="AG20" s="95">
        <f t="shared" ca="1" si="2"/>
        <v>0</v>
      </c>
      <c r="AH20" s="95">
        <f t="shared" ca="1" si="3"/>
        <v>0</v>
      </c>
      <c r="AK20" s="100" cm="1">
        <f t="array" aca="1" ref="AK20" ca="1">IF(N20="vd",_xlfn.XLOOKUP($B$4,INDIRECT("'"&amp;$A$1&amp;"'!"&amp;$AK$1&amp;"[pam_code]"),INDIRECT("'"&amp;$A$1&amp;"'!"&amp;$AK$1&amp;"[verdict_expense_balance]")),
IF(N20="sold",W20,0))</f>
        <v>0</v>
      </c>
      <c r="AL20" s="96" t="e">
        <f t="shared" ca="1" si="4"/>
        <v>#N/A</v>
      </c>
      <c r="AM20" s="96" t="e">
        <f t="shared" ca="1" si="77"/>
        <v>#N/A</v>
      </c>
      <c r="AN20" s="97" t="e">
        <f t="shared" ca="1" si="40"/>
        <v>#N/A</v>
      </c>
      <c r="AO20" s="98">
        <f t="shared" si="5"/>
        <v>0</v>
      </c>
      <c r="AP20" s="99" t="e">
        <f t="shared" ca="1" si="70"/>
        <v>#N/A</v>
      </c>
      <c r="AQ20" s="96">
        <f t="shared" si="6"/>
        <v>0</v>
      </c>
      <c r="AR20" s="96" t="e">
        <f t="shared" ca="1" si="80"/>
        <v>#N/A</v>
      </c>
      <c r="AS20" s="100">
        <f t="shared" si="41"/>
        <v>0</v>
      </c>
      <c r="AT20" s="96" t="e">
        <f t="shared" ca="1" si="7"/>
        <v>#N/A</v>
      </c>
      <c r="AU20" s="96" t="e">
        <f t="shared" ca="1" si="78"/>
        <v>#N/A</v>
      </c>
      <c r="AV20" s="118"/>
      <c r="AW20" s="100" t="e">
        <f t="shared" ca="1" si="8"/>
        <v>#N/A</v>
      </c>
      <c r="AX20" s="118"/>
      <c r="AY20" s="100"/>
      <c r="BB20" s="100" cm="1">
        <f t="array" aca="1" ref="BB20" ca="1">IF(N20="vd",_xlfn.XLOOKUP(B20,INDIRECT("'"&amp;$A$1&amp;"'!"&amp;$AK$1&amp;"[pam_code]"),INDIRECT("'"&amp;$A$1&amp;"'!"&amp;$AK$1&amp;"[verdict_expense_balance]")),
IF(N20="sold",W20,0))</f>
        <v>0</v>
      </c>
      <c r="BC20" s="100" t="e">
        <f t="shared" ca="1" si="9"/>
        <v>#N/A</v>
      </c>
      <c r="BD20" s="96" t="e">
        <f t="shared" ca="1" si="71"/>
        <v>#N/A</v>
      </c>
      <c r="BE20" s="100" cm="1">
        <f t="array" aca="1" ref="BE20" ca="1">IF(N20="vd",_xlfn.XLOOKUP(B20,INDIRECT("'"&amp;$A$1&amp;"'!"&amp;$AK$1&amp;"[pam_code]"),INDIRECT("'"&amp;$A$1&amp;"'!"&amp;$AK$1&amp;"[verdict_outlay_balance]")),0)</f>
        <v>0</v>
      </c>
      <c r="BF20" s="100" t="e">
        <f t="shared" ca="1" si="10"/>
        <v>#N/A</v>
      </c>
      <c r="BG20" s="96" t="e">
        <f t="shared" ca="1" si="42"/>
        <v>#N/A</v>
      </c>
      <c r="BH20" s="100" cm="1">
        <f t="array" aca="1" ref="BH20" ca="1">IF(N20="vd",_xlfn.XLOOKUP(B20,INDIRECT("'"&amp;$A$1&amp;"'!"&amp;$AK$1&amp;"[pam_code]"),INDIRECT("'"&amp;$A$1&amp;"'!"&amp;$AK$1&amp;"[verdict_loss_balance]")),0)</f>
        <v>0</v>
      </c>
      <c r="BI20" s="100" t="e">
        <f t="shared" ca="1" si="11"/>
        <v>#N/A</v>
      </c>
      <c r="BJ20" s="96" t="e">
        <f t="shared" ca="1" si="43"/>
        <v>#N/A</v>
      </c>
      <c r="BK20" s="100" cm="1">
        <f t="array" aca="1" ref="BK20" ca="1">IF(N20="vd",_xlfn.XLOOKUP(B20,INDIRECT("'"&amp;$A$1&amp;"'!"&amp;$AK$1&amp;"[pam_code]"),INDIRECT("'"&amp;$A$1&amp;"'!"&amp;$AK$1&amp;"[verdict_penalty_balance]")),0)</f>
        <v>0</v>
      </c>
      <c r="BL20" s="100" t="e">
        <f t="shared" ca="1" si="12"/>
        <v>#N/A</v>
      </c>
      <c r="BM20" s="96" t="e">
        <f t="shared" ca="1" si="44"/>
        <v>#N/A</v>
      </c>
      <c r="BN20" s="102">
        <f t="shared" si="13"/>
        <v>0</v>
      </c>
      <c r="BO20" s="119" cm="1">
        <f t="array" aca="1" ref="BO20" ca="1">IF(N20="vd",_xlfn.XLOOKUP(B20,INDIRECT("'"&amp;$A$1&amp;"'!"&amp;$AK$1&amp;"[pam_code]"),INDIRECT("'"&amp;$A$1&amp;"'!"&amp;$AK$1&amp;"[verdict_oldinterest_balance]")),IF(N20="add",Z20,0))</f>
        <v>0</v>
      </c>
      <c r="BP20" s="104" t="e">
        <f t="shared" ca="1" si="14"/>
        <v>#N/A</v>
      </c>
      <c r="BQ20" s="105" t="e">
        <f t="shared" ca="1" si="45"/>
        <v>#N/A</v>
      </c>
      <c r="BR20" s="100" cm="1">
        <f t="array" aca="1" ref="BR20" ca="1">IF(N20="vd",_xlfn.XLOOKUP(B20,INDIRECT("'"&amp;$A$1&amp;"'!"&amp;$AK$1&amp;"[pam_code]"),INDIRECT("'"&amp;$A$1&amp;"'!"&amp;$AK$1&amp;"[verdict_opportunitycost_balance]")),0)</f>
        <v>0</v>
      </c>
      <c r="BS20" s="106" t="e">
        <f t="shared" ca="1" si="15"/>
        <v>#N/A</v>
      </c>
      <c r="BT20" s="96" t="e">
        <f t="shared" ca="1" si="46"/>
        <v>#N/A</v>
      </c>
      <c r="BU20" s="109" cm="1">
        <f t="array" aca="1" ref="BU20" ca="1">IF(N20="vd",_xlfn.XLOOKUP(B20,INDIRECT("'"&amp;$A$1&amp;"'!"&amp;$AK$1&amp;"[pam_code]"),INDIRECT("'"&amp;$A$1&amp;"'!"&amp;$AK$1&amp;"[verdict_oldcharge_balance]")),0)</f>
        <v>0</v>
      </c>
      <c r="BV20" s="108" t="e">
        <f t="shared" ca="1" si="16"/>
        <v>#N/A</v>
      </c>
      <c r="BW20" s="109" t="e">
        <f t="shared" ca="1" si="47"/>
        <v>#N/A</v>
      </c>
      <c r="BX20" s="109" cm="1">
        <f t="array" aca="1" ref="BX20" ca="1">IF(N20="vd",_xlfn.XLOOKUP(B20,INDIRECT("'"&amp;$A$1&amp;"'!"&amp;$AK$1&amp;"[pam_code]"),INDIRECT("'"&amp;$A$1&amp;"'!"&amp;$AK$1&amp;"[verdict_principal_balance]")),0)</f>
        <v>0</v>
      </c>
      <c r="BY20" s="109" t="e">
        <f t="shared" ca="1" si="17"/>
        <v>#N/A</v>
      </c>
      <c r="BZ20" s="109" t="e">
        <f t="shared" ca="1" si="48"/>
        <v>#N/A</v>
      </c>
      <c r="CA20" s="109" cm="1">
        <f t="array" aca="1" ref="CA20" ca="1">IF(N20="vd",_xlfn.XLOOKUP(B20,INDIRECT("'"&amp;$A$1&amp;"'!"&amp;$AK$1&amp;"[pam_code]"),INDIRECT("'"&amp;$A$1&amp;"'!"&amp;$AK$1&amp;"[verdict_replacement_balance]")),0)</f>
        <v>0</v>
      </c>
      <c r="CB20" s="108" t="e">
        <f t="shared" ca="1" si="18"/>
        <v>#N/A</v>
      </c>
      <c r="CC20" s="109" t="e">
        <f t="shared" ca="1" si="49"/>
        <v>#N/A</v>
      </c>
      <c r="CD20" s="109" cm="1">
        <f t="array" aca="1" ref="CD20" ca="1">IF(N20="vd",_xlfn.XLOOKUP(B20,INDIRECT("'"&amp;$A$1&amp;"'!"&amp;$AK$1&amp;"[pam_code]"),INDIRECT("'"&amp;$A$1&amp;"'!"&amp;$AK$1&amp;"[verdict_all_balance]")),0)</f>
        <v>0</v>
      </c>
      <c r="CE20" s="109" t="e">
        <f t="shared" ca="1" si="19"/>
        <v>#N/A</v>
      </c>
      <c r="CF20" s="109" t="e">
        <f t="shared" ca="1" si="50"/>
        <v>#N/A</v>
      </c>
      <c r="CG20" s="109" t="e">
        <f t="shared" ca="1" si="51"/>
        <v>#N/A</v>
      </c>
      <c r="CH20" s="109">
        <f t="shared" si="52"/>
        <v>0</v>
      </c>
      <c r="CI20" s="109" t="e">
        <f t="shared" ca="1" si="53"/>
        <v>#N/A</v>
      </c>
      <c r="CJ20" s="109">
        <f t="shared" si="54"/>
        <v>0</v>
      </c>
      <c r="CK20" s="109">
        <f t="shared" si="55"/>
        <v>0</v>
      </c>
      <c r="CL20" s="230" t="str">
        <f t="shared" si="72"/>
        <v>No information</v>
      </c>
      <c r="CM20" s="109" t="e">
        <f t="shared" ca="1" si="56"/>
        <v>#N/A</v>
      </c>
      <c r="CN20" s="109" t="e">
        <f t="shared" ca="1" si="20"/>
        <v>#N/A</v>
      </c>
      <c r="CO20" s="90" t="e">
        <f t="shared" ca="1" si="21"/>
        <v>#N/A</v>
      </c>
      <c r="CQ20" s="96" t="e">
        <f t="shared" ca="1" si="73"/>
        <v>#N/A</v>
      </c>
      <c r="CR20" s="100" t="e">
        <f t="shared" ca="1" si="57"/>
        <v>#N/A</v>
      </c>
      <c r="CS20" s="120" t="e">
        <f t="shared" ca="1" si="57"/>
        <v>#N/A</v>
      </c>
      <c r="CT20" s="112" t="e">
        <f t="shared" ca="1" si="22"/>
        <v>#N/A</v>
      </c>
      <c r="CU20" s="112" t="e">
        <f t="shared" ca="1" si="74"/>
        <v>#N/A</v>
      </c>
      <c r="CV20" s="97" t="e">
        <f t="shared" ca="1" si="23"/>
        <v>#N/A</v>
      </c>
      <c r="CW20" s="100" cm="1">
        <f t="array" aca="1" ref="CW20" ca="1">IF(N20="vd",_xlfn.XLOOKUP(B20,INDIRECT("'"&amp;$A$1&amp;"'!"&amp;$AK$1&amp;"[pam_code]"),INDIRECT("'"&amp;$A$1&amp;"'!"&amp;$AK$1&amp;"[verdict_expense_balance]")),
IF(N20="sold",W20,0))</f>
        <v>0</v>
      </c>
      <c r="CX20" s="100" t="e">
        <f t="shared" ca="1" si="24"/>
        <v>#N/A</v>
      </c>
      <c r="CY20" s="96" t="e">
        <f t="shared" ca="1" si="79"/>
        <v>#N/A</v>
      </c>
      <c r="CZ20" s="100" t="e">
        <f t="shared" ca="1" si="25"/>
        <v>#N/A</v>
      </c>
      <c r="DA20" s="100">
        <f t="shared" si="26"/>
        <v>0</v>
      </c>
      <c r="DB20" s="100" t="e">
        <f t="shared" ca="1" si="27"/>
        <v>#N/A</v>
      </c>
      <c r="DC20" s="96" t="e">
        <f t="shared" ca="1" si="28"/>
        <v>#N/A</v>
      </c>
      <c r="DD20" s="100" t="e">
        <f t="shared" ca="1" si="29"/>
        <v>#N/A</v>
      </c>
      <c r="DE20" s="100" t="e">
        <f t="shared" ca="1" si="58"/>
        <v>#N/A</v>
      </c>
      <c r="DF20"/>
      <c r="DG20" s="252"/>
      <c r="DH20" s="252"/>
      <c r="DI20" s="234">
        <f t="shared" si="59"/>
        <v>0</v>
      </c>
      <c r="DJ20" s="234">
        <f t="shared" si="60"/>
        <v>0</v>
      </c>
      <c r="DK20" s="234">
        <f t="shared" si="61"/>
        <v>0</v>
      </c>
      <c r="DL20" s="234">
        <f t="shared" si="62"/>
        <v>0</v>
      </c>
      <c r="DM20" s="234">
        <f t="shared" si="63"/>
        <v>0</v>
      </c>
      <c r="DN20" s="235">
        <f t="shared" si="64"/>
        <v>0</v>
      </c>
      <c r="DO20" s="236">
        <f t="shared" si="32"/>
        <v>0</v>
      </c>
      <c r="DP20" s="245">
        <f t="shared" si="65"/>
        <v>0</v>
      </c>
      <c r="DQ20" s="235"/>
      <c r="DR20" s="237">
        <f t="shared" si="33"/>
        <v>0</v>
      </c>
      <c r="DS20" s="237" t="e">
        <f t="shared" ca="1" si="66"/>
        <v>#N/A</v>
      </c>
      <c r="DT20" s="237" t="e">
        <f t="shared" ca="1" si="67"/>
        <v>#N/A</v>
      </c>
      <c r="DU20" s="237" t="e">
        <f t="shared" ca="1" si="75"/>
        <v>#N/A</v>
      </c>
      <c r="DV20" s="237" t="e">
        <f t="shared" ca="1" si="76"/>
        <v>#N/A</v>
      </c>
      <c r="DW20" s="241" t="e">
        <f t="shared" ca="1" si="34"/>
        <v>#N/A</v>
      </c>
      <c r="DX20" s="238" t="e">
        <f t="shared" ca="1" si="35"/>
        <v>#N/A</v>
      </c>
      <c r="DY20" s="237" t="e" cm="1">
        <f t="array" aca="1" ref="DY20" ca="1">_xlfn.UNIQUE(IF(CI20=0,DZ19,IF(N20="repo",DZ19,IF(N20="sold",DT20,IF(ISERR(_xlfn._xlws.FILTER($N$7:N20,$N$7:N20="sold")),MIN(DT20*DW20,DZ19),0)))))</f>
        <v>#N/A</v>
      </c>
      <c r="DZ20" s="237" t="e" cm="1">
        <f t="array" aca="1" ref="DZ20" ca="1">_xlfn.UNIQUE(IF(N20="aq",DQ20,IF(N20="sold",_xlfn._xlws.FILTER($DY$7:DY20,$N$7:N20="repo"),IF(ISERR(_xlfn._xlws.FILTER($N$7:N20,$N$7:N20="sold")),DZ19-DY20,0))))</f>
        <v>#N/A</v>
      </c>
      <c r="EA20" s="237" t="e" cm="1">
        <f t="array" aca="1" ref="EA20" ca="1">IF(OR(N20="repo",IFERROR(_xlfn._xlws.FILTER($N$7:N20,$N$7:N20="sold")="sold",FALSE)),0,DP20*DZ19*(DX20/365))</f>
        <v>#N/A</v>
      </c>
      <c r="EB20" s="237" t="e">
        <f t="shared" ca="1" si="36"/>
        <v>#N/A</v>
      </c>
      <c r="EC20" s="237" t="e">
        <f t="shared" ca="1" si="68"/>
        <v>#N/A</v>
      </c>
      <c r="ED20" s="237" cm="1">
        <f t="array" aca="1" ref="ED20" ca="1">_xlfn.IFS(N20="repo",0,N20="sold",DY20-DZ20,N20&lt;&gt;"",DT20-DY20-EB20,N20="",0)</f>
        <v>0</v>
      </c>
      <c r="EE20" s="237" t="e">
        <f t="shared" ca="1" si="37"/>
        <v>#N/A</v>
      </c>
      <c r="EF20" s="237" t="e">
        <f t="shared" ca="1" si="69"/>
        <v>#N/A</v>
      </c>
      <c r="EG20" s="237" t="e">
        <f t="shared" ca="1" si="38"/>
        <v>#N/A</v>
      </c>
    </row>
    <row r="21" spans="2:137" x14ac:dyDescent="0.3">
      <c r="B21" s="83"/>
      <c r="C21" s="83"/>
      <c r="D21" s="84"/>
      <c r="E21" s="84"/>
      <c r="F21" s="190"/>
      <c r="G21" s="190"/>
      <c r="H21" s="190"/>
      <c r="I21" s="190"/>
      <c r="J21" s="85"/>
      <c r="K21" s="85"/>
      <c r="L21" s="113"/>
      <c r="M21" s="87"/>
      <c r="N21" s="191"/>
      <c r="O21" s="272"/>
      <c r="P21" s="184"/>
      <c r="Q21" s="124"/>
      <c r="R21" s="124"/>
      <c r="S21" s="114"/>
      <c r="T21" s="90"/>
      <c r="U21"/>
      <c r="V21" s="90"/>
      <c r="W21" s="260"/>
      <c r="X21" s="260"/>
      <c r="Y21" s="89"/>
      <c r="Z21" s="91"/>
      <c r="AA21" s="97" t="e" cm="1">
        <f t="array" aca="1" ref="AA21" ca="1">IF(N21="vd",_xlfn.XLOOKUP(B21,INDIRECT("'"&amp;$A$1&amp;"'!"&amp;$AK$1&amp;"[pam_code]"),INDIRECT("'"&amp;$A$1&amp;"'!"&amp;$AK$1&amp;"[int_rate]")),AA20)</f>
        <v>#N/A</v>
      </c>
      <c r="AB21" s="116" t="e" cm="1">
        <f t="array" aca="1" ref="AB21" ca="1">IF(N21="vd",_xlfn.XLOOKUP(B21,INDIRECT("'"&amp;$A$1&amp;"'!"&amp;$AK$1&amp;"[pam_code]"),INDIRECT("'"&amp;$A$1&amp;"'!"&amp;$AK$1&amp;"[eir_rate]")),AB20)</f>
        <v>#N/A</v>
      </c>
      <c r="AC21" s="117" t="e">
        <f t="shared" ca="1" si="39"/>
        <v>#N/A</v>
      </c>
      <c r="AD21" s="93" cm="1">
        <f t="array" aca="1" ref="AD21" ca="1">IFERROR(_xlfn.IFS(G20="jm_vat",(BT20+BW20+CC20)/CG20,G20="npl_vat",(BQ20+BZ20)/CG20,G20="cm_vat",(BT20+BW20+BZ20)/CG20,ISNUMBER(FIND("_all_vat",G21)),CF20/CG20,NOT(ISNUMBER(FIND("_vat",G21))),0,G20=0,0,AND(N21="sold",$DG$7="hp"),0),0)</f>
        <v>0</v>
      </c>
      <c r="AE21" s="94" t="e">
        <f t="shared" ca="1" si="0"/>
        <v>#N/A</v>
      </c>
      <c r="AF21" s="94" t="e">
        <f t="shared" ca="1" si="1"/>
        <v>#N/A</v>
      </c>
      <c r="AG21" s="95">
        <f t="shared" ca="1" si="2"/>
        <v>0</v>
      </c>
      <c r="AH21" s="95">
        <f t="shared" ca="1" si="3"/>
        <v>0</v>
      </c>
      <c r="AK21" s="100" cm="1">
        <f t="array" aca="1" ref="AK21" ca="1">IF(N21="vd",_xlfn.XLOOKUP($B$4,INDIRECT("'"&amp;$A$1&amp;"'!"&amp;$AK$1&amp;"[pam_code]"),INDIRECT("'"&amp;$A$1&amp;"'!"&amp;$AK$1&amp;"[verdict_expense_balance]")),
IF(N21="sold",W21,0))</f>
        <v>0</v>
      </c>
      <c r="AL21" s="96" t="e">
        <f t="shared" ca="1" si="4"/>
        <v>#N/A</v>
      </c>
      <c r="AM21" s="96" t="e">
        <f t="shared" ca="1" si="77"/>
        <v>#N/A</v>
      </c>
      <c r="AN21" s="97" t="e">
        <f t="shared" ca="1" si="40"/>
        <v>#N/A</v>
      </c>
      <c r="AO21" s="98">
        <f t="shared" si="5"/>
        <v>0</v>
      </c>
      <c r="AP21" s="99" t="e">
        <f t="shared" ca="1" si="70"/>
        <v>#N/A</v>
      </c>
      <c r="AQ21" s="96">
        <f t="shared" si="6"/>
        <v>0</v>
      </c>
      <c r="AR21" s="96" t="e">
        <f t="shared" ca="1" si="80"/>
        <v>#N/A</v>
      </c>
      <c r="AS21" s="100">
        <f t="shared" si="41"/>
        <v>0</v>
      </c>
      <c r="AT21" s="96" t="e">
        <f t="shared" ca="1" si="7"/>
        <v>#N/A</v>
      </c>
      <c r="AU21" s="96" t="e">
        <f t="shared" ca="1" si="78"/>
        <v>#N/A</v>
      </c>
      <c r="AV21" s="118"/>
      <c r="AW21" s="100" t="e">
        <f t="shared" ca="1" si="8"/>
        <v>#N/A</v>
      </c>
      <c r="AX21" s="118"/>
      <c r="AY21" s="100"/>
      <c r="BB21" s="100" cm="1">
        <f t="array" aca="1" ref="BB21" ca="1">IF(N21="vd",_xlfn.XLOOKUP(B21,INDIRECT("'"&amp;$A$1&amp;"'!"&amp;$AK$1&amp;"[pam_code]"),INDIRECT("'"&amp;$A$1&amp;"'!"&amp;$AK$1&amp;"[verdict_expense_balance]")),
IF(N21="sold",W21,0))</f>
        <v>0</v>
      </c>
      <c r="BC21" s="100" t="e">
        <f t="shared" ca="1" si="9"/>
        <v>#N/A</v>
      </c>
      <c r="BD21" s="96" t="e">
        <f t="shared" ca="1" si="71"/>
        <v>#N/A</v>
      </c>
      <c r="BE21" s="100" cm="1">
        <f t="array" aca="1" ref="BE21" ca="1">IF(N21="vd",_xlfn.XLOOKUP(B21,INDIRECT("'"&amp;$A$1&amp;"'!"&amp;$AK$1&amp;"[pam_code]"),INDIRECT("'"&amp;$A$1&amp;"'!"&amp;$AK$1&amp;"[verdict_outlay_balance]")),0)</f>
        <v>0</v>
      </c>
      <c r="BF21" s="100" t="e">
        <f t="shared" ca="1" si="10"/>
        <v>#N/A</v>
      </c>
      <c r="BG21" s="96" t="e">
        <f t="shared" ca="1" si="42"/>
        <v>#N/A</v>
      </c>
      <c r="BH21" s="100" cm="1">
        <f t="array" aca="1" ref="BH21" ca="1">IF(N21="vd",_xlfn.XLOOKUP(B21,INDIRECT("'"&amp;$A$1&amp;"'!"&amp;$AK$1&amp;"[pam_code]"),INDIRECT("'"&amp;$A$1&amp;"'!"&amp;$AK$1&amp;"[verdict_loss_balance]")),0)</f>
        <v>0</v>
      </c>
      <c r="BI21" s="100" t="e">
        <f t="shared" ca="1" si="11"/>
        <v>#N/A</v>
      </c>
      <c r="BJ21" s="96" t="e">
        <f t="shared" ca="1" si="43"/>
        <v>#N/A</v>
      </c>
      <c r="BK21" s="100" cm="1">
        <f t="array" aca="1" ref="BK21" ca="1">IF(N21="vd",_xlfn.XLOOKUP(B21,INDIRECT("'"&amp;$A$1&amp;"'!"&amp;$AK$1&amp;"[pam_code]"),INDIRECT("'"&amp;$A$1&amp;"'!"&amp;$AK$1&amp;"[verdict_penalty_balance]")),0)</f>
        <v>0</v>
      </c>
      <c r="BL21" s="100" t="e">
        <f t="shared" ca="1" si="12"/>
        <v>#N/A</v>
      </c>
      <c r="BM21" s="96" t="e">
        <f t="shared" ca="1" si="44"/>
        <v>#N/A</v>
      </c>
      <c r="BN21" s="102">
        <f t="shared" si="13"/>
        <v>0</v>
      </c>
      <c r="BO21" s="119" cm="1">
        <f t="array" aca="1" ref="BO21" ca="1">IF(N21="vd",_xlfn.XLOOKUP(B21,INDIRECT("'"&amp;$A$1&amp;"'!"&amp;$AK$1&amp;"[pam_code]"),INDIRECT("'"&amp;$A$1&amp;"'!"&amp;$AK$1&amp;"[verdict_oldinterest_balance]")),IF(N21="add",Z21,0))</f>
        <v>0</v>
      </c>
      <c r="BP21" s="104" t="e">
        <f t="shared" ca="1" si="14"/>
        <v>#N/A</v>
      </c>
      <c r="BQ21" s="105" t="e">
        <f t="shared" ca="1" si="45"/>
        <v>#N/A</v>
      </c>
      <c r="BR21" s="100" cm="1">
        <f t="array" aca="1" ref="BR21" ca="1">IF(N21="vd",_xlfn.XLOOKUP(B21,INDIRECT("'"&amp;$A$1&amp;"'!"&amp;$AK$1&amp;"[pam_code]"),INDIRECT("'"&amp;$A$1&amp;"'!"&amp;$AK$1&amp;"[verdict_opportunitycost_balance]")),0)</f>
        <v>0</v>
      </c>
      <c r="BS21" s="106" t="e">
        <f t="shared" ca="1" si="15"/>
        <v>#N/A</v>
      </c>
      <c r="BT21" s="96" t="e">
        <f t="shared" ca="1" si="46"/>
        <v>#N/A</v>
      </c>
      <c r="BU21" s="109" cm="1">
        <f t="array" aca="1" ref="BU21" ca="1">IF(N21="vd",_xlfn.XLOOKUP(B21,INDIRECT("'"&amp;$A$1&amp;"'!"&amp;$AK$1&amp;"[pam_code]"),INDIRECT("'"&amp;$A$1&amp;"'!"&amp;$AK$1&amp;"[verdict_oldcharge_balance]")),0)</f>
        <v>0</v>
      </c>
      <c r="BV21" s="108" t="e">
        <f t="shared" ca="1" si="16"/>
        <v>#N/A</v>
      </c>
      <c r="BW21" s="109" t="e">
        <f t="shared" ca="1" si="47"/>
        <v>#N/A</v>
      </c>
      <c r="BX21" s="109" cm="1">
        <f t="array" aca="1" ref="BX21" ca="1">IF(N21="vd",_xlfn.XLOOKUP(B21,INDIRECT("'"&amp;$A$1&amp;"'!"&amp;$AK$1&amp;"[pam_code]"),INDIRECT("'"&amp;$A$1&amp;"'!"&amp;$AK$1&amp;"[verdict_principal_balance]")),0)</f>
        <v>0</v>
      </c>
      <c r="BY21" s="109" t="e">
        <f t="shared" ca="1" si="17"/>
        <v>#N/A</v>
      </c>
      <c r="BZ21" s="109" t="e">
        <f t="shared" ca="1" si="48"/>
        <v>#N/A</v>
      </c>
      <c r="CA21" s="109" cm="1">
        <f t="array" aca="1" ref="CA21" ca="1">IF(N21="vd",_xlfn.XLOOKUP(B21,INDIRECT("'"&amp;$A$1&amp;"'!"&amp;$AK$1&amp;"[pam_code]"),INDIRECT("'"&amp;$A$1&amp;"'!"&amp;$AK$1&amp;"[verdict_replacement_balance]")),0)</f>
        <v>0</v>
      </c>
      <c r="CB21" s="108" t="e">
        <f t="shared" ca="1" si="18"/>
        <v>#N/A</v>
      </c>
      <c r="CC21" s="109" t="e">
        <f t="shared" ca="1" si="49"/>
        <v>#N/A</v>
      </c>
      <c r="CD21" s="109" cm="1">
        <f t="array" aca="1" ref="CD21" ca="1">IF(N21="vd",_xlfn.XLOOKUP(B21,INDIRECT("'"&amp;$A$1&amp;"'!"&amp;$AK$1&amp;"[pam_code]"),INDIRECT("'"&amp;$A$1&amp;"'!"&amp;$AK$1&amp;"[verdict_all_balance]")),0)</f>
        <v>0</v>
      </c>
      <c r="CE21" s="109" t="e">
        <f t="shared" ca="1" si="19"/>
        <v>#N/A</v>
      </c>
      <c r="CF21" s="109" t="e">
        <f t="shared" ca="1" si="50"/>
        <v>#N/A</v>
      </c>
      <c r="CG21" s="109" t="e">
        <f t="shared" ca="1" si="51"/>
        <v>#N/A</v>
      </c>
      <c r="CH21" s="109">
        <f t="shared" si="52"/>
        <v>0</v>
      </c>
      <c r="CI21" s="109" t="e">
        <f t="shared" ca="1" si="53"/>
        <v>#N/A</v>
      </c>
      <c r="CJ21" s="109">
        <f t="shared" si="54"/>
        <v>0</v>
      </c>
      <c r="CK21" s="109">
        <f t="shared" si="55"/>
        <v>0</v>
      </c>
      <c r="CL21" s="230" t="str">
        <f t="shared" si="72"/>
        <v>No information</v>
      </c>
      <c r="CM21" s="109" t="e">
        <f t="shared" ca="1" si="56"/>
        <v>#N/A</v>
      </c>
      <c r="CN21" s="109" t="e">
        <f t="shared" ca="1" si="20"/>
        <v>#N/A</v>
      </c>
      <c r="CO21" s="90" t="e">
        <f t="shared" ca="1" si="21"/>
        <v>#N/A</v>
      </c>
      <c r="CQ21" s="96" t="e">
        <f t="shared" ca="1" si="73"/>
        <v>#N/A</v>
      </c>
      <c r="CR21" s="100" t="e">
        <f t="shared" ca="1" si="57"/>
        <v>#N/A</v>
      </c>
      <c r="CS21" s="120" t="e">
        <f t="shared" ca="1" si="57"/>
        <v>#N/A</v>
      </c>
      <c r="CT21" s="112" t="e">
        <f t="shared" ca="1" si="22"/>
        <v>#N/A</v>
      </c>
      <c r="CU21" s="112" t="e">
        <f t="shared" ca="1" si="74"/>
        <v>#N/A</v>
      </c>
      <c r="CV21" s="97" t="e">
        <f t="shared" ca="1" si="23"/>
        <v>#N/A</v>
      </c>
      <c r="CW21" s="100" cm="1">
        <f t="array" aca="1" ref="CW21" ca="1">IF(N21="vd",_xlfn.XLOOKUP(B21,INDIRECT("'"&amp;$A$1&amp;"'!"&amp;$AK$1&amp;"[pam_code]"),INDIRECT("'"&amp;$A$1&amp;"'!"&amp;$AK$1&amp;"[verdict_expense_balance]")),
IF(N21="sold",W21,0))</f>
        <v>0</v>
      </c>
      <c r="CX21" s="100" t="e">
        <f t="shared" ca="1" si="24"/>
        <v>#N/A</v>
      </c>
      <c r="CY21" s="96" t="e">
        <f t="shared" ca="1" si="79"/>
        <v>#N/A</v>
      </c>
      <c r="CZ21" s="100" t="e">
        <f t="shared" ca="1" si="25"/>
        <v>#N/A</v>
      </c>
      <c r="DA21" s="100">
        <f t="shared" si="26"/>
        <v>0</v>
      </c>
      <c r="DB21" s="100" t="e">
        <f t="shared" ca="1" si="27"/>
        <v>#N/A</v>
      </c>
      <c r="DC21" s="96" t="e">
        <f t="shared" ca="1" si="28"/>
        <v>#N/A</v>
      </c>
      <c r="DD21" s="100" t="e">
        <f t="shared" ca="1" si="29"/>
        <v>#N/A</v>
      </c>
      <c r="DE21" s="100" t="e">
        <f t="shared" ca="1" si="58"/>
        <v>#N/A</v>
      </c>
      <c r="DF21"/>
      <c r="DG21" s="252"/>
      <c r="DH21" s="252"/>
      <c r="DI21" s="234">
        <f t="shared" si="59"/>
        <v>0</v>
      </c>
      <c r="DJ21" s="234">
        <f t="shared" si="60"/>
        <v>0</v>
      </c>
      <c r="DK21" s="234">
        <f t="shared" si="61"/>
        <v>0</v>
      </c>
      <c r="DL21" s="234">
        <f t="shared" si="62"/>
        <v>0</v>
      </c>
      <c r="DM21" s="234">
        <f t="shared" si="63"/>
        <v>0</v>
      </c>
      <c r="DN21" s="235">
        <f t="shared" si="64"/>
        <v>0</v>
      </c>
      <c r="DO21" s="236">
        <f t="shared" si="32"/>
        <v>0</v>
      </c>
      <c r="DP21" s="245">
        <f t="shared" si="65"/>
        <v>0</v>
      </c>
      <c r="DQ21" s="235"/>
      <c r="DR21" s="237">
        <f t="shared" si="33"/>
        <v>0</v>
      </c>
      <c r="DS21" s="237" t="e">
        <f t="shared" ca="1" si="66"/>
        <v>#N/A</v>
      </c>
      <c r="DT21" s="237" t="e">
        <f t="shared" ca="1" si="67"/>
        <v>#N/A</v>
      </c>
      <c r="DU21" s="237" t="e">
        <f t="shared" ca="1" si="75"/>
        <v>#N/A</v>
      </c>
      <c r="DV21" s="237" t="e">
        <f t="shared" ca="1" si="76"/>
        <v>#N/A</v>
      </c>
      <c r="DW21" s="241" t="e">
        <f t="shared" ca="1" si="34"/>
        <v>#N/A</v>
      </c>
      <c r="DX21" s="238" t="e">
        <f t="shared" ca="1" si="35"/>
        <v>#N/A</v>
      </c>
      <c r="DY21" s="237" t="e" cm="1">
        <f t="array" aca="1" ref="DY21" ca="1">_xlfn.UNIQUE(IF(CI21=0,DZ20,IF(N21="repo",DZ20,IF(N21="sold",DT21,IF(ISERR(_xlfn._xlws.FILTER($N$7:N21,$N$7:N21="sold")),MIN(DT21*DW21,DZ20),0)))))</f>
        <v>#N/A</v>
      </c>
      <c r="DZ21" s="237" t="e" cm="1">
        <f t="array" aca="1" ref="DZ21" ca="1">_xlfn.UNIQUE(IF(N21="aq",DQ21,IF(N21="sold",_xlfn._xlws.FILTER($DY$7:DY21,$N$7:N21="repo"),IF(ISERR(_xlfn._xlws.FILTER($N$7:N21,$N$7:N21="sold")),DZ20-DY21,0))))</f>
        <v>#N/A</v>
      </c>
      <c r="EA21" s="237" t="e" cm="1">
        <f t="array" aca="1" ref="EA21" ca="1">IF(OR(N21="repo",IFERROR(_xlfn._xlws.FILTER($N$7:N21,$N$7:N21="sold")="sold",FALSE)),0,DP21*DZ20*(DX21/365))</f>
        <v>#N/A</v>
      </c>
      <c r="EB21" s="237" t="e">
        <f t="shared" ca="1" si="36"/>
        <v>#N/A</v>
      </c>
      <c r="EC21" s="237" t="e">
        <f t="shared" ca="1" si="68"/>
        <v>#N/A</v>
      </c>
      <c r="ED21" s="237" cm="1">
        <f t="array" aca="1" ref="ED21" ca="1">_xlfn.IFS(N21="repo",0,N21="sold",DY21-DZ21,N21&lt;&gt;"",DT21-DY21-EB21,N21="",0)</f>
        <v>0</v>
      </c>
      <c r="EE21" s="237" t="e">
        <f t="shared" ca="1" si="37"/>
        <v>#N/A</v>
      </c>
      <c r="EF21" s="237" t="e">
        <f t="shared" ca="1" si="69"/>
        <v>#N/A</v>
      </c>
      <c r="EG21" s="237" t="e">
        <f t="shared" ca="1" si="38"/>
        <v>#N/A</v>
      </c>
    </row>
    <row r="22" spans="2:137" x14ac:dyDescent="0.3">
      <c r="B22" s="83"/>
      <c r="C22" s="83"/>
      <c r="D22" s="84"/>
      <c r="E22" s="84"/>
      <c r="F22" s="190"/>
      <c r="G22" s="190"/>
      <c r="H22" s="190"/>
      <c r="I22" s="190"/>
      <c r="J22" s="85"/>
      <c r="K22" s="85"/>
      <c r="L22" s="113"/>
      <c r="M22" s="87"/>
      <c r="N22" s="191"/>
      <c r="O22" s="272"/>
      <c r="P22" s="184"/>
      <c r="Q22" s="124"/>
      <c r="R22" s="124"/>
      <c r="S22" s="114"/>
      <c r="T22" s="90"/>
      <c r="U22"/>
      <c r="V22" s="90"/>
      <c r="W22" s="260"/>
      <c r="X22" s="260"/>
      <c r="Y22" s="89"/>
      <c r="Z22" s="91"/>
      <c r="AA22" s="97" t="e" cm="1">
        <f t="array" aca="1" ref="AA22" ca="1">IF(N22="vd",_xlfn.XLOOKUP(B22,INDIRECT("'"&amp;$A$1&amp;"'!"&amp;$AK$1&amp;"[pam_code]"),INDIRECT("'"&amp;$A$1&amp;"'!"&amp;$AK$1&amp;"[int_rate]")),AA21)</f>
        <v>#N/A</v>
      </c>
      <c r="AB22" s="116" t="e" cm="1">
        <f t="array" aca="1" ref="AB22" ca="1">IF(N22="vd",_xlfn.XLOOKUP(B22,INDIRECT("'"&amp;$A$1&amp;"'!"&amp;$AK$1&amp;"[pam_code]"),INDIRECT("'"&amp;$A$1&amp;"'!"&amp;$AK$1&amp;"[eir_rate]")),AB21)</f>
        <v>#N/A</v>
      </c>
      <c r="AC22" s="117" t="e">
        <f t="shared" ca="1" si="39"/>
        <v>#N/A</v>
      </c>
      <c r="AD22" s="93" cm="1">
        <f t="array" aca="1" ref="AD22" ca="1">IFERROR(_xlfn.IFS(G21="jm_vat",(BT21+BW21+CC21)/CG21,G21="npl_vat",(BQ21+BZ21)/CG21,G21="cm_vat",(BT21+BW21+BZ21)/CG21,ISNUMBER(FIND("_all_vat",G22)),CF21/CG21,NOT(ISNUMBER(FIND("_vat",G22))),0,G21=0,0,AND(N22="sold",$DG$7="hp"),0),0)</f>
        <v>0</v>
      </c>
      <c r="AE22" s="94" t="e">
        <f t="shared" ca="1" si="0"/>
        <v>#N/A</v>
      </c>
      <c r="AF22" s="94" t="e">
        <f t="shared" ca="1" si="1"/>
        <v>#N/A</v>
      </c>
      <c r="AG22" s="95">
        <f t="shared" ca="1" si="2"/>
        <v>0</v>
      </c>
      <c r="AH22" s="95">
        <f t="shared" ca="1" si="3"/>
        <v>0</v>
      </c>
      <c r="AK22" s="100" cm="1">
        <f t="array" aca="1" ref="AK22" ca="1">IF(N22="vd",_xlfn.XLOOKUP($B$4,INDIRECT("'"&amp;$A$1&amp;"'!"&amp;$AK$1&amp;"[pam_code]"),INDIRECT("'"&amp;$A$1&amp;"'!"&amp;$AK$1&amp;"[verdict_expense_balance]")),
IF(N22="sold",W22,0))</f>
        <v>0</v>
      </c>
      <c r="AL22" s="96" t="e">
        <f t="shared" ca="1" si="4"/>
        <v>#N/A</v>
      </c>
      <c r="AM22" s="96" t="e">
        <f t="shared" ca="1" si="77"/>
        <v>#N/A</v>
      </c>
      <c r="AN22" s="97" t="e">
        <f t="shared" ca="1" si="40"/>
        <v>#N/A</v>
      </c>
      <c r="AO22" s="98">
        <f t="shared" si="5"/>
        <v>0</v>
      </c>
      <c r="AP22" s="99" t="e">
        <f t="shared" ca="1" si="70"/>
        <v>#N/A</v>
      </c>
      <c r="AQ22" s="96">
        <f t="shared" si="6"/>
        <v>0</v>
      </c>
      <c r="AR22" s="96" t="e">
        <f t="shared" ca="1" si="80"/>
        <v>#N/A</v>
      </c>
      <c r="AS22" s="100">
        <f t="shared" si="41"/>
        <v>0</v>
      </c>
      <c r="AT22" s="96" t="e">
        <f t="shared" ca="1" si="7"/>
        <v>#N/A</v>
      </c>
      <c r="AU22" s="96" t="e">
        <f t="shared" ca="1" si="78"/>
        <v>#N/A</v>
      </c>
      <c r="AV22" s="118"/>
      <c r="AW22" s="100" t="e">
        <f t="shared" ca="1" si="8"/>
        <v>#N/A</v>
      </c>
      <c r="AX22" s="118"/>
      <c r="AY22" s="100"/>
      <c r="BB22" s="100" cm="1">
        <f t="array" aca="1" ref="BB22" ca="1">IF(N22="vd",_xlfn.XLOOKUP(B22,INDIRECT("'"&amp;$A$1&amp;"'!"&amp;$AK$1&amp;"[pam_code]"),INDIRECT("'"&amp;$A$1&amp;"'!"&amp;$AK$1&amp;"[verdict_expense_balance]")),
IF(N22="sold",W22,0))</f>
        <v>0</v>
      </c>
      <c r="BC22" s="100" t="e">
        <f t="shared" ca="1" si="9"/>
        <v>#N/A</v>
      </c>
      <c r="BD22" s="96" t="e">
        <f t="shared" ca="1" si="71"/>
        <v>#N/A</v>
      </c>
      <c r="BE22" s="100" cm="1">
        <f t="array" aca="1" ref="BE22" ca="1">IF(N22="vd",_xlfn.XLOOKUP(B22,INDIRECT("'"&amp;$A$1&amp;"'!"&amp;$AK$1&amp;"[pam_code]"),INDIRECT("'"&amp;$A$1&amp;"'!"&amp;$AK$1&amp;"[verdict_outlay_balance]")),0)</f>
        <v>0</v>
      </c>
      <c r="BF22" s="100" t="e">
        <f t="shared" ca="1" si="10"/>
        <v>#N/A</v>
      </c>
      <c r="BG22" s="96" t="e">
        <f t="shared" ca="1" si="42"/>
        <v>#N/A</v>
      </c>
      <c r="BH22" s="100" cm="1">
        <f t="array" aca="1" ref="BH22" ca="1">IF(N22="vd",_xlfn.XLOOKUP(B22,INDIRECT("'"&amp;$A$1&amp;"'!"&amp;$AK$1&amp;"[pam_code]"),INDIRECT("'"&amp;$A$1&amp;"'!"&amp;$AK$1&amp;"[verdict_loss_balance]")),0)</f>
        <v>0</v>
      </c>
      <c r="BI22" s="100" t="e">
        <f t="shared" ca="1" si="11"/>
        <v>#N/A</v>
      </c>
      <c r="BJ22" s="96" t="e">
        <f t="shared" ca="1" si="43"/>
        <v>#N/A</v>
      </c>
      <c r="BK22" s="100" cm="1">
        <f t="array" aca="1" ref="BK22" ca="1">IF(N22="vd",_xlfn.XLOOKUP(B22,INDIRECT("'"&amp;$A$1&amp;"'!"&amp;$AK$1&amp;"[pam_code]"),INDIRECT("'"&amp;$A$1&amp;"'!"&amp;$AK$1&amp;"[verdict_penalty_balance]")),0)</f>
        <v>0</v>
      </c>
      <c r="BL22" s="100" t="e">
        <f t="shared" ca="1" si="12"/>
        <v>#N/A</v>
      </c>
      <c r="BM22" s="96" t="e">
        <f t="shared" ca="1" si="44"/>
        <v>#N/A</v>
      </c>
      <c r="BN22" s="102">
        <f t="shared" si="13"/>
        <v>0</v>
      </c>
      <c r="BO22" s="119" cm="1">
        <f t="array" aca="1" ref="BO22" ca="1">IF(N22="vd",_xlfn.XLOOKUP(B22,INDIRECT("'"&amp;$A$1&amp;"'!"&amp;$AK$1&amp;"[pam_code]"),INDIRECT("'"&amp;$A$1&amp;"'!"&amp;$AK$1&amp;"[verdict_oldinterest_balance]")),IF(N22="add",Z22,0))</f>
        <v>0</v>
      </c>
      <c r="BP22" s="104" t="e">
        <f t="shared" ca="1" si="14"/>
        <v>#N/A</v>
      </c>
      <c r="BQ22" s="105" t="e">
        <f t="shared" ca="1" si="45"/>
        <v>#N/A</v>
      </c>
      <c r="BR22" s="100" cm="1">
        <f t="array" aca="1" ref="BR22" ca="1">IF(N22="vd",_xlfn.XLOOKUP(B22,INDIRECT("'"&amp;$A$1&amp;"'!"&amp;$AK$1&amp;"[pam_code]"),INDIRECT("'"&amp;$A$1&amp;"'!"&amp;$AK$1&amp;"[verdict_opportunitycost_balance]")),0)</f>
        <v>0</v>
      </c>
      <c r="BS22" s="106" t="e">
        <f t="shared" ca="1" si="15"/>
        <v>#N/A</v>
      </c>
      <c r="BT22" s="96" t="e">
        <f t="shared" ca="1" si="46"/>
        <v>#N/A</v>
      </c>
      <c r="BU22" s="109" cm="1">
        <f t="array" aca="1" ref="BU22" ca="1">IF(N22="vd",_xlfn.XLOOKUP(B22,INDIRECT("'"&amp;$A$1&amp;"'!"&amp;$AK$1&amp;"[pam_code]"),INDIRECT("'"&amp;$A$1&amp;"'!"&amp;$AK$1&amp;"[verdict_oldcharge_balance]")),0)</f>
        <v>0</v>
      </c>
      <c r="BV22" s="108" t="e">
        <f t="shared" ca="1" si="16"/>
        <v>#N/A</v>
      </c>
      <c r="BW22" s="109" t="e">
        <f t="shared" ca="1" si="47"/>
        <v>#N/A</v>
      </c>
      <c r="BX22" s="109" cm="1">
        <f t="array" aca="1" ref="BX22" ca="1">IF(N22="vd",_xlfn.XLOOKUP(B22,INDIRECT("'"&amp;$A$1&amp;"'!"&amp;$AK$1&amp;"[pam_code]"),INDIRECT("'"&amp;$A$1&amp;"'!"&amp;$AK$1&amp;"[verdict_principal_balance]")),0)</f>
        <v>0</v>
      </c>
      <c r="BY22" s="109" t="e">
        <f t="shared" ca="1" si="17"/>
        <v>#N/A</v>
      </c>
      <c r="BZ22" s="109" t="e">
        <f t="shared" ca="1" si="48"/>
        <v>#N/A</v>
      </c>
      <c r="CA22" s="109" cm="1">
        <f t="array" aca="1" ref="CA22" ca="1">IF(N22="vd",_xlfn.XLOOKUP(B22,INDIRECT("'"&amp;$A$1&amp;"'!"&amp;$AK$1&amp;"[pam_code]"),INDIRECT("'"&amp;$A$1&amp;"'!"&amp;$AK$1&amp;"[verdict_replacement_balance]")),0)</f>
        <v>0</v>
      </c>
      <c r="CB22" s="108" t="e">
        <f t="shared" ca="1" si="18"/>
        <v>#N/A</v>
      </c>
      <c r="CC22" s="109" t="e">
        <f t="shared" ca="1" si="49"/>
        <v>#N/A</v>
      </c>
      <c r="CD22" s="109" cm="1">
        <f t="array" aca="1" ref="CD22" ca="1">IF(N22="vd",_xlfn.XLOOKUP(B22,INDIRECT("'"&amp;$A$1&amp;"'!"&amp;$AK$1&amp;"[pam_code]"),INDIRECT("'"&amp;$A$1&amp;"'!"&amp;$AK$1&amp;"[verdict_all_balance]")),0)</f>
        <v>0</v>
      </c>
      <c r="CE22" s="109" t="e">
        <f t="shared" ca="1" si="19"/>
        <v>#N/A</v>
      </c>
      <c r="CF22" s="109" t="e">
        <f t="shared" ca="1" si="50"/>
        <v>#N/A</v>
      </c>
      <c r="CG22" s="109" t="e">
        <f t="shared" ca="1" si="51"/>
        <v>#N/A</v>
      </c>
      <c r="CH22" s="109">
        <f t="shared" si="52"/>
        <v>0</v>
      </c>
      <c r="CI22" s="109" t="e">
        <f t="shared" ca="1" si="53"/>
        <v>#N/A</v>
      </c>
      <c r="CJ22" s="109">
        <f t="shared" si="54"/>
        <v>0</v>
      </c>
      <c r="CK22" s="109">
        <f t="shared" si="55"/>
        <v>0</v>
      </c>
      <c r="CL22" s="230" t="str">
        <f t="shared" si="72"/>
        <v>No information</v>
      </c>
      <c r="CM22" s="109" t="e">
        <f t="shared" ca="1" si="56"/>
        <v>#N/A</v>
      </c>
      <c r="CN22" s="109" t="e">
        <f t="shared" ca="1" si="20"/>
        <v>#N/A</v>
      </c>
      <c r="CO22" s="90" t="e">
        <f t="shared" ca="1" si="21"/>
        <v>#N/A</v>
      </c>
      <c r="CQ22" s="96" t="e">
        <f t="shared" ca="1" si="73"/>
        <v>#N/A</v>
      </c>
      <c r="CR22" s="100" t="e">
        <f t="shared" ca="1" si="57"/>
        <v>#N/A</v>
      </c>
      <c r="CS22" s="120" t="e">
        <f t="shared" ca="1" si="57"/>
        <v>#N/A</v>
      </c>
      <c r="CT22" s="112" t="e">
        <f t="shared" ca="1" si="22"/>
        <v>#N/A</v>
      </c>
      <c r="CU22" s="112" t="e">
        <f t="shared" ca="1" si="74"/>
        <v>#N/A</v>
      </c>
      <c r="CV22" s="97" t="e">
        <f t="shared" ca="1" si="23"/>
        <v>#N/A</v>
      </c>
      <c r="CW22" s="100" cm="1">
        <f t="array" aca="1" ref="CW22" ca="1">IF(N22="vd",_xlfn.XLOOKUP(B22,INDIRECT("'"&amp;$A$1&amp;"'!"&amp;$AK$1&amp;"[pam_code]"),INDIRECT("'"&amp;$A$1&amp;"'!"&amp;$AK$1&amp;"[verdict_expense_balance]")),
IF(N22="sold",W22,0))</f>
        <v>0</v>
      </c>
      <c r="CX22" s="100" t="e">
        <f t="shared" ca="1" si="24"/>
        <v>#N/A</v>
      </c>
      <c r="CY22" s="96" t="e">
        <f t="shared" ca="1" si="79"/>
        <v>#N/A</v>
      </c>
      <c r="CZ22" s="100" t="e">
        <f t="shared" ca="1" si="25"/>
        <v>#N/A</v>
      </c>
      <c r="DA22" s="100">
        <f t="shared" si="26"/>
        <v>0</v>
      </c>
      <c r="DB22" s="100" t="e">
        <f t="shared" ca="1" si="27"/>
        <v>#N/A</v>
      </c>
      <c r="DC22" s="96" t="e">
        <f t="shared" ca="1" si="28"/>
        <v>#N/A</v>
      </c>
      <c r="DD22" s="100" t="e">
        <f t="shared" ca="1" si="29"/>
        <v>#N/A</v>
      </c>
      <c r="DE22" s="100" t="e">
        <f t="shared" ca="1" si="58"/>
        <v>#N/A</v>
      </c>
      <c r="DF22"/>
      <c r="DG22" s="252"/>
      <c r="DH22" s="252"/>
      <c r="DI22" s="234">
        <f t="shared" si="59"/>
        <v>0</v>
      </c>
      <c r="DJ22" s="234">
        <f t="shared" si="60"/>
        <v>0</v>
      </c>
      <c r="DK22" s="234">
        <f t="shared" si="61"/>
        <v>0</v>
      </c>
      <c r="DL22" s="234">
        <f t="shared" si="62"/>
        <v>0</v>
      </c>
      <c r="DM22" s="234">
        <f t="shared" si="63"/>
        <v>0</v>
      </c>
      <c r="DN22" s="235">
        <f t="shared" si="64"/>
        <v>0</v>
      </c>
      <c r="DO22" s="236">
        <f t="shared" si="32"/>
        <v>0</v>
      </c>
      <c r="DP22" s="245">
        <f t="shared" si="65"/>
        <v>0</v>
      </c>
      <c r="DQ22" s="235"/>
      <c r="DR22" s="237">
        <f t="shared" si="33"/>
        <v>0</v>
      </c>
      <c r="DS22" s="237" t="e">
        <f t="shared" ca="1" si="66"/>
        <v>#N/A</v>
      </c>
      <c r="DT22" s="237" t="e">
        <f t="shared" ca="1" si="67"/>
        <v>#N/A</v>
      </c>
      <c r="DU22" s="237" t="e">
        <f t="shared" ca="1" si="75"/>
        <v>#N/A</v>
      </c>
      <c r="DV22" s="237" t="e">
        <f t="shared" ca="1" si="76"/>
        <v>#N/A</v>
      </c>
      <c r="DW22" s="241" t="e">
        <f t="shared" ca="1" si="34"/>
        <v>#N/A</v>
      </c>
      <c r="DX22" s="238" t="e">
        <f t="shared" ca="1" si="35"/>
        <v>#N/A</v>
      </c>
      <c r="DY22" s="237" t="e" cm="1">
        <f t="array" aca="1" ref="DY22" ca="1">_xlfn.UNIQUE(IF(CI22=0,DZ21,IF(N22="repo",DZ21,IF(N22="sold",DT22,IF(ISERR(_xlfn._xlws.FILTER($N$7:N22,$N$7:N22="sold")),MIN(DT22*DW22,DZ21),0)))))</f>
        <v>#N/A</v>
      </c>
      <c r="DZ22" s="237" t="e" cm="1">
        <f t="array" aca="1" ref="DZ22" ca="1">_xlfn.UNIQUE(IF(N22="aq",DQ22,IF(N22="sold",_xlfn._xlws.FILTER($DY$7:DY22,$N$7:N22="repo"),IF(ISERR(_xlfn._xlws.FILTER($N$7:N22,$N$7:N22="sold")),DZ21-DY22,0))))</f>
        <v>#N/A</v>
      </c>
      <c r="EA22" s="237" t="e" cm="1">
        <f t="array" aca="1" ref="EA22" ca="1">IF(OR(N22="repo",IFERROR(_xlfn._xlws.FILTER($N$7:N22,$N$7:N22="sold")="sold",FALSE)),0,DP22*DZ21*(DX22/365))</f>
        <v>#N/A</v>
      </c>
      <c r="EB22" s="237" t="e">
        <f t="shared" ca="1" si="36"/>
        <v>#N/A</v>
      </c>
      <c r="EC22" s="237" t="e">
        <f t="shared" ca="1" si="68"/>
        <v>#N/A</v>
      </c>
      <c r="ED22" s="237" cm="1">
        <f t="array" aca="1" ref="ED22" ca="1">_xlfn.IFS(N22="repo",0,N22="sold",DY22-DZ22,N22&lt;&gt;"",DT22-DY22-EB22,N22="",0)</f>
        <v>0</v>
      </c>
      <c r="EE22" s="237" t="e">
        <f t="shared" ca="1" si="37"/>
        <v>#N/A</v>
      </c>
      <c r="EF22" s="237" t="e">
        <f t="shared" ca="1" si="69"/>
        <v>#N/A</v>
      </c>
      <c r="EG22" s="237" t="e">
        <f t="shared" ca="1" si="38"/>
        <v>#N/A</v>
      </c>
    </row>
    <row r="23" spans="2:137" x14ac:dyDescent="0.3">
      <c r="B23" s="83"/>
      <c r="C23" s="83"/>
      <c r="D23" s="84"/>
      <c r="E23" s="84"/>
      <c r="F23" s="190"/>
      <c r="G23" s="190"/>
      <c r="H23" s="190"/>
      <c r="I23" s="190"/>
      <c r="J23" s="85"/>
      <c r="K23" s="85"/>
      <c r="L23" s="113"/>
      <c r="M23" s="87"/>
      <c r="N23" s="191"/>
      <c r="O23" s="272"/>
      <c r="P23" s="184"/>
      <c r="Q23" s="124"/>
      <c r="R23" s="124"/>
      <c r="S23" s="114"/>
      <c r="T23" s="90"/>
      <c r="U23"/>
      <c r="V23" s="90"/>
      <c r="W23" s="260"/>
      <c r="X23" s="260"/>
      <c r="Y23" s="89"/>
      <c r="Z23" s="91"/>
      <c r="AA23" s="97" t="e" cm="1">
        <f t="array" aca="1" ref="AA23" ca="1">IF(N23="vd",_xlfn.XLOOKUP(B23,INDIRECT("'"&amp;$A$1&amp;"'!"&amp;$AK$1&amp;"[pam_code]"),INDIRECT("'"&amp;$A$1&amp;"'!"&amp;$AK$1&amp;"[int_rate]")),AA22)</f>
        <v>#N/A</v>
      </c>
      <c r="AB23" s="116" t="e" cm="1">
        <f t="array" aca="1" ref="AB23" ca="1">IF(N23="vd",_xlfn.XLOOKUP(B23,INDIRECT("'"&amp;$A$1&amp;"'!"&amp;$AK$1&amp;"[pam_code]"),INDIRECT("'"&amp;$A$1&amp;"'!"&amp;$AK$1&amp;"[eir_rate]")),AB22)</f>
        <v>#N/A</v>
      </c>
      <c r="AC23" s="117" t="e">
        <f t="shared" ca="1" si="39"/>
        <v>#N/A</v>
      </c>
      <c r="AD23" s="93" cm="1">
        <f t="array" aca="1" ref="AD23" ca="1">IFERROR(_xlfn.IFS(G22="jm_vat",(BT22+BW22+CC22)/CG22,G22="npl_vat",(BQ22+BZ22)/CG22,G22="cm_vat",(BT22+BW22+BZ22)/CG22,ISNUMBER(FIND("_all_vat",G23)),CF22/CG22,NOT(ISNUMBER(FIND("_vat",G23))),0,G22=0,0,AND(N23="sold",$DG$7="hp"),0),0)</f>
        <v>0</v>
      </c>
      <c r="AE23" s="94" t="e">
        <f t="shared" ca="1" si="0"/>
        <v>#N/A</v>
      </c>
      <c r="AF23" s="94" t="e">
        <f t="shared" ca="1" si="1"/>
        <v>#N/A</v>
      </c>
      <c r="AG23" s="95">
        <f t="shared" ca="1" si="2"/>
        <v>0</v>
      </c>
      <c r="AH23" s="95">
        <f t="shared" ca="1" si="3"/>
        <v>0</v>
      </c>
      <c r="AK23" s="100" cm="1">
        <f t="array" aca="1" ref="AK23" ca="1">IF(N23="vd",_xlfn.XLOOKUP($B$4,INDIRECT("'"&amp;$A$1&amp;"'!"&amp;$AK$1&amp;"[pam_code]"),INDIRECT("'"&amp;$A$1&amp;"'!"&amp;$AK$1&amp;"[verdict_expense_balance]")),
IF(N23="sold",W23,0))</f>
        <v>0</v>
      </c>
      <c r="AL23" s="96" t="e">
        <f t="shared" ca="1" si="4"/>
        <v>#N/A</v>
      </c>
      <c r="AM23" s="96" t="e">
        <f t="shared" ca="1" si="77"/>
        <v>#N/A</v>
      </c>
      <c r="AN23" s="97" t="e">
        <f t="shared" ca="1" si="40"/>
        <v>#N/A</v>
      </c>
      <c r="AO23" s="98">
        <f t="shared" si="5"/>
        <v>0</v>
      </c>
      <c r="AP23" s="99" t="e">
        <f t="shared" ca="1" si="70"/>
        <v>#N/A</v>
      </c>
      <c r="AQ23" s="96">
        <f t="shared" si="6"/>
        <v>0</v>
      </c>
      <c r="AR23" s="96" t="e">
        <f t="shared" ca="1" si="80"/>
        <v>#N/A</v>
      </c>
      <c r="AS23" s="100">
        <f t="shared" si="41"/>
        <v>0</v>
      </c>
      <c r="AT23" s="96" t="e">
        <f t="shared" ca="1" si="7"/>
        <v>#N/A</v>
      </c>
      <c r="AU23" s="96" t="e">
        <f t="shared" ca="1" si="78"/>
        <v>#N/A</v>
      </c>
      <c r="AV23" s="118"/>
      <c r="AW23" s="100" t="e">
        <f t="shared" ca="1" si="8"/>
        <v>#N/A</v>
      </c>
      <c r="AX23" s="118"/>
      <c r="AY23" s="100"/>
      <c r="BB23" s="100" cm="1">
        <f t="array" aca="1" ref="BB23" ca="1">IF(N23="vd",_xlfn.XLOOKUP(B23,INDIRECT("'"&amp;$A$1&amp;"'!"&amp;$AK$1&amp;"[pam_code]"),INDIRECT("'"&amp;$A$1&amp;"'!"&amp;$AK$1&amp;"[verdict_expense_balance]")),
IF(N23="sold",W23,0))</f>
        <v>0</v>
      </c>
      <c r="BC23" s="100" t="e">
        <f t="shared" ca="1" si="9"/>
        <v>#N/A</v>
      </c>
      <c r="BD23" s="96" t="e">
        <f t="shared" ca="1" si="71"/>
        <v>#N/A</v>
      </c>
      <c r="BE23" s="100" cm="1">
        <f t="array" aca="1" ref="BE23" ca="1">IF(N23="vd",_xlfn.XLOOKUP(B23,INDIRECT("'"&amp;$A$1&amp;"'!"&amp;$AK$1&amp;"[pam_code]"),INDIRECT("'"&amp;$A$1&amp;"'!"&amp;$AK$1&amp;"[verdict_outlay_balance]")),0)</f>
        <v>0</v>
      </c>
      <c r="BF23" s="100" t="e">
        <f t="shared" ca="1" si="10"/>
        <v>#N/A</v>
      </c>
      <c r="BG23" s="96" t="e">
        <f t="shared" ca="1" si="42"/>
        <v>#N/A</v>
      </c>
      <c r="BH23" s="100" cm="1">
        <f t="array" aca="1" ref="BH23" ca="1">IF(N23="vd",_xlfn.XLOOKUP(B23,INDIRECT("'"&amp;$A$1&amp;"'!"&amp;$AK$1&amp;"[pam_code]"),INDIRECT("'"&amp;$A$1&amp;"'!"&amp;$AK$1&amp;"[verdict_loss_balance]")),0)</f>
        <v>0</v>
      </c>
      <c r="BI23" s="100" t="e">
        <f t="shared" ca="1" si="11"/>
        <v>#N/A</v>
      </c>
      <c r="BJ23" s="96" t="e">
        <f t="shared" ca="1" si="43"/>
        <v>#N/A</v>
      </c>
      <c r="BK23" s="100" cm="1">
        <f t="array" aca="1" ref="BK23" ca="1">IF(N23="vd",_xlfn.XLOOKUP(B23,INDIRECT("'"&amp;$A$1&amp;"'!"&amp;$AK$1&amp;"[pam_code]"),INDIRECT("'"&amp;$A$1&amp;"'!"&amp;$AK$1&amp;"[verdict_penalty_balance]")),0)</f>
        <v>0</v>
      </c>
      <c r="BL23" s="100" t="e">
        <f t="shared" ca="1" si="12"/>
        <v>#N/A</v>
      </c>
      <c r="BM23" s="96" t="e">
        <f t="shared" ca="1" si="44"/>
        <v>#N/A</v>
      </c>
      <c r="BN23" s="102">
        <f t="shared" si="13"/>
        <v>0</v>
      </c>
      <c r="BO23" s="119" cm="1">
        <f t="array" aca="1" ref="BO23" ca="1">IF(N23="vd",_xlfn.XLOOKUP(B23,INDIRECT("'"&amp;$A$1&amp;"'!"&amp;$AK$1&amp;"[pam_code]"),INDIRECT("'"&amp;$A$1&amp;"'!"&amp;$AK$1&amp;"[verdict_oldinterest_balance]")),IF(N23="add",Z23,0))</f>
        <v>0</v>
      </c>
      <c r="BP23" s="104" t="e">
        <f t="shared" ca="1" si="14"/>
        <v>#N/A</v>
      </c>
      <c r="BQ23" s="105" t="e">
        <f t="shared" ca="1" si="45"/>
        <v>#N/A</v>
      </c>
      <c r="BR23" s="100" cm="1">
        <f t="array" aca="1" ref="BR23" ca="1">IF(N23="vd",_xlfn.XLOOKUP(B23,INDIRECT("'"&amp;$A$1&amp;"'!"&amp;$AK$1&amp;"[pam_code]"),INDIRECT("'"&amp;$A$1&amp;"'!"&amp;$AK$1&amp;"[verdict_opportunitycost_balance]")),0)</f>
        <v>0</v>
      </c>
      <c r="BS23" s="106" t="e">
        <f t="shared" ca="1" si="15"/>
        <v>#N/A</v>
      </c>
      <c r="BT23" s="96" t="e">
        <f t="shared" ca="1" si="46"/>
        <v>#N/A</v>
      </c>
      <c r="BU23" s="109" cm="1">
        <f t="array" aca="1" ref="BU23" ca="1">IF(N23="vd",_xlfn.XLOOKUP(B23,INDIRECT("'"&amp;$A$1&amp;"'!"&amp;$AK$1&amp;"[pam_code]"),INDIRECT("'"&amp;$A$1&amp;"'!"&amp;$AK$1&amp;"[verdict_oldcharge_balance]")),0)</f>
        <v>0</v>
      </c>
      <c r="BV23" s="108" t="e">
        <f t="shared" ca="1" si="16"/>
        <v>#N/A</v>
      </c>
      <c r="BW23" s="109" t="e">
        <f t="shared" ca="1" si="47"/>
        <v>#N/A</v>
      </c>
      <c r="BX23" s="109" cm="1">
        <f t="array" aca="1" ref="BX23" ca="1">IF(N23="vd",_xlfn.XLOOKUP(B23,INDIRECT("'"&amp;$A$1&amp;"'!"&amp;$AK$1&amp;"[pam_code]"),INDIRECT("'"&amp;$A$1&amp;"'!"&amp;$AK$1&amp;"[verdict_principal_balance]")),0)</f>
        <v>0</v>
      </c>
      <c r="BY23" s="109" t="e">
        <f t="shared" ca="1" si="17"/>
        <v>#N/A</v>
      </c>
      <c r="BZ23" s="109" t="e">
        <f t="shared" ca="1" si="48"/>
        <v>#N/A</v>
      </c>
      <c r="CA23" s="109" cm="1">
        <f t="array" aca="1" ref="CA23" ca="1">IF(N23="vd",_xlfn.XLOOKUP(B23,INDIRECT("'"&amp;$A$1&amp;"'!"&amp;$AK$1&amp;"[pam_code]"),INDIRECT("'"&amp;$A$1&amp;"'!"&amp;$AK$1&amp;"[verdict_replacement_balance]")),0)</f>
        <v>0</v>
      </c>
      <c r="CB23" s="108" t="e">
        <f t="shared" ca="1" si="18"/>
        <v>#N/A</v>
      </c>
      <c r="CC23" s="109" t="e">
        <f t="shared" ca="1" si="49"/>
        <v>#N/A</v>
      </c>
      <c r="CD23" s="109" cm="1">
        <f t="array" aca="1" ref="CD23" ca="1">IF(N23="vd",_xlfn.XLOOKUP(B23,INDIRECT("'"&amp;$A$1&amp;"'!"&amp;$AK$1&amp;"[pam_code]"),INDIRECT("'"&amp;$A$1&amp;"'!"&amp;$AK$1&amp;"[verdict_all_balance]")),0)</f>
        <v>0</v>
      </c>
      <c r="CE23" s="109" t="e">
        <f t="shared" ca="1" si="19"/>
        <v>#N/A</v>
      </c>
      <c r="CF23" s="109" t="e">
        <f t="shared" ca="1" si="50"/>
        <v>#N/A</v>
      </c>
      <c r="CG23" s="109" t="e">
        <f t="shared" ca="1" si="51"/>
        <v>#N/A</v>
      </c>
      <c r="CH23" s="109">
        <f t="shared" si="52"/>
        <v>0</v>
      </c>
      <c r="CI23" s="109" t="e">
        <f t="shared" ca="1" si="53"/>
        <v>#N/A</v>
      </c>
      <c r="CJ23" s="109">
        <f t="shared" si="54"/>
        <v>0</v>
      </c>
      <c r="CK23" s="109">
        <f t="shared" si="55"/>
        <v>0</v>
      </c>
      <c r="CL23" s="230" t="str">
        <f t="shared" si="72"/>
        <v>No information</v>
      </c>
      <c r="CM23" s="109" t="e">
        <f t="shared" ca="1" si="56"/>
        <v>#N/A</v>
      </c>
      <c r="CN23" s="109" t="e">
        <f t="shared" ca="1" si="20"/>
        <v>#N/A</v>
      </c>
      <c r="CO23" s="90" t="e">
        <f t="shared" ca="1" si="21"/>
        <v>#N/A</v>
      </c>
      <c r="CQ23" s="96" t="e">
        <f t="shared" ca="1" si="73"/>
        <v>#N/A</v>
      </c>
      <c r="CR23" s="100" t="e">
        <f t="shared" ca="1" si="57"/>
        <v>#N/A</v>
      </c>
      <c r="CS23" s="120" t="e">
        <f t="shared" ca="1" si="57"/>
        <v>#N/A</v>
      </c>
      <c r="CT23" s="112" t="e">
        <f t="shared" ca="1" si="22"/>
        <v>#N/A</v>
      </c>
      <c r="CU23" s="112" t="e">
        <f t="shared" ca="1" si="74"/>
        <v>#N/A</v>
      </c>
      <c r="CV23" s="97" t="e">
        <f t="shared" ca="1" si="23"/>
        <v>#N/A</v>
      </c>
      <c r="CW23" s="100" cm="1">
        <f t="array" aca="1" ref="CW23" ca="1">IF(N23="vd",_xlfn.XLOOKUP(B23,INDIRECT("'"&amp;$A$1&amp;"'!"&amp;$AK$1&amp;"[pam_code]"),INDIRECT("'"&amp;$A$1&amp;"'!"&amp;$AK$1&amp;"[verdict_expense_balance]")),
IF(N23="sold",W23,0))</f>
        <v>0</v>
      </c>
      <c r="CX23" s="100" t="e">
        <f t="shared" ca="1" si="24"/>
        <v>#N/A</v>
      </c>
      <c r="CY23" s="96" t="e">
        <f t="shared" ca="1" si="79"/>
        <v>#N/A</v>
      </c>
      <c r="CZ23" s="100" t="e">
        <f t="shared" ca="1" si="25"/>
        <v>#N/A</v>
      </c>
      <c r="DA23" s="100">
        <f t="shared" si="26"/>
        <v>0</v>
      </c>
      <c r="DB23" s="100" t="e">
        <f t="shared" ca="1" si="27"/>
        <v>#N/A</v>
      </c>
      <c r="DC23" s="96" t="e">
        <f t="shared" ca="1" si="28"/>
        <v>#N/A</v>
      </c>
      <c r="DD23" s="100" t="e">
        <f t="shared" ca="1" si="29"/>
        <v>#N/A</v>
      </c>
      <c r="DE23" s="100" t="e">
        <f t="shared" ca="1" si="58"/>
        <v>#N/A</v>
      </c>
      <c r="DF23"/>
      <c r="DG23" s="252"/>
      <c r="DH23" s="252"/>
      <c r="DI23" s="234">
        <f t="shared" si="59"/>
        <v>0</v>
      </c>
      <c r="DJ23" s="234">
        <f t="shared" si="60"/>
        <v>0</v>
      </c>
      <c r="DK23" s="234">
        <f t="shared" si="61"/>
        <v>0</v>
      </c>
      <c r="DL23" s="234">
        <f t="shared" si="62"/>
        <v>0</v>
      </c>
      <c r="DM23" s="234">
        <f t="shared" si="63"/>
        <v>0</v>
      </c>
      <c r="DN23" s="235">
        <f t="shared" si="64"/>
        <v>0</v>
      </c>
      <c r="DO23" s="236">
        <f t="shared" si="32"/>
        <v>0</v>
      </c>
      <c r="DP23" s="245">
        <f t="shared" si="65"/>
        <v>0</v>
      </c>
      <c r="DQ23" s="235"/>
      <c r="DR23" s="237">
        <f t="shared" si="33"/>
        <v>0</v>
      </c>
      <c r="DS23" s="237" t="e">
        <f t="shared" ca="1" si="66"/>
        <v>#N/A</v>
      </c>
      <c r="DT23" s="237" t="e">
        <f t="shared" ca="1" si="67"/>
        <v>#N/A</v>
      </c>
      <c r="DU23" s="237" t="e">
        <f t="shared" ca="1" si="75"/>
        <v>#N/A</v>
      </c>
      <c r="DV23" s="237" t="e">
        <f t="shared" ca="1" si="76"/>
        <v>#N/A</v>
      </c>
      <c r="DW23" s="241" t="e">
        <f t="shared" ca="1" si="34"/>
        <v>#N/A</v>
      </c>
      <c r="DX23" s="238" t="e">
        <f t="shared" ca="1" si="35"/>
        <v>#N/A</v>
      </c>
      <c r="DY23" s="237" t="e" cm="1">
        <f t="array" aca="1" ref="DY23" ca="1">_xlfn.UNIQUE(IF(CI23=0,DZ22,IF(N23="repo",DZ22,IF(N23="sold",DT23,IF(ISERR(_xlfn._xlws.FILTER($N$7:N23,$N$7:N23="sold")),MIN(DT23*DW23,DZ22),0)))))</f>
        <v>#N/A</v>
      </c>
      <c r="DZ23" s="237" t="e" cm="1">
        <f t="array" aca="1" ref="DZ23" ca="1">_xlfn.UNIQUE(IF(N23="aq",DQ23,IF(N23="sold",_xlfn._xlws.FILTER($DY$7:DY23,$N$7:N23="repo"),IF(ISERR(_xlfn._xlws.FILTER($N$7:N23,$N$7:N23="sold")),DZ22-DY23,0))))</f>
        <v>#N/A</v>
      </c>
      <c r="EA23" s="237" t="e" cm="1">
        <f t="array" aca="1" ref="EA23" ca="1">IF(OR(N23="repo",IFERROR(_xlfn._xlws.FILTER($N$7:N23,$N$7:N23="sold")="sold",FALSE)),0,DP23*DZ22*(DX23/365))</f>
        <v>#N/A</v>
      </c>
      <c r="EB23" s="237" t="e">
        <f t="shared" ca="1" si="36"/>
        <v>#N/A</v>
      </c>
      <c r="EC23" s="237" t="e">
        <f t="shared" ca="1" si="68"/>
        <v>#N/A</v>
      </c>
      <c r="ED23" s="237" cm="1">
        <f t="array" aca="1" ref="ED23" ca="1">_xlfn.IFS(N23="repo",0,N23="sold",DY23-DZ23,N23&lt;&gt;"",DT23-DY23-EB23,N23="",0)</f>
        <v>0</v>
      </c>
      <c r="EE23" s="237" t="e">
        <f t="shared" ca="1" si="37"/>
        <v>#N/A</v>
      </c>
      <c r="EF23" s="237" t="e">
        <f t="shared" ca="1" si="69"/>
        <v>#N/A</v>
      </c>
      <c r="EG23" s="237" t="e">
        <f t="shared" ca="1" si="38"/>
        <v>#N/A</v>
      </c>
    </row>
    <row r="24" spans="2:137" x14ac:dyDescent="0.3">
      <c r="B24" s="83"/>
      <c r="C24" s="83"/>
      <c r="D24" s="84"/>
      <c r="E24" s="84"/>
      <c r="F24" s="190"/>
      <c r="G24" s="190"/>
      <c r="H24" s="190"/>
      <c r="I24" s="190"/>
      <c r="J24" s="85"/>
      <c r="K24" s="85"/>
      <c r="L24" s="113"/>
      <c r="M24" s="87"/>
      <c r="N24" s="191"/>
      <c r="O24" s="272"/>
      <c r="P24" s="184"/>
      <c r="Q24" s="124"/>
      <c r="R24" s="124"/>
      <c r="S24" s="114"/>
      <c r="T24" s="90"/>
      <c r="U24"/>
      <c r="V24" s="90"/>
      <c r="W24" s="260"/>
      <c r="X24" s="260"/>
      <c r="Y24" s="89"/>
      <c r="Z24" s="91"/>
      <c r="AA24" s="97" t="e" cm="1">
        <f t="array" aca="1" ref="AA24" ca="1">IF(N24="vd",_xlfn.XLOOKUP(B24,INDIRECT("'"&amp;$A$1&amp;"'!"&amp;$AK$1&amp;"[pam_code]"),INDIRECT("'"&amp;$A$1&amp;"'!"&amp;$AK$1&amp;"[int_rate]")),AA23)</f>
        <v>#N/A</v>
      </c>
      <c r="AB24" s="116" t="e" cm="1">
        <f t="array" aca="1" ref="AB24" ca="1">IF(N24="vd",_xlfn.XLOOKUP(B24,INDIRECT("'"&amp;$A$1&amp;"'!"&amp;$AK$1&amp;"[pam_code]"),INDIRECT("'"&amp;$A$1&amp;"'!"&amp;$AK$1&amp;"[eir_rate]")),AB23)</f>
        <v>#N/A</v>
      </c>
      <c r="AC24" s="117" t="e">
        <f t="shared" ca="1" si="39"/>
        <v>#N/A</v>
      </c>
      <c r="AD24" s="93" cm="1">
        <f t="array" aca="1" ref="AD24" ca="1">IFERROR(_xlfn.IFS(G23="jm_vat",(BT23+BW23+CC23)/CG23,G23="npl_vat",(BQ23+BZ23)/CG23,G23="cm_vat",(BT23+BW23+BZ23)/CG23,ISNUMBER(FIND("_all_vat",G24)),CF23/CG23,NOT(ISNUMBER(FIND("_vat",G24))),0,G23=0,0,AND(N24="sold",$DG$7="hp"),0),0)</f>
        <v>0</v>
      </c>
      <c r="AE24" s="94" t="e">
        <f t="shared" ca="1" si="0"/>
        <v>#N/A</v>
      </c>
      <c r="AF24" s="94" t="e">
        <f t="shared" ca="1" si="1"/>
        <v>#N/A</v>
      </c>
      <c r="AG24" s="95">
        <f t="shared" ca="1" si="2"/>
        <v>0</v>
      </c>
      <c r="AH24" s="95">
        <f t="shared" ca="1" si="3"/>
        <v>0</v>
      </c>
      <c r="AK24" s="100" cm="1">
        <f t="array" aca="1" ref="AK24" ca="1">IF(N24="vd",_xlfn.XLOOKUP($B$4,INDIRECT("'"&amp;$A$1&amp;"'!"&amp;$AK$1&amp;"[pam_code]"),INDIRECT("'"&amp;$A$1&amp;"'!"&amp;$AK$1&amp;"[verdict_expense_balance]")),
IF(N24="sold",W24,0))</f>
        <v>0</v>
      </c>
      <c r="AL24" s="96" t="e">
        <f t="shared" ca="1" si="4"/>
        <v>#N/A</v>
      </c>
      <c r="AM24" s="96" t="e">
        <f t="shared" ca="1" si="77"/>
        <v>#N/A</v>
      </c>
      <c r="AN24" s="97" t="e">
        <f t="shared" ca="1" si="40"/>
        <v>#N/A</v>
      </c>
      <c r="AO24" s="98">
        <f t="shared" si="5"/>
        <v>0</v>
      </c>
      <c r="AP24" s="99" t="e">
        <f t="shared" ca="1" si="70"/>
        <v>#N/A</v>
      </c>
      <c r="AQ24" s="96">
        <f t="shared" si="6"/>
        <v>0</v>
      </c>
      <c r="AR24" s="96" t="e">
        <f t="shared" ca="1" si="80"/>
        <v>#N/A</v>
      </c>
      <c r="AS24" s="100">
        <f t="shared" si="41"/>
        <v>0</v>
      </c>
      <c r="AT24" s="96" t="e">
        <f t="shared" ca="1" si="7"/>
        <v>#N/A</v>
      </c>
      <c r="AU24" s="96" t="e">
        <f t="shared" ca="1" si="78"/>
        <v>#N/A</v>
      </c>
      <c r="AV24" s="118"/>
      <c r="AW24" s="100" t="e">
        <f t="shared" ca="1" si="8"/>
        <v>#N/A</v>
      </c>
      <c r="AX24" s="118"/>
      <c r="AY24" s="100"/>
      <c r="BB24" s="100" cm="1">
        <f t="array" aca="1" ref="BB24" ca="1">IF(N24="vd",_xlfn.XLOOKUP(B24,INDIRECT("'"&amp;$A$1&amp;"'!"&amp;$AK$1&amp;"[pam_code]"),INDIRECT("'"&amp;$A$1&amp;"'!"&amp;$AK$1&amp;"[verdict_expense_balance]")),
IF(N24="sold",W24,0))</f>
        <v>0</v>
      </c>
      <c r="BC24" s="100" t="e">
        <f t="shared" ca="1" si="9"/>
        <v>#N/A</v>
      </c>
      <c r="BD24" s="96" t="e">
        <f t="shared" ca="1" si="71"/>
        <v>#N/A</v>
      </c>
      <c r="BE24" s="100" cm="1">
        <f t="array" aca="1" ref="BE24" ca="1">IF(N24="vd",_xlfn.XLOOKUP(B24,INDIRECT("'"&amp;$A$1&amp;"'!"&amp;$AK$1&amp;"[pam_code]"),INDIRECT("'"&amp;$A$1&amp;"'!"&amp;$AK$1&amp;"[verdict_outlay_balance]")),0)</f>
        <v>0</v>
      </c>
      <c r="BF24" s="100" t="e">
        <f t="shared" ca="1" si="10"/>
        <v>#N/A</v>
      </c>
      <c r="BG24" s="96" t="e">
        <f t="shared" ca="1" si="42"/>
        <v>#N/A</v>
      </c>
      <c r="BH24" s="100" cm="1">
        <f t="array" aca="1" ref="BH24" ca="1">IF(N24="vd",_xlfn.XLOOKUP(B24,INDIRECT("'"&amp;$A$1&amp;"'!"&amp;$AK$1&amp;"[pam_code]"),INDIRECT("'"&amp;$A$1&amp;"'!"&amp;$AK$1&amp;"[verdict_loss_balance]")),0)</f>
        <v>0</v>
      </c>
      <c r="BI24" s="100" t="e">
        <f t="shared" ca="1" si="11"/>
        <v>#N/A</v>
      </c>
      <c r="BJ24" s="96" t="e">
        <f t="shared" ca="1" si="43"/>
        <v>#N/A</v>
      </c>
      <c r="BK24" s="100" cm="1">
        <f t="array" aca="1" ref="BK24" ca="1">IF(N24="vd",_xlfn.XLOOKUP(B24,INDIRECT("'"&amp;$A$1&amp;"'!"&amp;$AK$1&amp;"[pam_code]"),INDIRECT("'"&amp;$A$1&amp;"'!"&amp;$AK$1&amp;"[verdict_penalty_balance]")),0)</f>
        <v>0</v>
      </c>
      <c r="BL24" s="100" t="e">
        <f t="shared" ca="1" si="12"/>
        <v>#N/A</v>
      </c>
      <c r="BM24" s="96" t="e">
        <f t="shared" ca="1" si="44"/>
        <v>#N/A</v>
      </c>
      <c r="BN24" s="102">
        <f t="shared" si="13"/>
        <v>0</v>
      </c>
      <c r="BO24" s="119" cm="1">
        <f t="array" aca="1" ref="BO24" ca="1">IF(N24="vd",_xlfn.XLOOKUP(B24,INDIRECT("'"&amp;$A$1&amp;"'!"&amp;$AK$1&amp;"[pam_code]"),INDIRECT("'"&amp;$A$1&amp;"'!"&amp;$AK$1&amp;"[verdict_oldinterest_balance]")),IF(N24="add",Z24,0))</f>
        <v>0</v>
      </c>
      <c r="BP24" s="104" t="e">
        <f t="shared" ca="1" si="14"/>
        <v>#N/A</v>
      </c>
      <c r="BQ24" s="105" t="e">
        <f t="shared" ca="1" si="45"/>
        <v>#N/A</v>
      </c>
      <c r="BR24" s="100" cm="1">
        <f t="array" aca="1" ref="BR24" ca="1">IF(N24="vd",_xlfn.XLOOKUP(B24,INDIRECT("'"&amp;$A$1&amp;"'!"&amp;$AK$1&amp;"[pam_code]"),INDIRECT("'"&amp;$A$1&amp;"'!"&amp;$AK$1&amp;"[verdict_opportunitycost_balance]")),0)</f>
        <v>0</v>
      </c>
      <c r="BS24" s="106" t="e">
        <f t="shared" ca="1" si="15"/>
        <v>#N/A</v>
      </c>
      <c r="BT24" s="96" t="e">
        <f t="shared" ca="1" si="46"/>
        <v>#N/A</v>
      </c>
      <c r="BU24" s="109" cm="1">
        <f t="array" aca="1" ref="BU24" ca="1">IF(N24="vd",_xlfn.XLOOKUP(B24,INDIRECT("'"&amp;$A$1&amp;"'!"&amp;$AK$1&amp;"[pam_code]"),INDIRECT("'"&amp;$A$1&amp;"'!"&amp;$AK$1&amp;"[verdict_oldcharge_balance]")),0)</f>
        <v>0</v>
      </c>
      <c r="BV24" s="108" t="e">
        <f t="shared" ca="1" si="16"/>
        <v>#N/A</v>
      </c>
      <c r="BW24" s="109" t="e">
        <f t="shared" ca="1" si="47"/>
        <v>#N/A</v>
      </c>
      <c r="BX24" s="109" cm="1">
        <f t="array" aca="1" ref="BX24" ca="1">IF(N24="vd",_xlfn.XLOOKUP(B24,INDIRECT("'"&amp;$A$1&amp;"'!"&amp;$AK$1&amp;"[pam_code]"),INDIRECT("'"&amp;$A$1&amp;"'!"&amp;$AK$1&amp;"[verdict_principal_balance]")),0)</f>
        <v>0</v>
      </c>
      <c r="BY24" s="109" t="e">
        <f t="shared" ca="1" si="17"/>
        <v>#N/A</v>
      </c>
      <c r="BZ24" s="109" t="e">
        <f t="shared" ca="1" si="48"/>
        <v>#N/A</v>
      </c>
      <c r="CA24" s="109" cm="1">
        <f t="array" aca="1" ref="CA24" ca="1">IF(N24="vd",_xlfn.XLOOKUP(B24,INDIRECT("'"&amp;$A$1&amp;"'!"&amp;$AK$1&amp;"[pam_code]"),INDIRECT("'"&amp;$A$1&amp;"'!"&amp;$AK$1&amp;"[verdict_replacement_balance]")),0)</f>
        <v>0</v>
      </c>
      <c r="CB24" s="108" t="e">
        <f t="shared" ca="1" si="18"/>
        <v>#N/A</v>
      </c>
      <c r="CC24" s="109" t="e">
        <f t="shared" ca="1" si="49"/>
        <v>#N/A</v>
      </c>
      <c r="CD24" s="109" cm="1">
        <f t="array" aca="1" ref="CD24" ca="1">IF(N24="vd",_xlfn.XLOOKUP(B24,INDIRECT("'"&amp;$A$1&amp;"'!"&amp;$AK$1&amp;"[pam_code]"),INDIRECT("'"&amp;$A$1&amp;"'!"&amp;$AK$1&amp;"[verdict_all_balance]")),0)</f>
        <v>0</v>
      </c>
      <c r="CE24" s="109" t="e">
        <f t="shared" ca="1" si="19"/>
        <v>#N/A</v>
      </c>
      <c r="CF24" s="109" t="e">
        <f t="shared" ca="1" si="50"/>
        <v>#N/A</v>
      </c>
      <c r="CG24" s="109" t="e">
        <f t="shared" ca="1" si="51"/>
        <v>#N/A</v>
      </c>
      <c r="CH24" s="109">
        <f t="shared" si="52"/>
        <v>0</v>
      </c>
      <c r="CI24" s="109" t="e">
        <f t="shared" ca="1" si="53"/>
        <v>#N/A</v>
      </c>
      <c r="CJ24" s="109">
        <f t="shared" si="54"/>
        <v>0</v>
      </c>
      <c r="CK24" s="109">
        <f t="shared" si="55"/>
        <v>0</v>
      </c>
      <c r="CL24" s="230" t="str">
        <f t="shared" si="72"/>
        <v>No information</v>
      </c>
      <c r="CM24" s="109" t="e">
        <f t="shared" ca="1" si="56"/>
        <v>#N/A</v>
      </c>
      <c r="CN24" s="109" t="e">
        <f t="shared" ca="1" si="20"/>
        <v>#N/A</v>
      </c>
      <c r="CO24" s="90" t="e">
        <f t="shared" ca="1" si="21"/>
        <v>#N/A</v>
      </c>
      <c r="CQ24" s="96" t="e">
        <f t="shared" ca="1" si="73"/>
        <v>#N/A</v>
      </c>
      <c r="CR24" s="100" t="e">
        <f t="shared" ref="CR24:CS24" ca="1" si="81">CR23</f>
        <v>#N/A</v>
      </c>
      <c r="CS24" s="120" t="e">
        <f t="shared" ca="1" si="81"/>
        <v>#N/A</v>
      </c>
      <c r="CT24" s="112" t="e">
        <f t="shared" ca="1" si="22"/>
        <v>#N/A</v>
      </c>
      <c r="CU24" s="112" t="e">
        <f t="shared" ca="1" si="74"/>
        <v>#N/A</v>
      </c>
      <c r="CV24" s="97" t="e">
        <f t="shared" ca="1" si="23"/>
        <v>#N/A</v>
      </c>
      <c r="CW24" s="100" cm="1">
        <f t="array" aca="1" ref="CW24" ca="1">IF(N24="vd",_xlfn.XLOOKUP(B24,INDIRECT("'"&amp;$A$1&amp;"'!"&amp;$AK$1&amp;"[pam_code]"),INDIRECT("'"&amp;$A$1&amp;"'!"&amp;$AK$1&amp;"[verdict_expense_balance]")),
IF(N24="sold",W24,0))</f>
        <v>0</v>
      </c>
      <c r="CX24" s="100" t="e">
        <f t="shared" ca="1" si="24"/>
        <v>#N/A</v>
      </c>
      <c r="CY24" s="96" t="e">
        <f t="shared" ca="1" si="79"/>
        <v>#N/A</v>
      </c>
      <c r="CZ24" s="100" t="e">
        <f t="shared" ca="1" si="25"/>
        <v>#N/A</v>
      </c>
      <c r="DA24" s="100">
        <f t="shared" si="26"/>
        <v>0</v>
      </c>
      <c r="DB24" s="100" t="e">
        <f t="shared" ca="1" si="27"/>
        <v>#N/A</v>
      </c>
      <c r="DC24" s="96" t="e">
        <f t="shared" ca="1" si="28"/>
        <v>#N/A</v>
      </c>
      <c r="DD24" s="100" t="e">
        <f t="shared" ca="1" si="29"/>
        <v>#N/A</v>
      </c>
      <c r="DE24" s="100" t="e">
        <f t="shared" ca="1" si="58"/>
        <v>#N/A</v>
      </c>
      <c r="DF24"/>
      <c r="DG24" s="252"/>
      <c r="DH24" s="252"/>
      <c r="DI24" s="234">
        <f t="shared" si="59"/>
        <v>0</v>
      </c>
      <c r="DJ24" s="234">
        <f t="shared" si="60"/>
        <v>0</v>
      </c>
      <c r="DK24" s="234">
        <f t="shared" si="61"/>
        <v>0</v>
      </c>
      <c r="DL24" s="234">
        <f t="shared" si="62"/>
        <v>0</v>
      </c>
      <c r="DM24" s="234">
        <f t="shared" si="63"/>
        <v>0</v>
      </c>
      <c r="DN24" s="235">
        <f t="shared" si="64"/>
        <v>0</v>
      </c>
      <c r="DO24" s="236">
        <f t="shared" si="32"/>
        <v>0</v>
      </c>
      <c r="DP24" s="245">
        <f t="shared" si="65"/>
        <v>0</v>
      </c>
      <c r="DQ24" s="235"/>
      <c r="DR24" s="237">
        <f t="shared" si="33"/>
        <v>0</v>
      </c>
      <c r="DS24" s="237" t="e">
        <f t="shared" ca="1" si="66"/>
        <v>#N/A</v>
      </c>
      <c r="DT24" s="237" t="e">
        <f t="shared" ca="1" si="67"/>
        <v>#N/A</v>
      </c>
      <c r="DU24" s="237" t="e">
        <f t="shared" ca="1" si="75"/>
        <v>#N/A</v>
      </c>
      <c r="DV24" s="237" t="e">
        <f t="shared" ca="1" si="76"/>
        <v>#N/A</v>
      </c>
      <c r="DW24" s="241" t="e">
        <f t="shared" ca="1" si="34"/>
        <v>#N/A</v>
      </c>
      <c r="DX24" s="238" t="e">
        <f t="shared" ca="1" si="35"/>
        <v>#N/A</v>
      </c>
      <c r="DY24" s="237" t="e" cm="1">
        <f t="array" aca="1" ref="DY24" ca="1">_xlfn.UNIQUE(IF(CI24=0,DZ23,IF(N24="repo",DZ23,IF(N24="sold",DT24,IF(ISERR(_xlfn._xlws.FILTER($N$7:N24,$N$7:N24="sold")),MIN(DT24*DW24,DZ23),0)))))</f>
        <v>#N/A</v>
      </c>
      <c r="DZ24" s="237" t="e" cm="1">
        <f t="array" aca="1" ref="DZ24" ca="1">_xlfn.UNIQUE(IF(N24="aq",DQ24,IF(N24="sold",_xlfn._xlws.FILTER($DY$7:DY24,$N$7:N24="repo"),IF(ISERR(_xlfn._xlws.FILTER($N$7:N24,$N$7:N24="sold")),DZ23-DY24,0))))</f>
        <v>#N/A</v>
      </c>
      <c r="EA24" s="237" t="e" cm="1">
        <f t="array" aca="1" ref="EA24" ca="1">IF(OR(N24="repo",IFERROR(_xlfn._xlws.FILTER($N$7:N24,$N$7:N24="sold")="sold",FALSE)),0,DP24*DZ23*(DX24/365))</f>
        <v>#N/A</v>
      </c>
      <c r="EB24" s="237" t="e">
        <f t="shared" ca="1" si="36"/>
        <v>#N/A</v>
      </c>
      <c r="EC24" s="237" t="e">
        <f t="shared" ca="1" si="68"/>
        <v>#N/A</v>
      </c>
      <c r="ED24" s="237" cm="1">
        <f t="array" aca="1" ref="ED24" ca="1">_xlfn.IFS(N24="repo",0,N24="sold",DY24-DZ24,N24&lt;&gt;"",DT24-DY24-EB24,N24="",0)</f>
        <v>0</v>
      </c>
      <c r="EE24" s="237" t="e">
        <f t="shared" ca="1" si="37"/>
        <v>#N/A</v>
      </c>
      <c r="EF24" s="237" t="e">
        <f t="shared" ca="1" si="69"/>
        <v>#N/A</v>
      </c>
      <c r="EG24" s="237" t="e">
        <f t="shared" ca="1" si="38"/>
        <v>#N/A</v>
      </c>
    </row>
    <row r="25" spans="2:137" x14ac:dyDescent="0.3">
      <c r="B25" s="83"/>
      <c r="C25" s="83"/>
      <c r="D25" s="84"/>
      <c r="E25" s="84"/>
      <c r="F25" s="190"/>
      <c r="G25" s="190"/>
      <c r="H25" s="190"/>
      <c r="I25" s="190"/>
      <c r="J25" s="85"/>
      <c r="K25" s="85"/>
      <c r="L25" s="113"/>
      <c r="M25" s="87"/>
      <c r="N25" s="191"/>
      <c r="O25" s="272"/>
      <c r="P25" s="184"/>
      <c r="Q25" s="124"/>
      <c r="R25" s="124"/>
      <c r="S25" s="114"/>
      <c r="T25" s="90"/>
      <c r="U25"/>
      <c r="V25" s="90"/>
      <c r="W25" s="260"/>
      <c r="X25" s="260"/>
      <c r="Y25" s="89"/>
      <c r="Z25" s="91"/>
      <c r="AA25" s="97" t="e" cm="1">
        <f t="array" aca="1" ref="AA25" ca="1">IF(N25="vd",_xlfn.XLOOKUP(B25,INDIRECT("'"&amp;$A$1&amp;"'!"&amp;$AK$1&amp;"[pam_code]"),INDIRECT("'"&amp;$A$1&amp;"'!"&amp;$AK$1&amp;"[int_rate]")),AA24)</f>
        <v>#N/A</v>
      </c>
      <c r="AB25" s="116" t="e" cm="1">
        <f t="array" aca="1" ref="AB25" ca="1">IF(N25="vd",_xlfn.XLOOKUP(B25,INDIRECT("'"&amp;$A$1&amp;"'!"&amp;$AK$1&amp;"[pam_code]"),INDIRECT("'"&amp;$A$1&amp;"'!"&amp;$AK$1&amp;"[eir_rate]")),AB24)</f>
        <v>#N/A</v>
      </c>
      <c r="AC25" s="117" t="e">
        <f t="shared" ca="1" si="39"/>
        <v>#N/A</v>
      </c>
      <c r="AD25" s="93" cm="1">
        <f t="array" aca="1" ref="AD25" ca="1">IFERROR(_xlfn.IFS(G24="jm_vat",(BT24+BW24+CC24)/CG24,G24="npl_vat",(BQ24+BZ24)/CG24,G24="cm_vat",(BT24+BW24+BZ24)/CG24,ISNUMBER(FIND("_all_vat",G25)),CF24/CG24,NOT(ISNUMBER(FIND("_vat",G25))),0,G24=0,0,AND(N25="sold",$DG$7="hp"),0),0)</f>
        <v>0</v>
      </c>
      <c r="AE25" s="94" t="e">
        <f t="shared" ca="1" si="0"/>
        <v>#N/A</v>
      </c>
      <c r="AF25" s="94" t="e">
        <f t="shared" ca="1" si="1"/>
        <v>#N/A</v>
      </c>
      <c r="AG25" s="95">
        <f t="shared" ca="1" si="2"/>
        <v>0</v>
      </c>
      <c r="AH25" s="95">
        <f t="shared" ca="1" si="3"/>
        <v>0</v>
      </c>
      <c r="AK25" s="100" cm="1">
        <f t="array" aca="1" ref="AK25" ca="1">IF(N25="vd",_xlfn.XLOOKUP($B$4,INDIRECT("'"&amp;$A$1&amp;"'!"&amp;$AK$1&amp;"[pam_code]"),INDIRECT("'"&amp;$A$1&amp;"'!"&amp;$AK$1&amp;"[verdict_expense_balance]")),
IF(N25="sold",W25,0))</f>
        <v>0</v>
      </c>
      <c r="AL25" s="96" t="e">
        <f t="shared" ca="1" si="4"/>
        <v>#N/A</v>
      </c>
      <c r="AM25" s="96" t="e">
        <f t="shared" ref="AM25:AM43" ca="1" si="82">AM24+AK25-AL25</f>
        <v>#N/A</v>
      </c>
      <c r="AN25" s="97" t="e">
        <f t="shared" ca="1" si="40"/>
        <v>#N/A</v>
      </c>
      <c r="AO25" s="98">
        <f t="shared" si="5"/>
        <v>0</v>
      </c>
      <c r="AP25" s="99" t="e">
        <f t="shared" ref="AP25:AP43" ca="1" si="83">((AU24+AM24)*(AN25/365)*AO25)</f>
        <v>#N/A</v>
      </c>
      <c r="AQ25" s="96">
        <f t="shared" si="6"/>
        <v>0</v>
      </c>
      <c r="AR25" s="96" t="e">
        <f t="shared" ref="AR25:AR43" ca="1" si="84">AR24+AP25-AQ25</f>
        <v>#N/A</v>
      </c>
      <c r="AS25" s="100">
        <f t="shared" ref="AS25:AS43" si="85">IF(N25="aq",S25,0)</f>
        <v>0</v>
      </c>
      <c r="AT25" s="96" t="e">
        <f t="shared" ca="1" si="7"/>
        <v>#N/A</v>
      </c>
      <c r="AU25" s="96" t="e">
        <f t="shared" ref="AU25:AU43" ca="1" si="86">AU24+AS25-AT25</f>
        <v>#N/A</v>
      </c>
      <c r="AV25" s="118"/>
      <c r="AW25" s="100" t="e">
        <f t="shared" ca="1" si="8"/>
        <v>#N/A</v>
      </c>
      <c r="AX25" s="118"/>
      <c r="AY25" s="100"/>
      <c r="BB25" s="100" cm="1">
        <f t="array" aca="1" ref="BB25" ca="1">IF(N25="vd",_xlfn.XLOOKUP(B25,INDIRECT("'"&amp;$A$1&amp;"'!"&amp;$AK$1&amp;"[pam_code]"),INDIRECT("'"&amp;$A$1&amp;"'!"&amp;$AK$1&amp;"[verdict_expense_balance]")),
IF(N25="sold",W25,0))</f>
        <v>0</v>
      </c>
      <c r="BC25" s="100" t="e">
        <f t="shared" ca="1" si="9"/>
        <v>#N/A</v>
      </c>
      <c r="BD25" s="96" t="e">
        <f t="shared" ref="BD25:BD43" ca="1" si="87">BD24+BB25-BC25</f>
        <v>#N/A</v>
      </c>
      <c r="BE25" s="100" cm="1">
        <f t="array" aca="1" ref="BE25" ca="1">IF(N25="vd",_xlfn.XLOOKUP(B25,INDIRECT("'"&amp;$A$1&amp;"'!"&amp;$AK$1&amp;"[pam_code]"),INDIRECT("'"&amp;$A$1&amp;"'!"&amp;$AK$1&amp;"[verdict_outlay_balance]")),0)</f>
        <v>0</v>
      </c>
      <c r="BF25" s="100" t="e">
        <f t="shared" ca="1" si="10"/>
        <v>#N/A</v>
      </c>
      <c r="BG25" s="96" t="e">
        <f t="shared" ref="BG25:BG43" ca="1" si="88">BG24+BE25-BF25</f>
        <v>#N/A</v>
      </c>
      <c r="BH25" s="100" cm="1">
        <f t="array" aca="1" ref="BH25" ca="1">IF(N25="vd",_xlfn.XLOOKUP(B25,INDIRECT("'"&amp;$A$1&amp;"'!"&amp;$AK$1&amp;"[pam_code]"),INDIRECT("'"&amp;$A$1&amp;"'!"&amp;$AK$1&amp;"[verdict_loss_balance]")),0)</f>
        <v>0</v>
      </c>
      <c r="BI25" s="100" t="e">
        <f t="shared" ca="1" si="11"/>
        <v>#N/A</v>
      </c>
      <c r="BJ25" s="96" t="e">
        <f t="shared" ref="BJ25:BJ43" ca="1" si="89">BJ24+BH25-BI25</f>
        <v>#N/A</v>
      </c>
      <c r="BK25" s="100" cm="1">
        <f t="array" aca="1" ref="BK25" ca="1">IF(N25="vd",_xlfn.XLOOKUP(B25,INDIRECT("'"&amp;$A$1&amp;"'!"&amp;$AK$1&amp;"[pam_code]"),INDIRECT("'"&amp;$A$1&amp;"'!"&amp;$AK$1&amp;"[verdict_penalty_balance]")),0)</f>
        <v>0</v>
      </c>
      <c r="BL25" s="100" t="e">
        <f t="shared" ca="1" si="12"/>
        <v>#N/A</v>
      </c>
      <c r="BM25" s="96" t="e">
        <f t="shared" ref="BM25:BM43" ca="1" si="90">BM24+BK25-BL25</f>
        <v>#N/A</v>
      </c>
      <c r="BN25" s="102">
        <f t="shared" si="13"/>
        <v>0</v>
      </c>
      <c r="BO25" s="119" cm="1">
        <f t="array" aca="1" ref="BO25" ca="1">IF(N25="vd",_xlfn.XLOOKUP(B25,INDIRECT("'"&amp;$A$1&amp;"'!"&amp;$AK$1&amp;"[pam_code]"),INDIRECT("'"&amp;$A$1&amp;"'!"&amp;$AK$1&amp;"[verdict_oldinterest_balance]")),IF(N25="add",Z25,0))</f>
        <v>0</v>
      </c>
      <c r="BP25" s="104" t="e">
        <f t="shared" ca="1" si="14"/>
        <v>#N/A</v>
      </c>
      <c r="BQ25" s="105" t="e">
        <f t="shared" ref="BQ25:BQ43" ca="1" si="91">BQ24+BO25-BP25</f>
        <v>#N/A</v>
      </c>
      <c r="BR25" s="100" cm="1">
        <f t="array" aca="1" ref="BR25" ca="1">IF(N25="vd",_xlfn.XLOOKUP(B25,INDIRECT("'"&amp;$A$1&amp;"'!"&amp;$AK$1&amp;"[pam_code]"),INDIRECT("'"&amp;$A$1&amp;"'!"&amp;$AK$1&amp;"[verdict_opportunitycost_balance]")),0)</f>
        <v>0</v>
      </c>
      <c r="BS25" s="106" t="e">
        <f t="shared" ca="1" si="15"/>
        <v>#N/A</v>
      </c>
      <c r="BT25" s="96" t="e">
        <f t="shared" ref="BT25:BT43" ca="1" si="92">BT24+BR25-BS25</f>
        <v>#N/A</v>
      </c>
      <c r="BU25" s="109" cm="1">
        <f t="array" aca="1" ref="BU25" ca="1">IF(N25="vd",_xlfn.XLOOKUP(B25,INDIRECT("'"&amp;$A$1&amp;"'!"&amp;$AK$1&amp;"[pam_code]"),INDIRECT("'"&amp;$A$1&amp;"'!"&amp;$AK$1&amp;"[verdict_oldcharge_balance]")),0)</f>
        <v>0</v>
      </c>
      <c r="BV25" s="108" t="e">
        <f t="shared" ca="1" si="16"/>
        <v>#N/A</v>
      </c>
      <c r="BW25" s="109" t="e">
        <f t="shared" ref="BW25:BW43" ca="1" si="93">BW24+BU25-BV25</f>
        <v>#N/A</v>
      </c>
      <c r="BX25" s="109" cm="1">
        <f t="array" aca="1" ref="BX25" ca="1">IF(N25="vd",_xlfn.XLOOKUP(B25,INDIRECT("'"&amp;$A$1&amp;"'!"&amp;$AK$1&amp;"[pam_code]"),INDIRECT("'"&amp;$A$1&amp;"'!"&amp;$AK$1&amp;"[verdict_principal_balance]")),0)</f>
        <v>0</v>
      </c>
      <c r="BY25" s="109" t="e">
        <f t="shared" ca="1" si="17"/>
        <v>#N/A</v>
      </c>
      <c r="BZ25" s="109" t="e">
        <f t="shared" ref="BZ25:BZ43" ca="1" si="94">BZ24+BX25-BY25</f>
        <v>#N/A</v>
      </c>
      <c r="CA25" s="109" cm="1">
        <f t="array" aca="1" ref="CA25" ca="1">IF(N25="vd",_xlfn.XLOOKUP(B25,INDIRECT("'"&amp;$A$1&amp;"'!"&amp;$AK$1&amp;"[pam_code]"),INDIRECT("'"&amp;$A$1&amp;"'!"&amp;$AK$1&amp;"[verdict_replacement_balance]")),0)</f>
        <v>0</v>
      </c>
      <c r="CB25" s="108" t="e">
        <f t="shared" ca="1" si="18"/>
        <v>#N/A</v>
      </c>
      <c r="CC25" s="109" t="e">
        <f t="shared" ref="CC25:CC43" ca="1" si="95">CC24+CA25-CB25</f>
        <v>#N/A</v>
      </c>
      <c r="CD25" s="109" cm="1">
        <f t="array" aca="1" ref="CD25" ca="1">IF(N25="vd",_xlfn.XLOOKUP(B25,INDIRECT("'"&amp;$A$1&amp;"'!"&amp;$AK$1&amp;"[pam_code]"),INDIRECT("'"&amp;$A$1&amp;"'!"&amp;$AK$1&amp;"[verdict_all_balance]")),0)</f>
        <v>0</v>
      </c>
      <c r="CE25" s="109" t="e">
        <f t="shared" ca="1" si="19"/>
        <v>#N/A</v>
      </c>
      <c r="CF25" s="109" t="e">
        <f t="shared" ref="CF25:CF43" ca="1" si="96">CF24+CD25-CE25</f>
        <v>#N/A</v>
      </c>
      <c r="CG25" s="109" t="e">
        <f t="shared" ca="1" si="51"/>
        <v>#N/A</v>
      </c>
      <c r="CH25" s="109">
        <f t="shared" si="52"/>
        <v>0</v>
      </c>
      <c r="CI25" s="109" t="e">
        <f t="shared" ca="1" si="53"/>
        <v>#N/A</v>
      </c>
      <c r="CJ25" s="109">
        <f t="shared" ref="CJ25:CJ43" si="97">IF(G25="jm_vat",BT25+BW25+CC25+CH25,IF(G25="npl_vat",BQ25+BZ25+CH25,IF(G25="cm_vat",BT25+BW25+BZ25+CH25,IF(OR(G25="jm_all_vat",G25="npl_all_vat",G25="cm_all_vat"),CF25+CH25,0))))</f>
        <v>0</v>
      </c>
      <c r="CK25" s="109">
        <f t="shared" si="55"/>
        <v>0</v>
      </c>
      <c r="CL25" s="230" t="str">
        <f t="shared" si="72"/>
        <v>No information</v>
      </c>
      <c r="CM25" s="109" t="e">
        <f t="shared" ca="1" si="56"/>
        <v>#N/A</v>
      </c>
      <c r="CN25" s="109" t="e">
        <f t="shared" ca="1" si="20"/>
        <v>#N/A</v>
      </c>
      <c r="CO25" s="90" t="e">
        <f t="shared" ca="1" si="21"/>
        <v>#N/A</v>
      </c>
      <c r="CQ25" s="96" t="e">
        <f t="shared" ca="1" si="73"/>
        <v>#N/A</v>
      </c>
      <c r="CR25" s="100" t="e">
        <f t="shared" ref="CR25:CS25" ca="1" si="98">CR24</f>
        <v>#N/A</v>
      </c>
      <c r="CS25" s="120" t="e">
        <f t="shared" ca="1" si="98"/>
        <v>#N/A</v>
      </c>
      <c r="CT25" s="112" t="e">
        <f t="shared" ca="1" si="22"/>
        <v>#N/A</v>
      </c>
      <c r="CU25" s="112" t="e">
        <f t="shared" ca="1" si="74"/>
        <v>#N/A</v>
      </c>
      <c r="CV25" s="97" t="e">
        <f t="shared" ca="1" si="23"/>
        <v>#N/A</v>
      </c>
      <c r="CW25" s="100" cm="1">
        <f t="array" aca="1" ref="CW25" ca="1">IF(N25="vd",_xlfn.XLOOKUP(B25,INDIRECT("'"&amp;$A$1&amp;"'!"&amp;$AK$1&amp;"[pam_code]"),INDIRECT("'"&amp;$A$1&amp;"'!"&amp;$AK$1&amp;"[verdict_expense_balance]")),
IF(N25="sold",W25,0))</f>
        <v>0</v>
      </c>
      <c r="CX25" s="100" t="e">
        <f t="shared" ca="1" si="24"/>
        <v>#N/A</v>
      </c>
      <c r="CY25" s="96" t="e">
        <f t="shared" ref="CY25:CY43" ca="1" si="99">CY24+CW25-CX25</f>
        <v>#N/A</v>
      </c>
      <c r="CZ25" s="100" t="e">
        <f t="shared" ca="1" si="25"/>
        <v>#N/A</v>
      </c>
      <c r="DA25" s="100">
        <f t="shared" si="26"/>
        <v>0</v>
      </c>
      <c r="DB25" s="100" t="e">
        <f t="shared" ca="1" si="27"/>
        <v>#N/A</v>
      </c>
      <c r="DC25" s="96" t="e">
        <f t="shared" ca="1" si="28"/>
        <v>#N/A</v>
      </c>
      <c r="DD25" s="100" t="e">
        <f t="shared" ca="1" si="29"/>
        <v>#N/A</v>
      </c>
      <c r="DE25" s="100" t="e">
        <f t="shared" ca="1" si="58"/>
        <v>#N/A</v>
      </c>
      <c r="DF25"/>
      <c r="DG25" s="252"/>
      <c r="DH25" s="252"/>
      <c r="DI25" s="234">
        <f t="shared" si="59"/>
        <v>0</v>
      </c>
      <c r="DJ25" s="234">
        <f t="shared" si="60"/>
        <v>0</v>
      </c>
      <c r="DK25" s="234">
        <f t="shared" si="61"/>
        <v>0</v>
      </c>
      <c r="DL25" s="234">
        <f t="shared" si="62"/>
        <v>0</v>
      </c>
      <c r="DM25" s="234">
        <f t="shared" si="63"/>
        <v>0</v>
      </c>
      <c r="DN25" s="235">
        <f t="shared" si="64"/>
        <v>0</v>
      </c>
      <c r="DO25" s="236">
        <f t="shared" si="32"/>
        <v>0</v>
      </c>
      <c r="DP25" s="245">
        <f t="shared" si="65"/>
        <v>0</v>
      </c>
      <c r="DQ25" s="235"/>
      <c r="DR25" s="237">
        <f t="shared" si="33"/>
        <v>0</v>
      </c>
      <c r="DS25" s="237" t="e">
        <f t="shared" ca="1" si="66"/>
        <v>#N/A</v>
      </c>
      <c r="DT25" s="237" t="e">
        <f t="shared" ca="1" si="67"/>
        <v>#N/A</v>
      </c>
      <c r="DU25" s="237" t="e">
        <f t="shared" ca="1" si="75"/>
        <v>#N/A</v>
      </c>
      <c r="DV25" s="237" t="e">
        <f t="shared" ca="1" si="76"/>
        <v>#N/A</v>
      </c>
      <c r="DW25" s="241" t="e">
        <f t="shared" ca="1" si="34"/>
        <v>#N/A</v>
      </c>
      <c r="DX25" s="238" t="e">
        <f t="shared" ca="1" si="35"/>
        <v>#N/A</v>
      </c>
      <c r="DY25" s="237" t="e" cm="1">
        <f t="array" aca="1" ref="DY25" ca="1">_xlfn.UNIQUE(IF(CI25=0,DZ24,IF(N25="repo",DZ24,IF(N25="sold",DT25,IF(ISERR(_xlfn._xlws.FILTER($N$7:N25,$N$7:N25="sold")),MIN(DT25*DW25,DZ24),0)))))</f>
        <v>#N/A</v>
      </c>
      <c r="DZ25" s="237" t="e" cm="1">
        <f t="array" aca="1" ref="DZ25" ca="1">_xlfn.UNIQUE(IF(N25="aq",DQ25,IF(N25="sold",_xlfn._xlws.FILTER($DY$7:DY25,$N$7:N25="repo"),IF(ISERR(_xlfn._xlws.FILTER($N$7:N25,$N$7:N25="sold")),DZ24-DY25,0))))</f>
        <v>#N/A</v>
      </c>
      <c r="EA25" s="237" t="e" cm="1">
        <f t="array" aca="1" ref="EA25" ca="1">IF(OR(N25="repo",IFERROR(_xlfn._xlws.FILTER($N$7:N25,$N$7:N25="sold")="sold",FALSE)),0,DP25*DZ24*(DX25/365))</f>
        <v>#N/A</v>
      </c>
      <c r="EB25" s="237" t="e">
        <f t="shared" ca="1" si="36"/>
        <v>#N/A</v>
      </c>
      <c r="EC25" s="237" t="e">
        <f t="shared" ca="1" si="68"/>
        <v>#N/A</v>
      </c>
      <c r="ED25" s="237" cm="1">
        <f t="array" aca="1" ref="ED25" ca="1">_xlfn.IFS(N25="repo",0,N25="sold",DY25-DZ25,N25&lt;&gt;"",DT25-DY25-EB25,N25="",0)</f>
        <v>0</v>
      </c>
      <c r="EE25" s="237" t="e">
        <f t="shared" ca="1" si="37"/>
        <v>#N/A</v>
      </c>
      <c r="EF25" s="237" t="e">
        <f t="shared" ca="1" si="69"/>
        <v>#N/A</v>
      </c>
      <c r="EG25" s="237" t="e">
        <f t="shared" ca="1" si="38"/>
        <v>#N/A</v>
      </c>
    </row>
    <row r="26" spans="2:137" x14ac:dyDescent="0.3">
      <c r="B26" s="83"/>
      <c r="C26" s="83"/>
      <c r="D26" s="84"/>
      <c r="E26" s="84"/>
      <c r="F26" s="190"/>
      <c r="G26" s="190"/>
      <c r="H26" s="190"/>
      <c r="I26" s="190"/>
      <c r="J26" s="85"/>
      <c r="K26" s="85"/>
      <c r="L26" s="113"/>
      <c r="M26" s="87"/>
      <c r="N26" s="191"/>
      <c r="O26" s="272"/>
      <c r="P26" s="184"/>
      <c r="Q26" s="124"/>
      <c r="R26" s="124"/>
      <c r="S26" s="114"/>
      <c r="T26" s="90"/>
      <c r="U26"/>
      <c r="V26" s="90"/>
      <c r="W26" s="260"/>
      <c r="X26" s="260"/>
      <c r="Y26" s="89"/>
      <c r="Z26" s="91"/>
      <c r="AA26" s="97" t="e" cm="1">
        <f t="array" aca="1" ref="AA26" ca="1">IF(N26="vd",_xlfn.XLOOKUP(B26,INDIRECT("'"&amp;$A$1&amp;"'!"&amp;$AK$1&amp;"[pam_code]"),INDIRECT("'"&amp;$A$1&amp;"'!"&amp;$AK$1&amp;"[int_rate]")),AA25)</f>
        <v>#N/A</v>
      </c>
      <c r="AB26" s="116" t="e" cm="1">
        <f t="array" aca="1" ref="AB26" ca="1">IF(N26="vd",_xlfn.XLOOKUP(B26,INDIRECT("'"&amp;$A$1&amp;"'!"&amp;$AK$1&amp;"[pam_code]"),INDIRECT("'"&amp;$A$1&amp;"'!"&amp;$AK$1&amp;"[eir_rate]")),AB25)</f>
        <v>#N/A</v>
      </c>
      <c r="AC26" s="117" t="e">
        <f t="shared" ca="1" si="39"/>
        <v>#N/A</v>
      </c>
      <c r="AD26" s="93" cm="1">
        <f t="array" aca="1" ref="AD26" ca="1">IFERROR(_xlfn.IFS(G25="jm_vat",(BT25+BW25+CC25)/CG25,G25="npl_vat",(BQ25+BZ25)/CG25,G25="cm_vat",(BT25+BW25+BZ25)/CG25,ISNUMBER(FIND("_all_vat",G26)),CF25/CG25,NOT(ISNUMBER(FIND("_vat",G26))),0,G25=0,0,AND(N26="sold",$DG$7="hp"),0),0)</f>
        <v>0</v>
      </c>
      <c r="AE26" s="94" t="e">
        <f t="shared" ca="1" si="0"/>
        <v>#N/A</v>
      </c>
      <c r="AF26" s="94" t="e">
        <f t="shared" ca="1" si="1"/>
        <v>#N/A</v>
      </c>
      <c r="AG26" s="95">
        <f t="shared" ca="1" si="2"/>
        <v>0</v>
      </c>
      <c r="AH26" s="95">
        <f t="shared" ca="1" si="3"/>
        <v>0</v>
      </c>
      <c r="AK26" s="100" cm="1">
        <f t="array" aca="1" ref="AK26" ca="1">IF(N26="vd",_xlfn.XLOOKUP($B$4,INDIRECT("'"&amp;$A$1&amp;"'!"&amp;$AK$1&amp;"[pam_code]"),INDIRECT("'"&amp;$A$1&amp;"'!"&amp;$AK$1&amp;"[verdict_expense_balance]")),
IF(N26="sold",W26,0))</f>
        <v>0</v>
      </c>
      <c r="AL26" s="96" t="e">
        <f t="shared" ca="1" si="4"/>
        <v>#N/A</v>
      </c>
      <c r="AM26" s="96" t="e">
        <f t="shared" ca="1" si="82"/>
        <v>#N/A</v>
      </c>
      <c r="AN26" s="97" t="e">
        <f t="shared" ca="1" si="40"/>
        <v>#N/A</v>
      </c>
      <c r="AO26" s="98">
        <f t="shared" si="5"/>
        <v>0</v>
      </c>
      <c r="AP26" s="99" t="e">
        <f t="shared" ca="1" si="83"/>
        <v>#N/A</v>
      </c>
      <c r="AQ26" s="96">
        <f t="shared" si="6"/>
        <v>0</v>
      </c>
      <c r="AR26" s="96" t="e">
        <f t="shared" ca="1" si="84"/>
        <v>#N/A</v>
      </c>
      <c r="AS26" s="100">
        <f t="shared" si="85"/>
        <v>0</v>
      </c>
      <c r="AT26" s="96" t="e">
        <f t="shared" ca="1" si="7"/>
        <v>#N/A</v>
      </c>
      <c r="AU26" s="96" t="e">
        <f t="shared" ca="1" si="86"/>
        <v>#N/A</v>
      </c>
      <c r="AV26" s="118"/>
      <c r="AW26" s="100" t="e">
        <f t="shared" ca="1" si="8"/>
        <v>#N/A</v>
      </c>
      <c r="AX26" s="118"/>
      <c r="AY26" s="100"/>
      <c r="BB26" s="100" cm="1">
        <f t="array" aca="1" ref="BB26" ca="1">IF(N26="vd",_xlfn.XLOOKUP(B26,INDIRECT("'"&amp;$A$1&amp;"'!"&amp;$AK$1&amp;"[pam_code]"),INDIRECT("'"&amp;$A$1&amp;"'!"&amp;$AK$1&amp;"[verdict_expense_balance]")),
IF(N26="sold",W26,0))</f>
        <v>0</v>
      </c>
      <c r="BC26" s="100" t="e">
        <f t="shared" ca="1" si="9"/>
        <v>#N/A</v>
      </c>
      <c r="BD26" s="96" t="e">
        <f t="shared" ca="1" si="87"/>
        <v>#N/A</v>
      </c>
      <c r="BE26" s="100" cm="1">
        <f t="array" aca="1" ref="BE26" ca="1">IF(N26="vd",_xlfn.XLOOKUP(B26,INDIRECT("'"&amp;$A$1&amp;"'!"&amp;$AK$1&amp;"[pam_code]"),INDIRECT("'"&amp;$A$1&amp;"'!"&amp;$AK$1&amp;"[verdict_outlay_balance]")),0)</f>
        <v>0</v>
      </c>
      <c r="BF26" s="100" t="e">
        <f t="shared" ca="1" si="10"/>
        <v>#N/A</v>
      </c>
      <c r="BG26" s="96" t="e">
        <f t="shared" ca="1" si="88"/>
        <v>#N/A</v>
      </c>
      <c r="BH26" s="100" cm="1">
        <f t="array" aca="1" ref="BH26" ca="1">IF(N26="vd",_xlfn.XLOOKUP(B26,INDIRECT("'"&amp;$A$1&amp;"'!"&amp;$AK$1&amp;"[pam_code]"),INDIRECT("'"&amp;$A$1&amp;"'!"&amp;$AK$1&amp;"[verdict_loss_balance]")),0)</f>
        <v>0</v>
      </c>
      <c r="BI26" s="100" t="e">
        <f t="shared" ca="1" si="11"/>
        <v>#N/A</v>
      </c>
      <c r="BJ26" s="96" t="e">
        <f t="shared" ca="1" si="89"/>
        <v>#N/A</v>
      </c>
      <c r="BK26" s="100" cm="1">
        <f t="array" aca="1" ref="BK26" ca="1">IF(N26="vd",_xlfn.XLOOKUP(B26,INDIRECT("'"&amp;$A$1&amp;"'!"&amp;$AK$1&amp;"[pam_code]"),INDIRECT("'"&amp;$A$1&amp;"'!"&amp;$AK$1&amp;"[verdict_penalty_balance]")),0)</f>
        <v>0</v>
      </c>
      <c r="BL26" s="100" t="e">
        <f t="shared" ca="1" si="12"/>
        <v>#N/A</v>
      </c>
      <c r="BM26" s="96" t="e">
        <f t="shared" ca="1" si="90"/>
        <v>#N/A</v>
      </c>
      <c r="BN26" s="102">
        <f t="shared" si="13"/>
        <v>0</v>
      </c>
      <c r="BO26" s="119" cm="1">
        <f t="array" aca="1" ref="BO26" ca="1">IF(N26="vd",_xlfn.XLOOKUP(B26,INDIRECT("'"&amp;$A$1&amp;"'!"&amp;$AK$1&amp;"[pam_code]"),INDIRECT("'"&amp;$A$1&amp;"'!"&amp;$AK$1&amp;"[verdict_oldinterest_balance]")),IF(N26="add",Z26,0))</f>
        <v>0</v>
      </c>
      <c r="BP26" s="104" t="e">
        <f t="shared" ca="1" si="14"/>
        <v>#N/A</v>
      </c>
      <c r="BQ26" s="105" t="e">
        <f t="shared" ca="1" si="91"/>
        <v>#N/A</v>
      </c>
      <c r="BR26" s="100" cm="1">
        <f t="array" aca="1" ref="BR26" ca="1">IF(N26="vd",_xlfn.XLOOKUP(B26,INDIRECT("'"&amp;$A$1&amp;"'!"&amp;$AK$1&amp;"[pam_code]"),INDIRECT("'"&amp;$A$1&amp;"'!"&amp;$AK$1&amp;"[verdict_opportunitycost_balance]")),0)</f>
        <v>0</v>
      </c>
      <c r="BS26" s="106" t="e">
        <f t="shared" ca="1" si="15"/>
        <v>#N/A</v>
      </c>
      <c r="BT26" s="96" t="e">
        <f t="shared" ca="1" si="92"/>
        <v>#N/A</v>
      </c>
      <c r="BU26" s="109" cm="1">
        <f t="array" aca="1" ref="BU26" ca="1">IF(N26="vd",_xlfn.XLOOKUP(B26,INDIRECT("'"&amp;$A$1&amp;"'!"&amp;$AK$1&amp;"[pam_code]"),INDIRECT("'"&amp;$A$1&amp;"'!"&amp;$AK$1&amp;"[verdict_oldcharge_balance]")),0)</f>
        <v>0</v>
      </c>
      <c r="BV26" s="108" t="e">
        <f t="shared" ca="1" si="16"/>
        <v>#N/A</v>
      </c>
      <c r="BW26" s="109" t="e">
        <f t="shared" ca="1" si="93"/>
        <v>#N/A</v>
      </c>
      <c r="BX26" s="109" cm="1">
        <f t="array" aca="1" ref="BX26" ca="1">IF(N26="vd",_xlfn.XLOOKUP(B26,INDIRECT("'"&amp;$A$1&amp;"'!"&amp;$AK$1&amp;"[pam_code]"),INDIRECT("'"&amp;$A$1&amp;"'!"&amp;$AK$1&amp;"[verdict_principal_balance]")),0)</f>
        <v>0</v>
      </c>
      <c r="BY26" s="109" t="e">
        <f t="shared" ca="1" si="17"/>
        <v>#N/A</v>
      </c>
      <c r="BZ26" s="109" t="e">
        <f t="shared" ca="1" si="94"/>
        <v>#N/A</v>
      </c>
      <c r="CA26" s="109" cm="1">
        <f t="array" aca="1" ref="CA26" ca="1">IF(N26="vd",_xlfn.XLOOKUP(B26,INDIRECT("'"&amp;$A$1&amp;"'!"&amp;$AK$1&amp;"[pam_code]"),INDIRECT("'"&amp;$A$1&amp;"'!"&amp;$AK$1&amp;"[verdict_replacement_balance]")),0)</f>
        <v>0</v>
      </c>
      <c r="CB26" s="108" t="e">
        <f t="shared" ca="1" si="18"/>
        <v>#N/A</v>
      </c>
      <c r="CC26" s="109" t="e">
        <f t="shared" ca="1" si="95"/>
        <v>#N/A</v>
      </c>
      <c r="CD26" s="109" cm="1">
        <f t="array" aca="1" ref="CD26" ca="1">IF(N26="vd",_xlfn.XLOOKUP(B26,INDIRECT("'"&amp;$A$1&amp;"'!"&amp;$AK$1&amp;"[pam_code]"),INDIRECT("'"&amp;$A$1&amp;"'!"&amp;$AK$1&amp;"[verdict_all_balance]")),0)</f>
        <v>0</v>
      </c>
      <c r="CE26" s="109" t="e">
        <f t="shared" ca="1" si="19"/>
        <v>#N/A</v>
      </c>
      <c r="CF26" s="109" t="e">
        <f t="shared" ca="1" si="96"/>
        <v>#N/A</v>
      </c>
      <c r="CG26" s="109" t="e">
        <f t="shared" ca="1" si="51"/>
        <v>#N/A</v>
      </c>
      <c r="CH26" s="109">
        <f t="shared" si="52"/>
        <v>0</v>
      </c>
      <c r="CI26" s="109" t="e">
        <f t="shared" ca="1" si="53"/>
        <v>#N/A</v>
      </c>
      <c r="CJ26" s="109">
        <f t="shared" si="97"/>
        <v>0</v>
      </c>
      <c r="CK26" s="109">
        <f t="shared" si="55"/>
        <v>0</v>
      </c>
      <c r="CL26" s="230" t="str">
        <f t="shared" si="72"/>
        <v>No information</v>
      </c>
      <c r="CM26" s="109" t="e">
        <f t="shared" ca="1" si="56"/>
        <v>#N/A</v>
      </c>
      <c r="CN26" s="109" t="e">
        <f t="shared" ca="1" si="20"/>
        <v>#N/A</v>
      </c>
      <c r="CO26" s="90" t="e">
        <f t="shared" ca="1" si="21"/>
        <v>#N/A</v>
      </c>
      <c r="CQ26" s="96" t="e">
        <f t="shared" ca="1" si="73"/>
        <v>#N/A</v>
      </c>
      <c r="CR26" s="100" t="e">
        <f t="shared" ref="CR26:CS26" ca="1" si="100">CR25</f>
        <v>#N/A</v>
      </c>
      <c r="CS26" s="120" t="e">
        <f t="shared" ca="1" si="100"/>
        <v>#N/A</v>
      </c>
      <c r="CT26" s="112" t="e">
        <f t="shared" ca="1" si="22"/>
        <v>#N/A</v>
      </c>
      <c r="CU26" s="112" t="e">
        <f t="shared" ca="1" si="74"/>
        <v>#N/A</v>
      </c>
      <c r="CV26" s="97" t="e">
        <f t="shared" ca="1" si="23"/>
        <v>#N/A</v>
      </c>
      <c r="CW26" s="100" cm="1">
        <f t="array" aca="1" ref="CW26" ca="1">IF(N26="vd",_xlfn.XLOOKUP(B26,INDIRECT("'"&amp;$A$1&amp;"'!"&amp;$AK$1&amp;"[pam_code]"),INDIRECT("'"&amp;$A$1&amp;"'!"&amp;$AK$1&amp;"[verdict_expense_balance]")),
IF(N26="sold",W26,0))</f>
        <v>0</v>
      </c>
      <c r="CX26" s="100" t="e">
        <f t="shared" ca="1" si="24"/>
        <v>#N/A</v>
      </c>
      <c r="CY26" s="96" t="e">
        <f t="shared" ca="1" si="99"/>
        <v>#N/A</v>
      </c>
      <c r="CZ26" s="100" t="e">
        <f t="shared" ca="1" si="25"/>
        <v>#N/A</v>
      </c>
      <c r="DA26" s="100">
        <f t="shared" si="26"/>
        <v>0</v>
      </c>
      <c r="DB26" s="100" t="e">
        <f t="shared" ca="1" si="27"/>
        <v>#N/A</v>
      </c>
      <c r="DC26" s="96" t="e">
        <f t="shared" ca="1" si="28"/>
        <v>#N/A</v>
      </c>
      <c r="DD26" s="100" t="e">
        <f t="shared" ca="1" si="29"/>
        <v>#N/A</v>
      </c>
      <c r="DE26" s="100" t="e">
        <f t="shared" ca="1" si="58"/>
        <v>#N/A</v>
      </c>
      <c r="DF26"/>
      <c r="DG26" s="252"/>
      <c r="DH26" s="252"/>
      <c r="DI26" s="234">
        <f t="shared" si="59"/>
        <v>0</v>
      </c>
      <c r="DJ26" s="234">
        <f t="shared" si="60"/>
        <v>0</v>
      </c>
      <c r="DK26" s="234">
        <f t="shared" si="61"/>
        <v>0</v>
      </c>
      <c r="DL26" s="234">
        <f t="shared" si="62"/>
        <v>0</v>
      </c>
      <c r="DM26" s="234">
        <f t="shared" si="63"/>
        <v>0</v>
      </c>
      <c r="DN26" s="235">
        <f t="shared" si="64"/>
        <v>0</v>
      </c>
      <c r="DO26" s="236">
        <f t="shared" si="32"/>
        <v>0</v>
      </c>
      <c r="DP26" s="245">
        <f t="shared" si="65"/>
        <v>0</v>
      </c>
      <c r="DQ26" s="235"/>
      <c r="DR26" s="237">
        <f t="shared" si="33"/>
        <v>0</v>
      </c>
      <c r="DS26" s="237" t="e">
        <f t="shared" ca="1" si="66"/>
        <v>#N/A</v>
      </c>
      <c r="DT26" s="237" t="e">
        <f t="shared" ca="1" si="67"/>
        <v>#N/A</v>
      </c>
      <c r="DU26" s="237" t="e">
        <f t="shared" ca="1" si="75"/>
        <v>#N/A</v>
      </c>
      <c r="DV26" s="237" t="e">
        <f t="shared" ca="1" si="76"/>
        <v>#N/A</v>
      </c>
      <c r="DW26" s="241" t="e">
        <f t="shared" ca="1" si="34"/>
        <v>#N/A</v>
      </c>
      <c r="DX26" s="238" t="e">
        <f t="shared" ca="1" si="35"/>
        <v>#N/A</v>
      </c>
      <c r="DY26" s="237" t="e" cm="1">
        <f t="array" aca="1" ref="DY26" ca="1">_xlfn.UNIQUE(IF(CI26=0,DZ25,IF(N26="repo",DZ25,IF(N26="sold",DT26,IF(ISERR(_xlfn._xlws.FILTER($N$7:N26,$N$7:N26="sold")),MIN(DT26*DW26,DZ25),0)))))</f>
        <v>#N/A</v>
      </c>
      <c r="DZ26" s="237" t="e" cm="1">
        <f t="array" aca="1" ref="DZ26" ca="1">_xlfn.UNIQUE(IF(N26="aq",DQ26,IF(N26="sold",_xlfn._xlws.FILTER($DY$7:DY26,$N$7:N26="repo"),IF(ISERR(_xlfn._xlws.FILTER($N$7:N26,$N$7:N26="sold")),DZ25-DY26,0))))</f>
        <v>#N/A</v>
      </c>
      <c r="EA26" s="237" t="e" cm="1">
        <f t="array" aca="1" ref="EA26" ca="1">IF(OR(N26="repo",IFERROR(_xlfn._xlws.FILTER($N$7:N26,$N$7:N26="sold")="sold",FALSE)),0,DP26*DZ25*(DX26/365))</f>
        <v>#N/A</v>
      </c>
      <c r="EB26" s="237" t="e">
        <f t="shared" ca="1" si="36"/>
        <v>#N/A</v>
      </c>
      <c r="EC26" s="237" t="e">
        <f t="shared" ca="1" si="68"/>
        <v>#N/A</v>
      </c>
      <c r="ED26" s="237" cm="1">
        <f t="array" aca="1" ref="ED26" ca="1">_xlfn.IFS(N26="repo",0,N26="sold",DY26-DZ26,N26&lt;&gt;"",DT26-DY26-EB26,N26="",0)</f>
        <v>0</v>
      </c>
      <c r="EE26" s="237" t="e">
        <f t="shared" ca="1" si="37"/>
        <v>#N/A</v>
      </c>
      <c r="EF26" s="237" t="e">
        <f t="shared" ca="1" si="69"/>
        <v>#N/A</v>
      </c>
      <c r="EG26" s="237" t="e">
        <f t="shared" ca="1" si="38"/>
        <v>#N/A</v>
      </c>
    </row>
    <row r="27" spans="2:137" x14ac:dyDescent="0.3">
      <c r="B27" s="83"/>
      <c r="C27" s="83"/>
      <c r="D27" s="84"/>
      <c r="E27" s="84"/>
      <c r="F27" s="190"/>
      <c r="G27" s="190"/>
      <c r="H27" s="190"/>
      <c r="I27" s="190"/>
      <c r="J27" s="85"/>
      <c r="K27" s="85"/>
      <c r="L27" s="113"/>
      <c r="M27" s="87"/>
      <c r="N27" s="191"/>
      <c r="O27" s="272"/>
      <c r="P27" s="184"/>
      <c r="Q27" s="124"/>
      <c r="R27" s="124"/>
      <c r="S27" s="114"/>
      <c r="T27" s="90"/>
      <c r="U27"/>
      <c r="V27" s="90"/>
      <c r="W27" s="260"/>
      <c r="X27" s="260"/>
      <c r="Y27" s="89"/>
      <c r="Z27" s="91"/>
      <c r="AA27" s="97" t="e" cm="1">
        <f t="array" aca="1" ref="AA27" ca="1">IF(N27="vd",_xlfn.XLOOKUP(B27,INDIRECT("'"&amp;$A$1&amp;"'!"&amp;$AK$1&amp;"[pam_code]"),INDIRECT("'"&amp;$A$1&amp;"'!"&amp;$AK$1&amp;"[int_rate]")),AA26)</f>
        <v>#N/A</v>
      </c>
      <c r="AB27" s="116" t="e" cm="1">
        <f t="array" aca="1" ref="AB27" ca="1">IF(N27="vd",_xlfn.XLOOKUP(B27,INDIRECT("'"&amp;$A$1&amp;"'!"&amp;$AK$1&amp;"[pam_code]"),INDIRECT("'"&amp;$A$1&amp;"'!"&amp;$AK$1&amp;"[eir_rate]")),AB26)</f>
        <v>#N/A</v>
      </c>
      <c r="AC27" s="117" t="e">
        <f t="shared" ca="1" si="39"/>
        <v>#N/A</v>
      </c>
      <c r="AD27" s="93" cm="1">
        <f t="array" aca="1" ref="AD27" ca="1">IFERROR(_xlfn.IFS(G26="jm_vat",(BT26+BW26+CC26)/CG26,G26="npl_vat",(BQ26+BZ26)/CG26,G26="cm_vat",(BT26+BW26+BZ26)/CG26,ISNUMBER(FIND("_all_vat",G27)),CF26/CG26,NOT(ISNUMBER(FIND("_vat",G27))),0,G26=0,0,AND(N27="sold",$DG$7="hp"),0),0)</f>
        <v>0</v>
      </c>
      <c r="AE27" s="94" t="e">
        <f t="shared" ca="1" si="0"/>
        <v>#N/A</v>
      </c>
      <c r="AF27" s="94" t="e">
        <f t="shared" ca="1" si="1"/>
        <v>#N/A</v>
      </c>
      <c r="AG27" s="95">
        <f t="shared" ca="1" si="2"/>
        <v>0</v>
      </c>
      <c r="AH27" s="95">
        <f t="shared" ca="1" si="3"/>
        <v>0</v>
      </c>
      <c r="AK27" s="100" cm="1">
        <f t="array" aca="1" ref="AK27" ca="1">IF(N27="vd",_xlfn.XLOOKUP($B$4,INDIRECT("'"&amp;$A$1&amp;"'!"&amp;$AK$1&amp;"[pam_code]"),INDIRECT("'"&amp;$A$1&amp;"'!"&amp;$AK$1&amp;"[verdict_expense_balance]")),
IF(N27="sold",W27,0))</f>
        <v>0</v>
      </c>
      <c r="AL27" s="96" t="e">
        <f t="shared" ca="1" si="4"/>
        <v>#N/A</v>
      </c>
      <c r="AM27" s="96" t="e">
        <f t="shared" ca="1" si="82"/>
        <v>#N/A</v>
      </c>
      <c r="AN27" s="97" t="e">
        <f t="shared" ca="1" si="40"/>
        <v>#N/A</v>
      </c>
      <c r="AO27" s="98">
        <f t="shared" si="5"/>
        <v>0</v>
      </c>
      <c r="AP27" s="99" t="e">
        <f t="shared" ca="1" si="83"/>
        <v>#N/A</v>
      </c>
      <c r="AQ27" s="96">
        <f t="shared" si="6"/>
        <v>0</v>
      </c>
      <c r="AR27" s="96" t="e">
        <f t="shared" ca="1" si="84"/>
        <v>#N/A</v>
      </c>
      <c r="AS27" s="100">
        <f t="shared" si="85"/>
        <v>0</v>
      </c>
      <c r="AT27" s="96" t="e">
        <f t="shared" ca="1" si="7"/>
        <v>#N/A</v>
      </c>
      <c r="AU27" s="96" t="e">
        <f t="shared" ca="1" si="86"/>
        <v>#N/A</v>
      </c>
      <c r="AV27" s="118"/>
      <c r="AW27" s="100" t="e">
        <f t="shared" ca="1" si="8"/>
        <v>#N/A</v>
      </c>
      <c r="AX27" s="118"/>
      <c r="AY27" s="100"/>
      <c r="BB27" s="100" cm="1">
        <f t="array" aca="1" ref="BB27" ca="1">IF(N27="vd",_xlfn.XLOOKUP(B27,INDIRECT("'"&amp;$A$1&amp;"'!"&amp;$AK$1&amp;"[pam_code]"),INDIRECT("'"&amp;$A$1&amp;"'!"&amp;$AK$1&amp;"[verdict_expense_balance]")),
IF(N27="sold",W27,0))</f>
        <v>0</v>
      </c>
      <c r="BC27" s="100" t="e">
        <f t="shared" ca="1" si="9"/>
        <v>#N/A</v>
      </c>
      <c r="BD27" s="96" t="e">
        <f t="shared" ca="1" si="87"/>
        <v>#N/A</v>
      </c>
      <c r="BE27" s="100" cm="1">
        <f t="array" aca="1" ref="BE27" ca="1">IF(N27="vd",_xlfn.XLOOKUP(B27,INDIRECT("'"&amp;$A$1&amp;"'!"&amp;$AK$1&amp;"[pam_code]"),INDIRECT("'"&amp;$A$1&amp;"'!"&amp;$AK$1&amp;"[verdict_outlay_balance]")),0)</f>
        <v>0</v>
      </c>
      <c r="BF27" s="100" t="e">
        <f t="shared" ca="1" si="10"/>
        <v>#N/A</v>
      </c>
      <c r="BG27" s="96" t="e">
        <f t="shared" ca="1" si="88"/>
        <v>#N/A</v>
      </c>
      <c r="BH27" s="100" cm="1">
        <f t="array" aca="1" ref="BH27" ca="1">IF(N27="vd",_xlfn.XLOOKUP(B27,INDIRECT("'"&amp;$A$1&amp;"'!"&amp;$AK$1&amp;"[pam_code]"),INDIRECT("'"&amp;$A$1&amp;"'!"&amp;$AK$1&amp;"[verdict_loss_balance]")),0)</f>
        <v>0</v>
      </c>
      <c r="BI27" s="100" t="e">
        <f t="shared" ca="1" si="11"/>
        <v>#N/A</v>
      </c>
      <c r="BJ27" s="96" t="e">
        <f t="shared" ca="1" si="89"/>
        <v>#N/A</v>
      </c>
      <c r="BK27" s="100" cm="1">
        <f t="array" aca="1" ref="BK27" ca="1">IF(N27="vd",_xlfn.XLOOKUP(B27,INDIRECT("'"&amp;$A$1&amp;"'!"&amp;$AK$1&amp;"[pam_code]"),INDIRECT("'"&amp;$A$1&amp;"'!"&amp;$AK$1&amp;"[verdict_penalty_balance]")),0)</f>
        <v>0</v>
      </c>
      <c r="BL27" s="100" t="e">
        <f t="shared" ca="1" si="12"/>
        <v>#N/A</v>
      </c>
      <c r="BM27" s="96" t="e">
        <f t="shared" ca="1" si="90"/>
        <v>#N/A</v>
      </c>
      <c r="BN27" s="102">
        <f t="shared" si="13"/>
        <v>0</v>
      </c>
      <c r="BO27" s="119" cm="1">
        <f t="array" aca="1" ref="BO27" ca="1">IF(N27="vd",_xlfn.XLOOKUP(B27,INDIRECT("'"&amp;$A$1&amp;"'!"&amp;$AK$1&amp;"[pam_code]"),INDIRECT("'"&amp;$A$1&amp;"'!"&amp;$AK$1&amp;"[verdict_oldinterest_balance]")),IF(N27="add",Z27,0))</f>
        <v>0</v>
      </c>
      <c r="BP27" s="104" t="e">
        <f t="shared" ca="1" si="14"/>
        <v>#N/A</v>
      </c>
      <c r="BQ27" s="105" t="e">
        <f t="shared" ca="1" si="91"/>
        <v>#N/A</v>
      </c>
      <c r="BR27" s="100" cm="1">
        <f t="array" aca="1" ref="BR27" ca="1">IF(N27="vd",_xlfn.XLOOKUP(B27,INDIRECT("'"&amp;$A$1&amp;"'!"&amp;$AK$1&amp;"[pam_code]"),INDIRECT("'"&amp;$A$1&amp;"'!"&amp;$AK$1&amp;"[verdict_opportunitycost_balance]")),0)</f>
        <v>0</v>
      </c>
      <c r="BS27" s="106" t="e">
        <f t="shared" ca="1" si="15"/>
        <v>#N/A</v>
      </c>
      <c r="BT27" s="96" t="e">
        <f t="shared" ca="1" si="92"/>
        <v>#N/A</v>
      </c>
      <c r="BU27" s="109" cm="1">
        <f t="array" aca="1" ref="BU27" ca="1">IF(N27="vd",_xlfn.XLOOKUP(B27,INDIRECT("'"&amp;$A$1&amp;"'!"&amp;$AK$1&amp;"[pam_code]"),INDIRECT("'"&amp;$A$1&amp;"'!"&amp;$AK$1&amp;"[verdict_oldcharge_balance]")),0)</f>
        <v>0</v>
      </c>
      <c r="BV27" s="108" t="e">
        <f t="shared" ca="1" si="16"/>
        <v>#N/A</v>
      </c>
      <c r="BW27" s="109" t="e">
        <f t="shared" ca="1" si="93"/>
        <v>#N/A</v>
      </c>
      <c r="BX27" s="109" cm="1">
        <f t="array" aca="1" ref="BX27" ca="1">IF(N27="vd",_xlfn.XLOOKUP(B27,INDIRECT("'"&amp;$A$1&amp;"'!"&amp;$AK$1&amp;"[pam_code]"),INDIRECT("'"&amp;$A$1&amp;"'!"&amp;$AK$1&amp;"[verdict_principal_balance]")),0)</f>
        <v>0</v>
      </c>
      <c r="BY27" s="109" t="e">
        <f t="shared" ca="1" si="17"/>
        <v>#N/A</v>
      </c>
      <c r="BZ27" s="109" t="e">
        <f t="shared" ca="1" si="94"/>
        <v>#N/A</v>
      </c>
      <c r="CA27" s="109" cm="1">
        <f t="array" aca="1" ref="CA27" ca="1">IF(N27="vd",_xlfn.XLOOKUP(B27,INDIRECT("'"&amp;$A$1&amp;"'!"&amp;$AK$1&amp;"[pam_code]"),INDIRECT("'"&amp;$A$1&amp;"'!"&amp;$AK$1&amp;"[verdict_replacement_balance]")),0)</f>
        <v>0</v>
      </c>
      <c r="CB27" s="108" t="e">
        <f t="shared" ca="1" si="18"/>
        <v>#N/A</v>
      </c>
      <c r="CC27" s="109" t="e">
        <f t="shared" ca="1" si="95"/>
        <v>#N/A</v>
      </c>
      <c r="CD27" s="109" cm="1">
        <f t="array" aca="1" ref="CD27" ca="1">IF(N27="vd",_xlfn.XLOOKUP(B27,INDIRECT("'"&amp;$A$1&amp;"'!"&amp;$AK$1&amp;"[pam_code]"),INDIRECT("'"&amp;$A$1&amp;"'!"&amp;$AK$1&amp;"[verdict_all_balance]")),0)</f>
        <v>0</v>
      </c>
      <c r="CE27" s="109" t="e">
        <f t="shared" ca="1" si="19"/>
        <v>#N/A</v>
      </c>
      <c r="CF27" s="109" t="e">
        <f t="shared" ca="1" si="96"/>
        <v>#N/A</v>
      </c>
      <c r="CG27" s="109" t="e">
        <f t="shared" ca="1" si="51"/>
        <v>#N/A</v>
      </c>
      <c r="CH27" s="109">
        <f t="shared" si="52"/>
        <v>0</v>
      </c>
      <c r="CI27" s="109" t="e">
        <f t="shared" ca="1" si="53"/>
        <v>#N/A</v>
      </c>
      <c r="CJ27" s="109">
        <f t="shared" si="97"/>
        <v>0</v>
      </c>
      <c r="CK27" s="109">
        <f t="shared" si="55"/>
        <v>0</v>
      </c>
      <c r="CL27" s="230" t="str">
        <f t="shared" si="72"/>
        <v>No information</v>
      </c>
      <c r="CM27" s="109" t="e">
        <f t="shared" ca="1" si="56"/>
        <v>#N/A</v>
      </c>
      <c r="CN27" s="109" t="e">
        <f t="shared" ca="1" si="20"/>
        <v>#N/A</v>
      </c>
      <c r="CO27" s="90" t="e">
        <f t="shared" ca="1" si="21"/>
        <v>#N/A</v>
      </c>
      <c r="CQ27" s="96" t="e">
        <f t="shared" ca="1" si="73"/>
        <v>#N/A</v>
      </c>
      <c r="CR27" s="100" t="e">
        <f t="shared" ref="CR27:CS27" ca="1" si="101">CR26</f>
        <v>#N/A</v>
      </c>
      <c r="CS27" s="120" t="e">
        <f t="shared" ca="1" si="101"/>
        <v>#N/A</v>
      </c>
      <c r="CT27" s="112" t="e">
        <f t="shared" ca="1" si="22"/>
        <v>#N/A</v>
      </c>
      <c r="CU27" s="112" t="e">
        <f t="shared" ca="1" si="74"/>
        <v>#N/A</v>
      </c>
      <c r="CV27" s="97" t="e">
        <f t="shared" ca="1" si="23"/>
        <v>#N/A</v>
      </c>
      <c r="CW27" s="100" cm="1">
        <f t="array" aca="1" ref="CW27" ca="1">IF(N27="vd",_xlfn.XLOOKUP(B27,INDIRECT("'"&amp;$A$1&amp;"'!"&amp;$AK$1&amp;"[pam_code]"),INDIRECT("'"&amp;$A$1&amp;"'!"&amp;$AK$1&amp;"[verdict_expense_balance]")),
IF(N27="sold",W27,0))</f>
        <v>0</v>
      </c>
      <c r="CX27" s="100" t="e">
        <f t="shared" ca="1" si="24"/>
        <v>#N/A</v>
      </c>
      <c r="CY27" s="96" t="e">
        <f t="shared" ca="1" si="99"/>
        <v>#N/A</v>
      </c>
      <c r="CZ27" s="100" t="e">
        <f t="shared" ca="1" si="25"/>
        <v>#N/A</v>
      </c>
      <c r="DA27" s="100">
        <f t="shared" si="26"/>
        <v>0</v>
      </c>
      <c r="DB27" s="100" t="e">
        <f t="shared" ca="1" si="27"/>
        <v>#N/A</v>
      </c>
      <c r="DC27" s="96" t="e">
        <f t="shared" ca="1" si="28"/>
        <v>#N/A</v>
      </c>
      <c r="DD27" s="100" t="e">
        <f t="shared" ca="1" si="29"/>
        <v>#N/A</v>
      </c>
      <c r="DE27" s="100" t="e">
        <f t="shared" ca="1" si="58"/>
        <v>#N/A</v>
      </c>
      <c r="DF27"/>
      <c r="DG27" s="252"/>
      <c r="DH27" s="252"/>
      <c r="DI27" s="234">
        <f t="shared" si="59"/>
        <v>0</v>
      </c>
      <c r="DJ27" s="234">
        <f t="shared" si="60"/>
        <v>0</v>
      </c>
      <c r="DK27" s="234">
        <f t="shared" si="61"/>
        <v>0</v>
      </c>
      <c r="DL27" s="234">
        <f t="shared" si="62"/>
        <v>0</v>
      </c>
      <c r="DM27" s="234">
        <f t="shared" si="63"/>
        <v>0</v>
      </c>
      <c r="DN27" s="235">
        <f t="shared" si="64"/>
        <v>0</v>
      </c>
      <c r="DO27" s="236">
        <f t="shared" si="32"/>
        <v>0</v>
      </c>
      <c r="DP27" s="245">
        <f t="shared" si="65"/>
        <v>0</v>
      </c>
      <c r="DQ27" s="235"/>
      <c r="DR27" s="237">
        <f t="shared" si="33"/>
        <v>0</v>
      </c>
      <c r="DS27" s="237" t="e">
        <f t="shared" ca="1" si="66"/>
        <v>#N/A</v>
      </c>
      <c r="DT27" s="237" t="e">
        <f t="shared" ca="1" si="67"/>
        <v>#N/A</v>
      </c>
      <c r="DU27" s="237" t="e">
        <f t="shared" ca="1" si="75"/>
        <v>#N/A</v>
      </c>
      <c r="DV27" s="237" t="e">
        <f t="shared" ca="1" si="76"/>
        <v>#N/A</v>
      </c>
      <c r="DW27" s="241" t="e">
        <f t="shared" ca="1" si="34"/>
        <v>#N/A</v>
      </c>
      <c r="DX27" s="238" t="e">
        <f t="shared" ca="1" si="35"/>
        <v>#N/A</v>
      </c>
      <c r="DY27" s="237" t="e" cm="1">
        <f t="array" aca="1" ref="DY27" ca="1">_xlfn.UNIQUE(IF(CI27=0,DZ26,IF(N27="repo",DZ26,IF(N27="sold",DT27,IF(ISERR(_xlfn._xlws.FILTER($N$7:N27,$N$7:N27="sold")),MIN(DT27*DW27,DZ26),0)))))</f>
        <v>#N/A</v>
      </c>
      <c r="DZ27" s="237" t="e" cm="1">
        <f t="array" aca="1" ref="DZ27" ca="1">_xlfn.UNIQUE(IF(N27="aq",DQ27,IF(N27="sold",_xlfn._xlws.FILTER($DY$7:DY27,$N$7:N27="repo"),IF(ISERR(_xlfn._xlws.FILTER($N$7:N27,$N$7:N27="sold")),DZ26-DY27,0))))</f>
        <v>#N/A</v>
      </c>
      <c r="EA27" s="237" t="e" cm="1">
        <f t="array" aca="1" ref="EA27" ca="1">IF(OR(N27="repo",IFERROR(_xlfn._xlws.FILTER($N$7:N27,$N$7:N27="sold")="sold",FALSE)),0,DP27*DZ26*(DX27/365))</f>
        <v>#N/A</v>
      </c>
      <c r="EB27" s="237" t="e">
        <f t="shared" ca="1" si="36"/>
        <v>#N/A</v>
      </c>
      <c r="EC27" s="237" t="e">
        <f t="shared" ca="1" si="68"/>
        <v>#N/A</v>
      </c>
      <c r="ED27" s="237" cm="1">
        <f t="array" aca="1" ref="ED27" ca="1">_xlfn.IFS(N27="repo",0,N27="sold",DY27-DZ27,N27&lt;&gt;"",DT27-DY27-EB27,N27="",0)</f>
        <v>0</v>
      </c>
      <c r="EE27" s="237" t="e">
        <f t="shared" ca="1" si="37"/>
        <v>#N/A</v>
      </c>
      <c r="EF27" s="237" t="e">
        <f t="shared" ca="1" si="69"/>
        <v>#N/A</v>
      </c>
      <c r="EG27" s="237" t="e">
        <f t="shared" ca="1" si="38"/>
        <v>#N/A</v>
      </c>
    </row>
    <row r="28" spans="2:137" x14ac:dyDescent="0.3">
      <c r="B28" s="83"/>
      <c r="C28" s="83"/>
      <c r="D28" s="84"/>
      <c r="E28" s="84"/>
      <c r="F28" s="190"/>
      <c r="G28" s="190"/>
      <c r="H28" s="190"/>
      <c r="I28" s="190"/>
      <c r="J28" s="85"/>
      <c r="K28" s="85"/>
      <c r="L28" s="113"/>
      <c r="M28" s="87"/>
      <c r="N28" s="191"/>
      <c r="O28" s="272"/>
      <c r="P28" s="184"/>
      <c r="Q28" s="124"/>
      <c r="R28" s="124"/>
      <c r="S28" s="114"/>
      <c r="T28" s="90"/>
      <c r="U28"/>
      <c r="V28" s="90"/>
      <c r="W28" s="260"/>
      <c r="X28" s="260"/>
      <c r="Y28" s="89"/>
      <c r="Z28" s="91"/>
      <c r="AA28" s="97" t="e" cm="1">
        <f t="array" aca="1" ref="AA28" ca="1">IF(N28="vd",_xlfn.XLOOKUP(B28,INDIRECT("'"&amp;$A$1&amp;"'!"&amp;$AK$1&amp;"[pam_code]"),INDIRECT("'"&amp;$A$1&amp;"'!"&amp;$AK$1&amp;"[int_rate]")),AA27)</f>
        <v>#N/A</v>
      </c>
      <c r="AB28" s="116" t="e" cm="1">
        <f t="array" aca="1" ref="AB28" ca="1">IF(N28="vd",_xlfn.XLOOKUP(B28,INDIRECT("'"&amp;$A$1&amp;"'!"&amp;$AK$1&amp;"[pam_code]"),INDIRECT("'"&amp;$A$1&amp;"'!"&amp;$AK$1&amp;"[eir_rate]")),AB27)</f>
        <v>#N/A</v>
      </c>
      <c r="AC28" s="117" t="e">
        <f t="shared" ca="1" si="39"/>
        <v>#N/A</v>
      </c>
      <c r="AD28" s="93" cm="1">
        <f t="array" aca="1" ref="AD28" ca="1">IFERROR(_xlfn.IFS(G27="jm_vat",(BT27+BW27+CC27)/CG27,G27="npl_vat",(BQ27+BZ27)/CG27,G27="cm_vat",(BT27+BW27+BZ27)/CG27,ISNUMBER(FIND("_all_vat",G28)),CF27/CG27,NOT(ISNUMBER(FIND("_vat",G28))),0,G27=0,0,AND(N28="sold",$DG$7="hp"),0),0)</f>
        <v>0</v>
      </c>
      <c r="AE28" s="94" t="e">
        <f t="shared" ca="1" si="0"/>
        <v>#N/A</v>
      </c>
      <c r="AF28" s="94" t="e">
        <f t="shared" ca="1" si="1"/>
        <v>#N/A</v>
      </c>
      <c r="AG28" s="95">
        <f t="shared" ca="1" si="2"/>
        <v>0</v>
      </c>
      <c r="AH28" s="95">
        <f t="shared" ca="1" si="3"/>
        <v>0</v>
      </c>
      <c r="AK28" s="100" cm="1">
        <f t="array" aca="1" ref="AK28" ca="1">IF(N28="vd",_xlfn.XLOOKUP($B$4,INDIRECT("'"&amp;$A$1&amp;"'!"&amp;$AK$1&amp;"[pam_code]"),INDIRECT("'"&amp;$A$1&amp;"'!"&amp;$AK$1&amp;"[verdict_expense_balance]")),
IF(N28="sold",W28,0))</f>
        <v>0</v>
      </c>
      <c r="AL28" s="96" t="e">
        <f t="shared" ca="1" si="4"/>
        <v>#N/A</v>
      </c>
      <c r="AM28" s="96" t="e">
        <f t="shared" ca="1" si="82"/>
        <v>#N/A</v>
      </c>
      <c r="AN28" s="97" t="e">
        <f t="shared" ca="1" si="40"/>
        <v>#N/A</v>
      </c>
      <c r="AO28" s="98">
        <f t="shared" si="5"/>
        <v>0</v>
      </c>
      <c r="AP28" s="99" t="e">
        <f t="shared" ca="1" si="83"/>
        <v>#N/A</v>
      </c>
      <c r="AQ28" s="96">
        <f t="shared" si="6"/>
        <v>0</v>
      </c>
      <c r="AR28" s="96" t="e">
        <f t="shared" ca="1" si="84"/>
        <v>#N/A</v>
      </c>
      <c r="AS28" s="100">
        <f t="shared" si="85"/>
        <v>0</v>
      </c>
      <c r="AT28" s="96" t="e">
        <f t="shared" ca="1" si="7"/>
        <v>#N/A</v>
      </c>
      <c r="AU28" s="96" t="e">
        <f t="shared" ca="1" si="86"/>
        <v>#N/A</v>
      </c>
      <c r="AV28" s="118"/>
      <c r="AW28" s="100" t="e">
        <f t="shared" ca="1" si="8"/>
        <v>#N/A</v>
      </c>
      <c r="AX28" s="118"/>
      <c r="AY28" s="100"/>
      <c r="BB28" s="100" cm="1">
        <f t="array" aca="1" ref="BB28" ca="1">IF(N28="vd",_xlfn.XLOOKUP(B28,INDIRECT("'"&amp;$A$1&amp;"'!"&amp;$AK$1&amp;"[pam_code]"),INDIRECT("'"&amp;$A$1&amp;"'!"&amp;$AK$1&amp;"[verdict_expense_balance]")),
IF(N28="sold",W28,0))</f>
        <v>0</v>
      </c>
      <c r="BC28" s="100" t="e">
        <f t="shared" ca="1" si="9"/>
        <v>#N/A</v>
      </c>
      <c r="BD28" s="96" t="e">
        <f t="shared" ca="1" si="87"/>
        <v>#N/A</v>
      </c>
      <c r="BE28" s="100" cm="1">
        <f t="array" aca="1" ref="BE28" ca="1">IF(N28="vd",_xlfn.XLOOKUP(B28,INDIRECT("'"&amp;$A$1&amp;"'!"&amp;$AK$1&amp;"[pam_code]"),INDIRECT("'"&amp;$A$1&amp;"'!"&amp;$AK$1&amp;"[verdict_outlay_balance]")),0)</f>
        <v>0</v>
      </c>
      <c r="BF28" s="100" t="e">
        <f t="shared" ca="1" si="10"/>
        <v>#N/A</v>
      </c>
      <c r="BG28" s="96" t="e">
        <f t="shared" ca="1" si="88"/>
        <v>#N/A</v>
      </c>
      <c r="BH28" s="100" cm="1">
        <f t="array" aca="1" ref="BH28" ca="1">IF(N28="vd",_xlfn.XLOOKUP(B28,INDIRECT("'"&amp;$A$1&amp;"'!"&amp;$AK$1&amp;"[pam_code]"),INDIRECT("'"&amp;$A$1&amp;"'!"&amp;$AK$1&amp;"[verdict_loss_balance]")),0)</f>
        <v>0</v>
      </c>
      <c r="BI28" s="100" t="e">
        <f t="shared" ca="1" si="11"/>
        <v>#N/A</v>
      </c>
      <c r="BJ28" s="96" t="e">
        <f t="shared" ca="1" si="89"/>
        <v>#N/A</v>
      </c>
      <c r="BK28" s="100" cm="1">
        <f t="array" aca="1" ref="BK28" ca="1">IF(N28="vd",_xlfn.XLOOKUP(B28,INDIRECT("'"&amp;$A$1&amp;"'!"&amp;$AK$1&amp;"[pam_code]"),INDIRECT("'"&amp;$A$1&amp;"'!"&amp;$AK$1&amp;"[verdict_penalty_balance]")),0)</f>
        <v>0</v>
      </c>
      <c r="BL28" s="100" t="e">
        <f t="shared" ca="1" si="12"/>
        <v>#N/A</v>
      </c>
      <c r="BM28" s="96" t="e">
        <f t="shared" ca="1" si="90"/>
        <v>#N/A</v>
      </c>
      <c r="BN28" s="102">
        <f t="shared" si="13"/>
        <v>0</v>
      </c>
      <c r="BO28" s="119" cm="1">
        <f t="array" aca="1" ref="BO28" ca="1">IF(N28="vd",_xlfn.XLOOKUP(B28,INDIRECT("'"&amp;$A$1&amp;"'!"&amp;$AK$1&amp;"[pam_code]"),INDIRECT("'"&amp;$A$1&amp;"'!"&amp;$AK$1&amp;"[verdict_oldinterest_balance]")),IF(N28="add",Z28,0))</f>
        <v>0</v>
      </c>
      <c r="BP28" s="104" t="e">
        <f t="shared" ca="1" si="14"/>
        <v>#N/A</v>
      </c>
      <c r="BQ28" s="105" t="e">
        <f t="shared" ca="1" si="91"/>
        <v>#N/A</v>
      </c>
      <c r="BR28" s="100" cm="1">
        <f t="array" aca="1" ref="BR28" ca="1">IF(N28="vd",_xlfn.XLOOKUP(B28,INDIRECT("'"&amp;$A$1&amp;"'!"&amp;$AK$1&amp;"[pam_code]"),INDIRECT("'"&amp;$A$1&amp;"'!"&amp;$AK$1&amp;"[verdict_opportunitycost_balance]")),0)</f>
        <v>0</v>
      </c>
      <c r="BS28" s="106" t="e">
        <f t="shared" ca="1" si="15"/>
        <v>#N/A</v>
      </c>
      <c r="BT28" s="96" t="e">
        <f t="shared" ca="1" si="92"/>
        <v>#N/A</v>
      </c>
      <c r="BU28" s="109" cm="1">
        <f t="array" aca="1" ref="BU28" ca="1">IF(N28="vd",_xlfn.XLOOKUP(B28,INDIRECT("'"&amp;$A$1&amp;"'!"&amp;$AK$1&amp;"[pam_code]"),INDIRECT("'"&amp;$A$1&amp;"'!"&amp;$AK$1&amp;"[verdict_oldcharge_balance]")),0)</f>
        <v>0</v>
      </c>
      <c r="BV28" s="108" t="e">
        <f t="shared" ca="1" si="16"/>
        <v>#N/A</v>
      </c>
      <c r="BW28" s="109" t="e">
        <f t="shared" ca="1" si="93"/>
        <v>#N/A</v>
      </c>
      <c r="BX28" s="109" cm="1">
        <f t="array" aca="1" ref="BX28" ca="1">IF(N28="vd",_xlfn.XLOOKUP(B28,INDIRECT("'"&amp;$A$1&amp;"'!"&amp;$AK$1&amp;"[pam_code]"),INDIRECT("'"&amp;$A$1&amp;"'!"&amp;$AK$1&amp;"[verdict_principal_balance]")),0)</f>
        <v>0</v>
      </c>
      <c r="BY28" s="109" t="e">
        <f t="shared" ca="1" si="17"/>
        <v>#N/A</v>
      </c>
      <c r="BZ28" s="109" t="e">
        <f t="shared" ca="1" si="94"/>
        <v>#N/A</v>
      </c>
      <c r="CA28" s="109" cm="1">
        <f t="array" aca="1" ref="CA28" ca="1">IF(N28="vd",_xlfn.XLOOKUP(B28,INDIRECT("'"&amp;$A$1&amp;"'!"&amp;$AK$1&amp;"[pam_code]"),INDIRECT("'"&amp;$A$1&amp;"'!"&amp;$AK$1&amp;"[verdict_replacement_balance]")),0)</f>
        <v>0</v>
      </c>
      <c r="CB28" s="108" t="e">
        <f t="shared" ca="1" si="18"/>
        <v>#N/A</v>
      </c>
      <c r="CC28" s="109" t="e">
        <f t="shared" ca="1" si="95"/>
        <v>#N/A</v>
      </c>
      <c r="CD28" s="109" cm="1">
        <f t="array" aca="1" ref="CD28" ca="1">IF(N28="vd",_xlfn.XLOOKUP(B28,INDIRECT("'"&amp;$A$1&amp;"'!"&amp;$AK$1&amp;"[pam_code]"),INDIRECT("'"&amp;$A$1&amp;"'!"&amp;$AK$1&amp;"[verdict_all_balance]")),0)</f>
        <v>0</v>
      </c>
      <c r="CE28" s="109" t="e">
        <f t="shared" ca="1" si="19"/>
        <v>#N/A</v>
      </c>
      <c r="CF28" s="109" t="e">
        <f t="shared" ca="1" si="96"/>
        <v>#N/A</v>
      </c>
      <c r="CG28" s="109" t="e">
        <f t="shared" ca="1" si="51"/>
        <v>#N/A</v>
      </c>
      <c r="CH28" s="109">
        <f t="shared" si="52"/>
        <v>0</v>
      </c>
      <c r="CI28" s="109" t="e">
        <f t="shared" ca="1" si="53"/>
        <v>#N/A</v>
      </c>
      <c r="CJ28" s="109">
        <f t="shared" si="97"/>
        <v>0</v>
      </c>
      <c r="CK28" s="109">
        <f t="shared" si="55"/>
        <v>0</v>
      </c>
      <c r="CL28" s="230" t="str">
        <f t="shared" si="72"/>
        <v>No information</v>
      </c>
      <c r="CM28" s="109" t="e">
        <f t="shared" ca="1" si="56"/>
        <v>#N/A</v>
      </c>
      <c r="CN28" s="109" t="e">
        <f t="shared" ca="1" si="20"/>
        <v>#N/A</v>
      </c>
      <c r="CO28" s="90" t="e">
        <f t="shared" ca="1" si="21"/>
        <v>#N/A</v>
      </c>
      <c r="CQ28" s="96" t="e">
        <f t="shared" ca="1" si="73"/>
        <v>#N/A</v>
      </c>
      <c r="CR28" s="100" t="e">
        <f t="shared" ref="CR28:CS28" ca="1" si="102">CR27</f>
        <v>#N/A</v>
      </c>
      <c r="CS28" s="120" t="e">
        <f t="shared" ca="1" si="102"/>
        <v>#N/A</v>
      </c>
      <c r="CT28" s="112" t="e">
        <f t="shared" ca="1" si="22"/>
        <v>#N/A</v>
      </c>
      <c r="CU28" s="112" t="e">
        <f t="shared" ca="1" si="74"/>
        <v>#N/A</v>
      </c>
      <c r="CV28" s="97" t="e">
        <f t="shared" ca="1" si="23"/>
        <v>#N/A</v>
      </c>
      <c r="CW28" s="100" cm="1">
        <f t="array" aca="1" ref="CW28" ca="1">IF(N28="vd",_xlfn.XLOOKUP(B28,INDIRECT("'"&amp;$A$1&amp;"'!"&amp;$AK$1&amp;"[pam_code]"),INDIRECT("'"&amp;$A$1&amp;"'!"&amp;$AK$1&amp;"[verdict_expense_balance]")),
IF(N28="sold",W28,0))</f>
        <v>0</v>
      </c>
      <c r="CX28" s="100" t="e">
        <f t="shared" ca="1" si="24"/>
        <v>#N/A</v>
      </c>
      <c r="CY28" s="96" t="e">
        <f t="shared" ca="1" si="99"/>
        <v>#N/A</v>
      </c>
      <c r="CZ28" s="100" t="e">
        <f t="shared" ca="1" si="25"/>
        <v>#N/A</v>
      </c>
      <c r="DA28" s="100">
        <f t="shared" si="26"/>
        <v>0</v>
      </c>
      <c r="DB28" s="100" t="e">
        <f t="shared" ca="1" si="27"/>
        <v>#N/A</v>
      </c>
      <c r="DC28" s="96" t="e">
        <f t="shared" ca="1" si="28"/>
        <v>#N/A</v>
      </c>
      <c r="DD28" s="100" t="e">
        <f t="shared" ca="1" si="29"/>
        <v>#N/A</v>
      </c>
      <c r="DE28" s="100" t="e">
        <f t="shared" ca="1" si="58"/>
        <v>#N/A</v>
      </c>
      <c r="DF28"/>
      <c r="DG28" s="252"/>
      <c r="DH28" s="252"/>
      <c r="DI28" s="234">
        <f t="shared" si="59"/>
        <v>0</v>
      </c>
      <c r="DJ28" s="234">
        <f t="shared" si="60"/>
        <v>0</v>
      </c>
      <c r="DK28" s="234">
        <f t="shared" si="61"/>
        <v>0</v>
      </c>
      <c r="DL28" s="234">
        <f t="shared" si="62"/>
        <v>0</v>
      </c>
      <c r="DM28" s="234">
        <f t="shared" si="63"/>
        <v>0</v>
      </c>
      <c r="DN28" s="235">
        <f t="shared" si="64"/>
        <v>0</v>
      </c>
      <c r="DO28" s="236">
        <f t="shared" si="32"/>
        <v>0</v>
      </c>
      <c r="DP28" s="245">
        <f t="shared" si="65"/>
        <v>0</v>
      </c>
      <c r="DQ28" s="235"/>
      <c r="DR28" s="237">
        <f t="shared" si="33"/>
        <v>0</v>
      </c>
      <c r="DS28" s="237" t="e">
        <f t="shared" ca="1" si="66"/>
        <v>#N/A</v>
      </c>
      <c r="DT28" s="237" t="e">
        <f t="shared" ca="1" si="67"/>
        <v>#N/A</v>
      </c>
      <c r="DU28" s="237" t="e">
        <f t="shared" ca="1" si="75"/>
        <v>#N/A</v>
      </c>
      <c r="DV28" s="237" t="e">
        <f t="shared" ca="1" si="76"/>
        <v>#N/A</v>
      </c>
      <c r="DW28" s="241" t="e">
        <f t="shared" ca="1" si="34"/>
        <v>#N/A</v>
      </c>
      <c r="DX28" s="238" t="e">
        <f t="shared" ca="1" si="35"/>
        <v>#N/A</v>
      </c>
      <c r="DY28" s="237" t="e" cm="1">
        <f t="array" aca="1" ref="DY28" ca="1">_xlfn.UNIQUE(IF(CI28=0,DZ27,IF(N28="repo",DZ27,IF(N28="sold",DT28,IF(ISERR(_xlfn._xlws.FILTER($N$7:N28,$N$7:N28="sold")),MIN(DT28*DW28,DZ27),0)))))</f>
        <v>#N/A</v>
      </c>
      <c r="DZ28" s="237" t="e" cm="1">
        <f t="array" aca="1" ref="DZ28" ca="1">_xlfn.UNIQUE(IF(N28="aq",DQ28,IF(N28="sold",_xlfn._xlws.FILTER($DY$7:DY28,$N$7:N28="repo"),IF(ISERR(_xlfn._xlws.FILTER($N$7:N28,$N$7:N28="sold")),DZ27-DY28,0))))</f>
        <v>#N/A</v>
      </c>
      <c r="EA28" s="237" t="e" cm="1">
        <f t="array" aca="1" ref="EA28" ca="1">IF(OR(N28="repo",IFERROR(_xlfn._xlws.FILTER($N$7:N28,$N$7:N28="sold")="sold",FALSE)),0,DP28*DZ27*(DX28/365))</f>
        <v>#N/A</v>
      </c>
      <c r="EB28" s="237" t="e">
        <f t="shared" ca="1" si="36"/>
        <v>#N/A</v>
      </c>
      <c r="EC28" s="237" t="e">
        <f t="shared" ca="1" si="68"/>
        <v>#N/A</v>
      </c>
      <c r="ED28" s="237" cm="1">
        <f t="array" aca="1" ref="ED28" ca="1">_xlfn.IFS(N28="repo",0,N28="sold",DY28-DZ28,N28&lt;&gt;"",DT28-DY28-EB28,N28="",0)</f>
        <v>0</v>
      </c>
      <c r="EE28" s="237" t="e">
        <f t="shared" ca="1" si="37"/>
        <v>#N/A</v>
      </c>
      <c r="EF28" s="237" t="e">
        <f t="shared" ca="1" si="69"/>
        <v>#N/A</v>
      </c>
      <c r="EG28" s="237" t="e">
        <f t="shared" ca="1" si="38"/>
        <v>#N/A</v>
      </c>
    </row>
    <row r="29" spans="2:137" x14ac:dyDescent="0.3">
      <c r="B29" s="83"/>
      <c r="C29" s="83"/>
      <c r="D29" s="84"/>
      <c r="E29" s="84"/>
      <c r="F29" s="190"/>
      <c r="G29" s="190"/>
      <c r="H29" s="190"/>
      <c r="I29" s="190"/>
      <c r="J29" s="85"/>
      <c r="K29" s="85"/>
      <c r="L29" s="113"/>
      <c r="M29" s="87"/>
      <c r="N29" s="191"/>
      <c r="O29" s="272"/>
      <c r="P29" s="184"/>
      <c r="Q29" s="124"/>
      <c r="R29" s="124"/>
      <c r="S29" s="114"/>
      <c r="T29" s="90"/>
      <c r="U29"/>
      <c r="V29" s="90"/>
      <c r="W29" s="260"/>
      <c r="X29" s="260"/>
      <c r="Y29" s="89"/>
      <c r="Z29" s="91"/>
      <c r="AA29" s="97" t="e" cm="1">
        <f t="array" aca="1" ref="AA29" ca="1">IF(N29="vd",_xlfn.XLOOKUP(B29,INDIRECT("'"&amp;$A$1&amp;"'!"&amp;$AK$1&amp;"[pam_code]"),INDIRECT("'"&amp;$A$1&amp;"'!"&amp;$AK$1&amp;"[int_rate]")),AA28)</f>
        <v>#N/A</v>
      </c>
      <c r="AB29" s="116" t="e" cm="1">
        <f t="array" aca="1" ref="AB29" ca="1">IF(N29="vd",_xlfn.XLOOKUP(B29,INDIRECT("'"&amp;$A$1&amp;"'!"&amp;$AK$1&amp;"[pam_code]"),INDIRECT("'"&amp;$A$1&amp;"'!"&amp;$AK$1&amp;"[eir_rate]")),AB28)</f>
        <v>#N/A</v>
      </c>
      <c r="AC29" s="117" t="e">
        <f t="shared" ca="1" si="39"/>
        <v>#N/A</v>
      </c>
      <c r="AD29" s="93" cm="1">
        <f t="array" aca="1" ref="AD29" ca="1">IFERROR(_xlfn.IFS(G28="jm_vat",(BT28+BW28+CC28)/CG28,G28="npl_vat",(BQ28+BZ28)/CG28,G28="cm_vat",(BT28+BW28+BZ28)/CG28,ISNUMBER(FIND("_all_vat",G29)),CF28/CG28,NOT(ISNUMBER(FIND("_vat",G29))),0,G28=0,0,AND(N29="sold",$DG$7="hp"),0),0)</f>
        <v>0</v>
      </c>
      <c r="AE29" s="94" t="e">
        <f t="shared" ca="1" si="0"/>
        <v>#N/A</v>
      </c>
      <c r="AF29" s="94" t="e">
        <f t="shared" ca="1" si="1"/>
        <v>#N/A</v>
      </c>
      <c r="AG29" s="95">
        <f t="shared" ca="1" si="2"/>
        <v>0</v>
      </c>
      <c r="AH29" s="95">
        <f t="shared" ca="1" si="3"/>
        <v>0</v>
      </c>
      <c r="AK29" s="100" cm="1">
        <f t="array" aca="1" ref="AK29" ca="1">IF(N29="vd",_xlfn.XLOOKUP($B$4,INDIRECT("'"&amp;$A$1&amp;"'!"&amp;$AK$1&amp;"[pam_code]"),INDIRECT("'"&amp;$A$1&amp;"'!"&amp;$AK$1&amp;"[verdict_expense_balance]")),
IF(N29="sold",W29,0))</f>
        <v>0</v>
      </c>
      <c r="AL29" s="96" t="e">
        <f t="shared" ca="1" si="4"/>
        <v>#N/A</v>
      </c>
      <c r="AM29" s="96" t="e">
        <f t="shared" ca="1" si="82"/>
        <v>#N/A</v>
      </c>
      <c r="AN29" s="97" t="e">
        <f t="shared" ca="1" si="40"/>
        <v>#N/A</v>
      </c>
      <c r="AO29" s="98">
        <f t="shared" si="5"/>
        <v>0</v>
      </c>
      <c r="AP29" s="99" t="e">
        <f t="shared" ca="1" si="83"/>
        <v>#N/A</v>
      </c>
      <c r="AQ29" s="96">
        <f t="shared" si="6"/>
        <v>0</v>
      </c>
      <c r="AR29" s="96" t="e">
        <f t="shared" ca="1" si="84"/>
        <v>#N/A</v>
      </c>
      <c r="AS29" s="100">
        <f t="shared" si="85"/>
        <v>0</v>
      </c>
      <c r="AT29" s="96" t="e">
        <f t="shared" ca="1" si="7"/>
        <v>#N/A</v>
      </c>
      <c r="AU29" s="96" t="e">
        <f t="shared" ca="1" si="86"/>
        <v>#N/A</v>
      </c>
      <c r="AV29" s="118"/>
      <c r="AW29" s="100" t="e">
        <f t="shared" ca="1" si="8"/>
        <v>#N/A</v>
      </c>
      <c r="AX29" s="118"/>
      <c r="AY29" s="100"/>
      <c r="BB29" s="100" cm="1">
        <f t="array" aca="1" ref="BB29" ca="1">IF(N29="vd",_xlfn.XLOOKUP(B29,INDIRECT("'"&amp;$A$1&amp;"'!"&amp;$AK$1&amp;"[pam_code]"),INDIRECT("'"&amp;$A$1&amp;"'!"&amp;$AK$1&amp;"[verdict_expense_balance]")),
IF(N29="sold",W29,0))</f>
        <v>0</v>
      </c>
      <c r="BC29" s="100" t="e">
        <f t="shared" ca="1" si="9"/>
        <v>#N/A</v>
      </c>
      <c r="BD29" s="96" t="e">
        <f t="shared" ca="1" si="87"/>
        <v>#N/A</v>
      </c>
      <c r="BE29" s="100" cm="1">
        <f t="array" aca="1" ref="BE29" ca="1">IF(N29="vd",_xlfn.XLOOKUP(B29,INDIRECT("'"&amp;$A$1&amp;"'!"&amp;$AK$1&amp;"[pam_code]"),INDIRECT("'"&amp;$A$1&amp;"'!"&amp;$AK$1&amp;"[verdict_outlay_balance]")),0)</f>
        <v>0</v>
      </c>
      <c r="BF29" s="100" t="e">
        <f t="shared" ca="1" si="10"/>
        <v>#N/A</v>
      </c>
      <c r="BG29" s="96" t="e">
        <f t="shared" ca="1" si="88"/>
        <v>#N/A</v>
      </c>
      <c r="BH29" s="100" cm="1">
        <f t="array" aca="1" ref="BH29" ca="1">IF(N29="vd",_xlfn.XLOOKUP(B29,INDIRECT("'"&amp;$A$1&amp;"'!"&amp;$AK$1&amp;"[pam_code]"),INDIRECT("'"&amp;$A$1&amp;"'!"&amp;$AK$1&amp;"[verdict_loss_balance]")),0)</f>
        <v>0</v>
      </c>
      <c r="BI29" s="100" t="e">
        <f t="shared" ca="1" si="11"/>
        <v>#N/A</v>
      </c>
      <c r="BJ29" s="96" t="e">
        <f t="shared" ca="1" si="89"/>
        <v>#N/A</v>
      </c>
      <c r="BK29" s="100" cm="1">
        <f t="array" aca="1" ref="BK29" ca="1">IF(N29="vd",_xlfn.XLOOKUP(B29,INDIRECT("'"&amp;$A$1&amp;"'!"&amp;$AK$1&amp;"[pam_code]"),INDIRECT("'"&amp;$A$1&amp;"'!"&amp;$AK$1&amp;"[verdict_penalty_balance]")),0)</f>
        <v>0</v>
      </c>
      <c r="BL29" s="100" t="e">
        <f t="shared" ca="1" si="12"/>
        <v>#N/A</v>
      </c>
      <c r="BM29" s="96" t="e">
        <f t="shared" ca="1" si="90"/>
        <v>#N/A</v>
      </c>
      <c r="BN29" s="102">
        <f t="shared" si="13"/>
        <v>0</v>
      </c>
      <c r="BO29" s="119" cm="1">
        <f t="array" aca="1" ref="BO29" ca="1">IF(N29="vd",_xlfn.XLOOKUP(B29,INDIRECT("'"&amp;$A$1&amp;"'!"&amp;$AK$1&amp;"[pam_code]"),INDIRECT("'"&amp;$A$1&amp;"'!"&amp;$AK$1&amp;"[verdict_oldinterest_balance]")),IF(N29="add",Z29,0))</f>
        <v>0</v>
      </c>
      <c r="BP29" s="104" t="e">
        <f t="shared" ca="1" si="14"/>
        <v>#N/A</v>
      </c>
      <c r="BQ29" s="105" t="e">
        <f t="shared" ca="1" si="91"/>
        <v>#N/A</v>
      </c>
      <c r="BR29" s="100" cm="1">
        <f t="array" aca="1" ref="BR29" ca="1">IF(N29="vd",_xlfn.XLOOKUP(B29,INDIRECT("'"&amp;$A$1&amp;"'!"&amp;$AK$1&amp;"[pam_code]"),INDIRECT("'"&amp;$A$1&amp;"'!"&amp;$AK$1&amp;"[verdict_opportunitycost_balance]")),0)</f>
        <v>0</v>
      </c>
      <c r="BS29" s="106" t="e">
        <f t="shared" ca="1" si="15"/>
        <v>#N/A</v>
      </c>
      <c r="BT29" s="96" t="e">
        <f t="shared" ca="1" si="92"/>
        <v>#N/A</v>
      </c>
      <c r="BU29" s="109" cm="1">
        <f t="array" aca="1" ref="BU29" ca="1">IF(N29="vd",_xlfn.XLOOKUP(B29,INDIRECT("'"&amp;$A$1&amp;"'!"&amp;$AK$1&amp;"[pam_code]"),INDIRECT("'"&amp;$A$1&amp;"'!"&amp;$AK$1&amp;"[verdict_oldcharge_balance]")),0)</f>
        <v>0</v>
      </c>
      <c r="BV29" s="108" t="e">
        <f t="shared" ca="1" si="16"/>
        <v>#N/A</v>
      </c>
      <c r="BW29" s="109" t="e">
        <f t="shared" ca="1" si="93"/>
        <v>#N/A</v>
      </c>
      <c r="BX29" s="109" cm="1">
        <f t="array" aca="1" ref="BX29" ca="1">IF(N29="vd",_xlfn.XLOOKUP(B29,INDIRECT("'"&amp;$A$1&amp;"'!"&amp;$AK$1&amp;"[pam_code]"),INDIRECT("'"&amp;$A$1&amp;"'!"&amp;$AK$1&amp;"[verdict_principal_balance]")),0)</f>
        <v>0</v>
      </c>
      <c r="BY29" s="109" t="e">
        <f t="shared" ca="1" si="17"/>
        <v>#N/A</v>
      </c>
      <c r="BZ29" s="109" t="e">
        <f t="shared" ca="1" si="94"/>
        <v>#N/A</v>
      </c>
      <c r="CA29" s="109" cm="1">
        <f t="array" aca="1" ref="CA29" ca="1">IF(N29="vd",_xlfn.XLOOKUP(B29,INDIRECT("'"&amp;$A$1&amp;"'!"&amp;$AK$1&amp;"[pam_code]"),INDIRECT("'"&amp;$A$1&amp;"'!"&amp;$AK$1&amp;"[verdict_replacement_balance]")),0)</f>
        <v>0</v>
      </c>
      <c r="CB29" s="108" t="e">
        <f t="shared" ca="1" si="18"/>
        <v>#N/A</v>
      </c>
      <c r="CC29" s="109" t="e">
        <f t="shared" ca="1" si="95"/>
        <v>#N/A</v>
      </c>
      <c r="CD29" s="109" cm="1">
        <f t="array" aca="1" ref="CD29" ca="1">IF(N29="vd",_xlfn.XLOOKUP(B29,INDIRECT("'"&amp;$A$1&amp;"'!"&amp;$AK$1&amp;"[pam_code]"),INDIRECT("'"&amp;$A$1&amp;"'!"&amp;$AK$1&amp;"[verdict_all_balance]")),0)</f>
        <v>0</v>
      </c>
      <c r="CE29" s="109" t="e">
        <f t="shared" ca="1" si="19"/>
        <v>#N/A</v>
      </c>
      <c r="CF29" s="109" t="e">
        <f t="shared" ca="1" si="96"/>
        <v>#N/A</v>
      </c>
      <c r="CG29" s="109" t="e">
        <f t="shared" ca="1" si="51"/>
        <v>#N/A</v>
      </c>
      <c r="CH29" s="109">
        <f t="shared" si="52"/>
        <v>0</v>
      </c>
      <c r="CI29" s="109" t="e">
        <f t="shared" ca="1" si="53"/>
        <v>#N/A</v>
      </c>
      <c r="CJ29" s="109">
        <f t="shared" si="97"/>
        <v>0</v>
      </c>
      <c r="CK29" s="109">
        <f t="shared" si="55"/>
        <v>0</v>
      </c>
      <c r="CL29" s="230" t="str">
        <f t="shared" si="72"/>
        <v>No information</v>
      </c>
      <c r="CM29" s="109" t="e">
        <f t="shared" ca="1" si="56"/>
        <v>#N/A</v>
      </c>
      <c r="CN29" s="109" t="e">
        <f t="shared" ca="1" si="20"/>
        <v>#N/A</v>
      </c>
      <c r="CO29" s="90" t="e">
        <f t="shared" ca="1" si="21"/>
        <v>#N/A</v>
      </c>
      <c r="CQ29" s="96" t="e">
        <f t="shared" ca="1" si="73"/>
        <v>#N/A</v>
      </c>
      <c r="CR29" s="100" t="e">
        <f t="shared" ref="CR29:CS29" ca="1" si="103">CR28</f>
        <v>#N/A</v>
      </c>
      <c r="CS29" s="120" t="e">
        <f t="shared" ca="1" si="103"/>
        <v>#N/A</v>
      </c>
      <c r="CT29" s="112" t="e">
        <f t="shared" ca="1" si="22"/>
        <v>#N/A</v>
      </c>
      <c r="CU29" s="112" t="e">
        <f t="shared" ca="1" si="74"/>
        <v>#N/A</v>
      </c>
      <c r="CV29" s="97" t="e">
        <f t="shared" ca="1" si="23"/>
        <v>#N/A</v>
      </c>
      <c r="CW29" s="100" cm="1">
        <f t="array" aca="1" ref="CW29" ca="1">IF(N29="vd",_xlfn.XLOOKUP(B29,INDIRECT("'"&amp;$A$1&amp;"'!"&amp;$AK$1&amp;"[pam_code]"),INDIRECT("'"&amp;$A$1&amp;"'!"&amp;$AK$1&amp;"[verdict_expense_balance]")),
IF(N29="sold",W29,0))</f>
        <v>0</v>
      </c>
      <c r="CX29" s="100" t="e">
        <f t="shared" ca="1" si="24"/>
        <v>#N/A</v>
      </c>
      <c r="CY29" s="96" t="e">
        <f t="shared" ca="1" si="99"/>
        <v>#N/A</v>
      </c>
      <c r="CZ29" s="100" t="e">
        <f t="shared" ca="1" si="25"/>
        <v>#N/A</v>
      </c>
      <c r="DA29" s="100">
        <f t="shared" si="26"/>
        <v>0</v>
      </c>
      <c r="DB29" s="100" t="e">
        <f t="shared" ca="1" si="27"/>
        <v>#N/A</v>
      </c>
      <c r="DC29" s="96" t="e">
        <f t="shared" ca="1" si="28"/>
        <v>#N/A</v>
      </c>
      <c r="DD29" s="100" t="e">
        <f t="shared" ca="1" si="29"/>
        <v>#N/A</v>
      </c>
      <c r="DE29" s="100" t="e">
        <f t="shared" ca="1" si="58"/>
        <v>#N/A</v>
      </c>
      <c r="DF29"/>
      <c r="DG29" s="252"/>
      <c r="DH29" s="252"/>
      <c r="DI29" s="234">
        <f t="shared" si="59"/>
        <v>0</v>
      </c>
      <c r="DJ29" s="234">
        <f t="shared" si="60"/>
        <v>0</v>
      </c>
      <c r="DK29" s="234">
        <f t="shared" si="61"/>
        <v>0</v>
      </c>
      <c r="DL29" s="234">
        <f t="shared" si="62"/>
        <v>0</v>
      </c>
      <c r="DM29" s="234">
        <f t="shared" si="63"/>
        <v>0</v>
      </c>
      <c r="DN29" s="235">
        <f t="shared" si="64"/>
        <v>0</v>
      </c>
      <c r="DO29" s="236">
        <f t="shared" si="32"/>
        <v>0</v>
      </c>
      <c r="DP29" s="245">
        <f t="shared" si="65"/>
        <v>0</v>
      </c>
      <c r="DQ29" s="235"/>
      <c r="DR29" s="237">
        <f t="shared" si="33"/>
        <v>0</v>
      </c>
      <c r="DS29" s="237" t="e">
        <f t="shared" ca="1" si="66"/>
        <v>#N/A</v>
      </c>
      <c r="DT29" s="237" t="e">
        <f t="shared" ca="1" si="67"/>
        <v>#N/A</v>
      </c>
      <c r="DU29" s="237" t="e">
        <f t="shared" ca="1" si="75"/>
        <v>#N/A</v>
      </c>
      <c r="DV29" s="237" t="e">
        <f t="shared" ca="1" si="76"/>
        <v>#N/A</v>
      </c>
      <c r="DW29" s="241" t="e">
        <f t="shared" ca="1" si="34"/>
        <v>#N/A</v>
      </c>
      <c r="DX29" s="238" t="e">
        <f t="shared" ca="1" si="35"/>
        <v>#N/A</v>
      </c>
      <c r="DY29" s="237" t="e" cm="1">
        <f t="array" aca="1" ref="DY29" ca="1">_xlfn.UNIQUE(IF(CI29=0,DZ28,IF(N29="repo",DZ28,IF(N29="sold",DT29,IF(ISERR(_xlfn._xlws.FILTER($N$7:N29,$N$7:N29="sold")),MIN(DT29*DW29,DZ28),0)))))</f>
        <v>#N/A</v>
      </c>
      <c r="DZ29" s="237" t="e" cm="1">
        <f t="array" aca="1" ref="DZ29" ca="1">_xlfn.UNIQUE(IF(N29="aq",DQ29,IF(N29="sold",_xlfn._xlws.FILTER($DY$7:DY29,$N$7:N29="repo"),IF(ISERR(_xlfn._xlws.FILTER($N$7:N29,$N$7:N29="sold")),DZ28-DY29,0))))</f>
        <v>#N/A</v>
      </c>
      <c r="EA29" s="237" t="e" cm="1">
        <f t="array" aca="1" ref="EA29" ca="1">IF(OR(N29="repo",IFERROR(_xlfn._xlws.FILTER($N$7:N29,$N$7:N29="sold")="sold",FALSE)),0,DP29*DZ28*(DX29/365))</f>
        <v>#N/A</v>
      </c>
      <c r="EB29" s="237" t="e">
        <f t="shared" ca="1" si="36"/>
        <v>#N/A</v>
      </c>
      <c r="EC29" s="237" t="e">
        <f t="shared" ca="1" si="68"/>
        <v>#N/A</v>
      </c>
      <c r="ED29" s="237" cm="1">
        <f t="array" aca="1" ref="ED29" ca="1">_xlfn.IFS(N29="repo",0,N29="sold",DY29-DZ29,N29&lt;&gt;"",DT29-DY29-EB29,N29="",0)</f>
        <v>0</v>
      </c>
      <c r="EE29" s="237" t="e">
        <f t="shared" ca="1" si="37"/>
        <v>#N/A</v>
      </c>
      <c r="EF29" s="237" t="e">
        <f t="shared" ca="1" si="69"/>
        <v>#N/A</v>
      </c>
      <c r="EG29" s="237" t="e">
        <f t="shared" ca="1" si="38"/>
        <v>#N/A</v>
      </c>
    </row>
    <row r="30" spans="2:137" x14ac:dyDescent="0.3">
      <c r="B30" s="83"/>
      <c r="C30" s="83"/>
      <c r="D30" s="84"/>
      <c r="E30" s="84"/>
      <c r="F30" s="190"/>
      <c r="G30" s="190"/>
      <c r="H30" s="190"/>
      <c r="I30" s="190"/>
      <c r="J30" s="85"/>
      <c r="K30" s="85"/>
      <c r="L30" s="113"/>
      <c r="M30" s="87"/>
      <c r="N30" s="191"/>
      <c r="O30" s="272"/>
      <c r="P30" s="184"/>
      <c r="Q30" s="124"/>
      <c r="R30" s="124"/>
      <c r="S30" s="114"/>
      <c r="T30" s="90"/>
      <c r="U30"/>
      <c r="V30" s="90"/>
      <c r="W30" s="260"/>
      <c r="X30" s="260"/>
      <c r="Y30" s="89"/>
      <c r="Z30" s="91"/>
      <c r="AA30" s="97" t="e" cm="1">
        <f t="array" aca="1" ref="AA30" ca="1">IF(N30="vd",_xlfn.XLOOKUP(B30,INDIRECT("'"&amp;$A$1&amp;"'!"&amp;$AK$1&amp;"[pam_code]"),INDIRECT("'"&amp;$A$1&amp;"'!"&amp;$AK$1&amp;"[int_rate]")),AA29)</f>
        <v>#N/A</v>
      </c>
      <c r="AB30" s="116" t="e" cm="1">
        <f t="array" aca="1" ref="AB30" ca="1">IF(N30="vd",_xlfn.XLOOKUP(B30,INDIRECT("'"&amp;$A$1&amp;"'!"&amp;$AK$1&amp;"[pam_code]"),INDIRECT("'"&amp;$A$1&amp;"'!"&amp;$AK$1&amp;"[eir_rate]")),AB29)</f>
        <v>#N/A</v>
      </c>
      <c r="AC30" s="117" t="e">
        <f t="shared" ca="1" si="39"/>
        <v>#N/A</v>
      </c>
      <c r="AD30" s="93" cm="1">
        <f t="array" aca="1" ref="AD30" ca="1">IFERROR(_xlfn.IFS(G29="jm_vat",(BT29+BW29+CC29)/CG29,G29="npl_vat",(BQ29+BZ29)/CG29,G29="cm_vat",(BT29+BW29+BZ29)/CG29,ISNUMBER(FIND("_all_vat",G30)),CF29/CG29,NOT(ISNUMBER(FIND("_vat",G30))),0,G29=0,0,AND(N30="sold",$DG$7="hp"),0),0)</f>
        <v>0</v>
      </c>
      <c r="AE30" s="94" t="e">
        <f t="shared" ca="1" si="0"/>
        <v>#N/A</v>
      </c>
      <c r="AF30" s="94" t="e">
        <f t="shared" ca="1" si="1"/>
        <v>#N/A</v>
      </c>
      <c r="AG30" s="95">
        <f t="shared" ca="1" si="2"/>
        <v>0</v>
      </c>
      <c r="AH30" s="95">
        <f t="shared" ca="1" si="3"/>
        <v>0</v>
      </c>
      <c r="AK30" s="100" cm="1">
        <f t="array" aca="1" ref="AK30" ca="1">IF(N30="vd",_xlfn.XLOOKUP($B$4,INDIRECT("'"&amp;$A$1&amp;"'!"&amp;$AK$1&amp;"[pam_code]"),INDIRECT("'"&amp;$A$1&amp;"'!"&amp;$AK$1&amp;"[verdict_expense_balance]")),
IF(N30="sold",W30,0))</f>
        <v>0</v>
      </c>
      <c r="AL30" s="96" t="e">
        <f t="shared" ca="1" si="4"/>
        <v>#N/A</v>
      </c>
      <c r="AM30" s="96" t="e">
        <f t="shared" ca="1" si="82"/>
        <v>#N/A</v>
      </c>
      <c r="AN30" s="97" t="e">
        <f t="shared" ca="1" si="40"/>
        <v>#N/A</v>
      </c>
      <c r="AO30" s="98">
        <f t="shared" si="5"/>
        <v>0</v>
      </c>
      <c r="AP30" s="99" t="e">
        <f t="shared" ca="1" si="83"/>
        <v>#N/A</v>
      </c>
      <c r="AQ30" s="96">
        <f t="shared" si="6"/>
        <v>0</v>
      </c>
      <c r="AR30" s="96" t="e">
        <f t="shared" ca="1" si="84"/>
        <v>#N/A</v>
      </c>
      <c r="AS30" s="100">
        <f t="shared" si="85"/>
        <v>0</v>
      </c>
      <c r="AT30" s="96" t="e">
        <f t="shared" ca="1" si="7"/>
        <v>#N/A</v>
      </c>
      <c r="AU30" s="96" t="e">
        <f t="shared" ca="1" si="86"/>
        <v>#N/A</v>
      </c>
      <c r="AV30" s="118"/>
      <c r="AW30" s="100" t="e">
        <f t="shared" ca="1" si="8"/>
        <v>#N/A</v>
      </c>
      <c r="AX30" s="118"/>
      <c r="AY30" s="100"/>
      <c r="BB30" s="100" cm="1">
        <f t="array" aca="1" ref="BB30" ca="1">IF(N30="vd",_xlfn.XLOOKUP(B30,INDIRECT("'"&amp;$A$1&amp;"'!"&amp;$AK$1&amp;"[pam_code]"),INDIRECT("'"&amp;$A$1&amp;"'!"&amp;$AK$1&amp;"[verdict_expense_balance]")),
IF(N30="sold",W30,0))</f>
        <v>0</v>
      </c>
      <c r="BC30" s="100" t="e">
        <f t="shared" ca="1" si="9"/>
        <v>#N/A</v>
      </c>
      <c r="BD30" s="96" t="e">
        <f t="shared" ca="1" si="87"/>
        <v>#N/A</v>
      </c>
      <c r="BE30" s="100" cm="1">
        <f t="array" aca="1" ref="BE30" ca="1">IF(N30="vd",_xlfn.XLOOKUP(B30,INDIRECT("'"&amp;$A$1&amp;"'!"&amp;$AK$1&amp;"[pam_code]"),INDIRECT("'"&amp;$A$1&amp;"'!"&amp;$AK$1&amp;"[verdict_outlay_balance]")),0)</f>
        <v>0</v>
      </c>
      <c r="BF30" s="100" t="e">
        <f t="shared" ca="1" si="10"/>
        <v>#N/A</v>
      </c>
      <c r="BG30" s="96" t="e">
        <f t="shared" ca="1" si="88"/>
        <v>#N/A</v>
      </c>
      <c r="BH30" s="100" cm="1">
        <f t="array" aca="1" ref="BH30" ca="1">IF(N30="vd",_xlfn.XLOOKUP(B30,INDIRECT("'"&amp;$A$1&amp;"'!"&amp;$AK$1&amp;"[pam_code]"),INDIRECT("'"&amp;$A$1&amp;"'!"&amp;$AK$1&amp;"[verdict_loss_balance]")),0)</f>
        <v>0</v>
      </c>
      <c r="BI30" s="100" t="e">
        <f t="shared" ca="1" si="11"/>
        <v>#N/A</v>
      </c>
      <c r="BJ30" s="96" t="e">
        <f t="shared" ca="1" si="89"/>
        <v>#N/A</v>
      </c>
      <c r="BK30" s="100" cm="1">
        <f t="array" aca="1" ref="BK30" ca="1">IF(N30="vd",_xlfn.XLOOKUP(B30,INDIRECT("'"&amp;$A$1&amp;"'!"&amp;$AK$1&amp;"[pam_code]"),INDIRECT("'"&amp;$A$1&amp;"'!"&amp;$AK$1&amp;"[verdict_penalty_balance]")),0)</f>
        <v>0</v>
      </c>
      <c r="BL30" s="100" t="e">
        <f t="shared" ca="1" si="12"/>
        <v>#N/A</v>
      </c>
      <c r="BM30" s="96" t="e">
        <f t="shared" ca="1" si="90"/>
        <v>#N/A</v>
      </c>
      <c r="BN30" s="102">
        <f t="shared" si="13"/>
        <v>0</v>
      </c>
      <c r="BO30" s="119" cm="1">
        <f t="array" aca="1" ref="BO30" ca="1">IF(N30="vd",_xlfn.XLOOKUP(B30,INDIRECT("'"&amp;$A$1&amp;"'!"&amp;$AK$1&amp;"[pam_code]"),INDIRECT("'"&amp;$A$1&amp;"'!"&amp;$AK$1&amp;"[verdict_oldinterest_balance]")),IF(N30="add",Z30,0))</f>
        <v>0</v>
      </c>
      <c r="BP30" s="104" t="e">
        <f t="shared" ca="1" si="14"/>
        <v>#N/A</v>
      </c>
      <c r="BQ30" s="105" t="e">
        <f t="shared" ca="1" si="91"/>
        <v>#N/A</v>
      </c>
      <c r="BR30" s="100" cm="1">
        <f t="array" aca="1" ref="BR30" ca="1">IF(N30="vd",_xlfn.XLOOKUP(B30,INDIRECT("'"&amp;$A$1&amp;"'!"&amp;$AK$1&amp;"[pam_code]"),INDIRECT("'"&amp;$A$1&amp;"'!"&amp;$AK$1&amp;"[verdict_opportunitycost_balance]")),0)</f>
        <v>0</v>
      </c>
      <c r="BS30" s="106" t="e">
        <f t="shared" ca="1" si="15"/>
        <v>#N/A</v>
      </c>
      <c r="BT30" s="96" t="e">
        <f t="shared" ca="1" si="92"/>
        <v>#N/A</v>
      </c>
      <c r="BU30" s="109" cm="1">
        <f t="array" aca="1" ref="BU30" ca="1">IF(N30="vd",_xlfn.XLOOKUP(B30,INDIRECT("'"&amp;$A$1&amp;"'!"&amp;$AK$1&amp;"[pam_code]"),INDIRECT("'"&amp;$A$1&amp;"'!"&amp;$AK$1&amp;"[verdict_oldcharge_balance]")),0)</f>
        <v>0</v>
      </c>
      <c r="BV30" s="108" t="e">
        <f t="shared" ca="1" si="16"/>
        <v>#N/A</v>
      </c>
      <c r="BW30" s="109" t="e">
        <f t="shared" ca="1" si="93"/>
        <v>#N/A</v>
      </c>
      <c r="BX30" s="109" cm="1">
        <f t="array" aca="1" ref="BX30" ca="1">IF(N30="vd",_xlfn.XLOOKUP(B30,INDIRECT("'"&amp;$A$1&amp;"'!"&amp;$AK$1&amp;"[pam_code]"),INDIRECT("'"&amp;$A$1&amp;"'!"&amp;$AK$1&amp;"[verdict_principal_balance]")),0)</f>
        <v>0</v>
      </c>
      <c r="BY30" s="109" t="e">
        <f t="shared" ca="1" si="17"/>
        <v>#N/A</v>
      </c>
      <c r="BZ30" s="109" t="e">
        <f t="shared" ca="1" si="94"/>
        <v>#N/A</v>
      </c>
      <c r="CA30" s="109" cm="1">
        <f t="array" aca="1" ref="CA30" ca="1">IF(N30="vd",_xlfn.XLOOKUP(B30,INDIRECT("'"&amp;$A$1&amp;"'!"&amp;$AK$1&amp;"[pam_code]"),INDIRECT("'"&amp;$A$1&amp;"'!"&amp;$AK$1&amp;"[verdict_replacement_balance]")),0)</f>
        <v>0</v>
      </c>
      <c r="CB30" s="108" t="e">
        <f t="shared" ca="1" si="18"/>
        <v>#N/A</v>
      </c>
      <c r="CC30" s="109" t="e">
        <f t="shared" ca="1" si="95"/>
        <v>#N/A</v>
      </c>
      <c r="CD30" s="109" cm="1">
        <f t="array" aca="1" ref="CD30" ca="1">IF(N30="vd",_xlfn.XLOOKUP(B30,INDIRECT("'"&amp;$A$1&amp;"'!"&amp;$AK$1&amp;"[pam_code]"),INDIRECT("'"&amp;$A$1&amp;"'!"&amp;$AK$1&amp;"[verdict_all_balance]")),0)</f>
        <v>0</v>
      </c>
      <c r="CE30" s="109" t="e">
        <f t="shared" ca="1" si="19"/>
        <v>#N/A</v>
      </c>
      <c r="CF30" s="109" t="e">
        <f t="shared" ca="1" si="96"/>
        <v>#N/A</v>
      </c>
      <c r="CG30" s="109" t="e">
        <f t="shared" ca="1" si="51"/>
        <v>#N/A</v>
      </c>
      <c r="CH30" s="109">
        <f t="shared" si="52"/>
        <v>0</v>
      </c>
      <c r="CI30" s="109" t="e">
        <f t="shared" ca="1" si="53"/>
        <v>#N/A</v>
      </c>
      <c r="CJ30" s="109">
        <f t="shared" si="97"/>
        <v>0</v>
      </c>
      <c r="CK30" s="109">
        <f t="shared" si="55"/>
        <v>0</v>
      </c>
      <c r="CL30" s="230" t="str">
        <f t="shared" si="72"/>
        <v>No information</v>
      </c>
      <c r="CM30" s="109" t="e">
        <f t="shared" ca="1" si="56"/>
        <v>#N/A</v>
      </c>
      <c r="CN30" s="109" t="e">
        <f t="shared" ca="1" si="20"/>
        <v>#N/A</v>
      </c>
      <c r="CO30" s="90" t="e">
        <f t="shared" ca="1" si="21"/>
        <v>#N/A</v>
      </c>
      <c r="CQ30" s="96" t="e">
        <f t="shared" ca="1" si="73"/>
        <v>#N/A</v>
      </c>
      <c r="CR30" s="100" t="e">
        <f t="shared" ref="CR30:CS30" ca="1" si="104">CR29</f>
        <v>#N/A</v>
      </c>
      <c r="CS30" s="120" t="e">
        <f t="shared" ca="1" si="104"/>
        <v>#N/A</v>
      </c>
      <c r="CT30" s="112" t="e">
        <f t="shared" ca="1" si="22"/>
        <v>#N/A</v>
      </c>
      <c r="CU30" s="112" t="e">
        <f t="shared" ca="1" si="74"/>
        <v>#N/A</v>
      </c>
      <c r="CV30" s="97" t="e">
        <f t="shared" ca="1" si="23"/>
        <v>#N/A</v>
      </c>
      <c r="CW30" s="100" cm="1">
        <f t="array" aca="1" ref="CW30" ca="1">IF(N30="vd",_xlfn.XLOOKUP(B30,INDIRECT("'"&amp;$A$1&amp;"'!"&amp;$AK$1&amp;"[pam_code]"),INDIRECT("'"&amp;$A$1&amp;"'!"&amp;$AK$1&amp;"[verdict_expense_balance]")),
IF(N30="sold",W30,0))</f>
        <v>0</v>
      </c>
      <c r="CX30" s="100" t="e">
        <f t="shared" ca="1" si="24"/>
        <v>#N/A</v>
      </c>
      <c r="CY30" s="96" t="e">
        <f t="shared" ca="1" si="99"/>
        <v>#N/A</v>
      </c>
      <c r="CZ30" s="100" t="e">
        <f t="shared" ca="1" si="25"/>
        <v>#N/A</v>
      </c>
      <c r="DA30" s="100">
        <f t="shared" si="26"/>
        <v>0</v>
      </c>
      <c r="DB30" s="100" t="e">
        <f t="shared" ca="1" si="27"/>
        <v>#N/A</v>
      </c>
      <c r="DC30" s="96" t="e">
        <f t="shared" ca="1" si="28"/>
        <v>#N/A</v>
      </c>
      <c r="DD30" s="100" t="e">
        <f t="shared" ca="1" si="29"/>
        <v>#N/A</v>
      </c>
      <c r="DE30" s="100" t="e">
        <f t="shared" ca="1" si="58"/>
        <v>#N/A</v>
      </c>
      <c r="DF30"/>
      <c r="DG30" s="252"/>
      <c r="DH30" s="252"/>
      <c r="DI30" s="234">
        <f t="shared" si="59"/>
        <v>0</v>
      </c>
      <c r="DJ30" s="234">
        <f t="shared" si="60"/>
        <v>0</v>
      </c>
      <c r="DK30" s="234">
        <f t="shared" si="61"/>
        <v>0</v>
      </c>
      <c r="DL30" s="234">
        <f t="shared" si="62"/>
        <v>0</v>
      </c>
      <c r="DM30" s="234">
        <f t="shared" si="63"/>
        <v>0</v>
      </c>
      <c r="DN30" s="235">
        <f t="shared" si="64"/>
        <v>0</v>
      </c>
      <c r="DO30" s="236">
        <f t="shared" si="32"/>
        <v>0</v>
      </c>
      <c r="DP30" s="245">
        <f t="shared" si="65"/>
        <v>0</v>
      </c>
      <c r="DQ30" s="235"/>
      <c r="DR30" s="237">
        <f t="shared" si="33"/>
        <v>0</v>
      </c>
      <c r="DS30" s="237" t="e">
        <f t="shared" ca="1" si="66"/>
        <v>#N/A</v>
      </c>
      <c r="DT30" s="237" t="e">
        <f t="shared" ca="1" si="67"/>
        <v>#N/A</v>
      </c>
      <c r="DU30" s="237" t="e">
        <f t="shared" ca="1" si="75"/>
        <v>#N/A</v>
      </c>
      <c r="DV30" s="237" t="e">
        <f t="shared" ca="1" si="76"/>
        <v>#N/A</v>
      </c>
      <c r="DW30" s="241" t="e">
        <f t="shared" ca="1" si="34"/>
        <v>#N/A</v>
      </c>
      <c r="DX30" s="238" t="e">
        <f t="shared" ca="1" si="35"/>
        <v>#N/A</v>
      </c>
      <c r="DY30" s="237" t="e" cm="1">
        <f t="array" aca="1" ref="DY30" ca="1">_xlfn.UNIQUE(IF(CI30=0,DZ29,IF(N30="repo",DZ29,IF(N30="sold",DT30,IF(ISERR(_xlfn._xlws.FILTER($N$7:N30,$N$7:N30="sold")),MIN(DT30*DW30,DZ29),0)))))</f>
        <v>#N/A</v>
      </c>
      <c r="DZ30" s="237" t="e" cm="1">
        <f t="array" aca="1" ref="DZ30" ca="1">_xlfn.UNIQUE(IF(N30="aq",DQ30,IF(N30="sold",_xlfn._xlws.FILTER($DY$7:DY30,$N$7:N30="repo"),IF(ISERR(_xlfn._xlws.FILTER($N$7:N30,$N$7:N30="sold")),DZ29-DY30,0))))</f>
        <v>#N/A</v>
      </c>
      <c r="EA30" s="237" t="e" cm="1">
        <f t="array" aca="1" ref="EA30" ca="1">IF(OR(N30="repo",IFERROR(_xlfn._xlws.FILTER($N$7:N30,$N$7:N30="sold")="sold",FALSE)),0,DP30*DZ29*(DX30/365))</f>
        <v>#N/A</v>
      </c>
      <c r="EB30" s="237" t="e">
        <f t="shared" ca="1" si="36"/>
        <v>#N/A</v>
      </c>
      <c r="EC30" s="237" t="e">
        <f t="shared" ca="1" si="68"/>
        <v>#N/A</v>
      </c>
      <c r="ED30" s="237" cm="1">
        <f t="array" aca="1" ref="ED30" ca="1">_xlfn.IFS(N30="repo",0,N30="sold",DY30-DZ30,N30&lt;&gt;"",DT30-DY30-EB30,N30="",0)</f>
        <v>0</v>
      </c>
      <c r="EE30" s="237" t="e">
        <f t="shared" ca="1" si="37"/>
        <v>#N/A</v>
      </c>
      <c r="EF30" s="237" t="e">
        <f t="shared" ca="1" si="69"/>
        <v>#N/A</v>
      </c>
      <c r="EG30" s="237" t="e">
        <f t="shared" ca="1" si="38"/>
        <v>#N/A</v>
      </c>
    </row>
    <row r="31" spans="2:137" x14ac:dyDescent="0.3">
      <c r="B31" s="83"/>
      <c r="C31" s="83"/>
      <c r="D31" s="84"/>
      <c r="E31" s="84"/>
      <c r="F31" s="84"/>
      <c r="G31" s="84"/>
      <c r="H31" s="84"/>
      <c r="I31" s="84"/>
      <c r="J31" s="85"/>
      <c r="K31" s="85"/>
      <c r="L31" s="113"/>
      <c r="M31" s="87"/>
      <c r="N31" s="191"/>
      <c r="O31" s="272"/>
      <c r="P31" s="184"/>
      <c r="Q31" s="124"/>
      <c r="R31" s="124"/>
      <c r="S31" s="114"/>
      <c r="T31" s="90"/>
      <c r="U31"/>
      <c r="V31" s="90"/>
      <c r="W31" s="260"/>
      <c r="X31" s="260"/>
      <c r="Y31" s="89"/>
      <c r="Z31" s="91"/>
      <c r="AA31" s="97" t="e" cm="1">
        <f t="array" aca="1" ref="AA31" ca="1">IF(N31="vd",_xlfn.XLOOKUP(B31,INDIRECT("'"&amp;$A$1&amp;"'!"&amp;$AK$1&amp;"[pam_code]"),INDIRECT("'"&amp;$A$1&amp;"'!"&amp;$AK$1&amp;"[int_rate]")),AA30)</f>
        <v>#N/A</v>
      </c>
      <c r="AB31" s="116" t="e" cm="1">
        <f t="array" aca="1" ref="AB31" ca="1">IF(N31="vd",_xlfn.XLOOKUP(B31,INDIRECT("'"&amp;$A$1&amp;"'!"&amp;$AK$1&amp;"[pam_code]"),INDIRECT("'"&amp;$A$1&amp;"'!"&amp;$AK$1&amp;"[eir_rate]")),AB30)</f>
        <v>#N/A</v>
      </c>
      <c r="AC31" s="117" t="e">
        <f t="shared" ca="1" si="39"/>
        <v>#N/A</v>
      </c>
      <c r="AD31" s="93" cm="1">
        <f t="array" aca="1" ref="AD31" ca="1">IFERROR(_xlfn.IFS(G30="jm_vat",(BT30+BW30+CC30)/CG30,G30="npl_vat",(BQ30+BZ30)/CG30,G30="cm_vat",(BT30+BW30+BZ30)/CG30,ISNUMBER(FIND("_all_vat",G31)),CF30/CG30,NOT(ISNUMBER(FIND("_vat",G31))),0,G30=0,0,AND(N31="sold",$DG$7="hp"),0),0)</f>
        <v>0</v>
      </c>
      <c r="AE31" s="94" t="e">
        <f t="shared" ca="1" si="0"/>
        <v>#N/A</v>
      </c>
      <c r="AF31" s="94" t="e">
        <f t="shared" ca="1" si="1"/>
        <v>#N/A</v>
      </c>
      <c r="AG31" s="95">
        <f t="shared" ca="1" si="2"/>
        <v>0</v>
      </c>
      <c r="AH31" s="95">
        <f t="shared" ca="1" si="3"/>
        <v>0</v>
      </c>
      <c r="AK31" s="100" cm="1">
        <f t="array" aca="1" ref="AK31" ca="1">IF(N31="vd",_xlfn.XLOOKUP($B$4,INDIRECT("'"&amp;$A$1&amp;"'!"&amp;$AK$1&amp;"[pam_code]"),INDIRECT("'"&amp;$A$1&amp;"'!"&amp;$AK$1&amp;"[verdict_expense_balance]")),
IF(N31="sold",W31,0))</f>
        <v>0</v>
      </c>
      <c r="AL31" s="96" t="e">
        <f t="shared" ca="1" si="4"/>
        <v>#N/A</v>
      </c>
      <c r="AM31" s="96" t="e">
        <f t="shared" ca="1" si="82"/>
        <v>#N/A</v>
      </c>
      <c r="AN31" s="97" t="e">
        <f t="shared" ca="1" si="40"/>
        <v>#N/A</v>
      </c>
      <c r="AO31" s="98">
        <f t="shared" si="5"/>
        <v>0</v>
      </c>
      <c r="AP31" s="99" t="e">
        <f t="shared" ca="1" si="83"/>
        <v>#N/A</v>
      </c>
      <c r="AQ31" s="96">
        <f t="shared" si="6"/>
        <v>0</v>
      </c>
      <c r="AR31" s="96" t="e">
        <f t="shared" ca="1" si="84"/>
        <v>#N/A</v>
      </c>
      <c r="AS31" s="100">
        <f t="shared" si="85"/>
        <v>0</v>
      </c>
      <c r="AT31" s="96" t="e">
        <f t="shared" ca="1" si="7"/>
        <v>#N/A</v>
      </c>
      <c r="AU31" s="96" t="e">
        <f t="shared" ca="1" si="86"/>
        <v>#N/A</v>
      </c>
      <c r="AV31" s="118"/>
      <c r="AW31" s="100" t="e">
        <f t="shared" ca="1" si="8"/>
        <v>#N/A</v>
      </c>
      <c r="AX31" s="118"/>
      <c r="AY31" s="100"/>
      <c r="BB31" s="100" cm="1">
        <f t="array" aca="1" ref="BB31" ca="1">IF(N31="vd",_xlfn.XLOOKUP(B31,INDIRECT("'"&amp;$A$1&amp;"'!"&amp;$AK$1&amp;"[pam_code]"),INDIRECT("'"&amp;$A$1&amp;"'!"&amp;$AK$1&amp;"[verdict_expense_balance]")),
IF(N31="sold",W31,0))</f>
        <v>0</v>
      </c>
      <c r="BC31" s="100" t="e">
        <f t="shared" ca="1" si="9"/>
        <v>#N/A</v>
      </c>
      <c r="BD31" s="96" t="e">
        <f t="shared" ca="1" si="87"/>
        <v>#N/A</v>
      </c>
      <c r="BE31" s="100" cm="1">
        <f t="array" aca="1" ref="BE31" ca="1">IF(N31="vd",_xlfn.XLOOKUP(B31,INDIRECT("'"&amp;$A$1&amp;"'!"&amp;$AK$1&amp;"[pam_code]"),INDIRECT("'"&amp;$A$1&amp;"'!"&amp;$AK$1&amp;"[verdict_outlay_balance]")),0)</f>
        <v>0</v>
      </c>
      <c r="BF31" s="100" t="e">
        <f t="shared" ca="1" si="10"/>
        <v>#N/A</v>
      </c>
      <c r="BG31" s="96" t="e">
        <f t="shared" ca="1" si="88"/>
        <v>#N/A</v>
      </c>
      <c r="BH31" s="100" cm="1">
        <f t="array" aca="1" ref="BH31" ca="1">IF(N31="vd",_xlfn.XLOOKUP(B31,INDIRECT("'"&amp;$A$1&amp;"'!"&amp;$AK$1&amp;"[pam_code]"),INDIRECT("'"&amp;$A$1&amp;"'!"&amp;$AK$1&amp;"[verdict_loss_balance]")),0)</f>
        <v>0</v>
      </c>
      <c r="BI31" s="100" t="e">
        <f t="shared" ca="1" si="11"/>
        <v>#N/A</v>
      </c>
      <c r="BJ31" s="96" t="e">
        <f t="shared" ca="1" si="89"/>
        <v>#N/A</v>
      </c>
      <c r="BK31" s="100" cm="1">
        <f t="array" aca="1" ref="BK31" ca="1">IF(N31="vd",_xlfn.XLOOKUP(B31,INDIRECT("'"&amp;$A$1&amp;"'!"&amp;$AK$1&amp;"[pam_code]"),INDIRECT("'"&amp;$A$1&amp;"'!"&amp;$AK$1&amp;"[verdict_penalty_balance]")),0)</f>
        <v>0</v>
      </c>
      <c r="BL31" s="100" t="e">
        <f t="shared" ca="1" si="12"/>
        <v>#N/A</v>
      </c>
      <c r="BM31" s="96" t="e">
        <f t="shared" ca="1" si="90"/>
        <v>#N/A</v>
      </c>
      <c r="BN31" s="102">
        <f t="shared" si="13"/>
        <v>0</v>
      </c>
      <c r="BO31" s="119" cm="1">
        <f t="array" aca="1" ref="BO31" ca="1">IF(N31="vd",_xlfn.XLOOKUP(B31,INDIRECT("'"&amp;$A$1&amp;"'!"&amp;$AK$1&amp;"[pam_code]"),INDIRECT("'"&amp;$A$1&amp;"'!"&amp;$AK$1&amp;"[verdict_oldinterest_balance]")),IF(N31="add",Z31,0))</f>
        <v>0</v>
      </c>
      <c r="BP31" s="104" t="e">
        <f t="shared" ca="1" si="14"/>
        <v>#N/A</v>
      </c>
      <c r="BQ31" s="105" t="e">
        <f t="shared" ca="1" si="91"/>
        <v>#N/A</v>
      </c>
      <c r="BR31" s="100" cm="1">
        <f t="array" aca="1" ref="BR31" ca="1">IF(N31="vd",_xlfn.XLOOKUP(B31,INDIRECT("'"&amp;$A$1&amp;"'!"&amp;$AK$1&amp;"[pam_code]"),INDIRECT("'"&amp;$A$1&amp;"'!"&amp;$AK$1&amp;"[verdict_opportunitycost_balance]")),0)</f>
        <v>0</v>
      </c>
      <c r="BS31" s="106" t="e">
        <f t="shared" ca="1" si="15"/>
        <v>#N/A</v>
      </c>
      <c r="BT31" s="96" t="e">
        <f t="shared" ca="1" si="92"/>
        <v>#N/A</v>
      </c>
      <c r="BU31" s="109" cm="1">
        <f t="array" aca="1" ref="BU31" ca="1">IF(N31="vd",_xlfn.XLOOKUP(B31,INDIRECT("'"&amp;$A$1&amp;"'!"&amp;$AK$1&amp;"[pam_code]"),INDIRECT("'"&amp;$A$1&amp;"'!"&amp;$AK$1&amp;"[verdict_oldcharge_balance]")),0)</f>
        <v>0</v>
      </c>
      <c r="BV31" s="108" t="e">
        <f t="shared" ca="1" si="16"/>
        <v>#N/A</v>
      </c>
      <c r="BW31" s="109" t="e">
        <f t="shared" ca="1" si="93"/>
        <v>#N/A</v>
      </c>
      <c r="BX31" s="109" cm="1">
        <f t="array" aca="1" ref="BX31" ca="1">IF(N31="vd",_xlfn.XLOOKUP(B31,INDIRECT("'"&amp;$A$1&amp;"'!"&amp;$AK$1&amp;"[pam_code]"),INDIRECT("'"&amp;$A$1&amp;"'!"&amp;$AK$1&amp;"[verdict_principal_balance]")),0)</f>
        <v>0</v>
      </c>
      <c r="BY31" s="109" t="e">
        <f t="shared" ca="1" si="17"/>
        <v>#N/A</v>
      </c>
      <c r="BZ31" s="109" t="e">
        <f t="shared" ca="1" si="94"/>
        <v>#N/A</v>
      </c>
      <c r="CA31" s="109" cm="1">
        <f t="array" aca="1" ref="CA31" ca="1">IF(N31="vd",_xlfn.XLOOKUP(B31,INDIRECT("'"&amp;$A$1&amp;"'!"&amp;$AK$1&amp;"[pam_code]"),INDIRECT("'"&amp;$A$1&amp;"'!"&amp;$AK$1&amp;"[verdict_replacement_balance]")),0)</f>
        <v>0</v>
      </c>
      <c r="CB31" s="108" t="e">
        <f t="shared" ca="1" si="18"/>
        <v>#N/A</v>
      </c>
      <c r="CC31" s="109" t="e">
        <f t="shared" ca="1" si="95"/>
        <v>#N/A</v>
      </c>
      <c r="CD31" s="109" cm="1">
        <f t="array" aca="1" ref="CD31" ca="1">IF(N31="vd",_xlfn.XLOOKUP(B31,INDIRECT("'"&amp;$A$1&amp;"'!"&amp;$AK$1&amp;"[pam_code]"),INDIRECT("'"&amp;$A$1&amp;"'!"&amp;$AK$1&amp;"[verdict_all_balance]")),0)</f>
        <v>0</v>
      </c>
      <c r="CE31" s="109" t="e">
        <f t="shared" ca="1" si="19"/>
        <v>#N/A</v>
      </c>
      <c r="CF31" s="109" t="e">
        <f t="shared" ca="1" si="96"/>
        <v>#N/A</v>
      </c>
      <c r="CG31" s="109" t="e">
        <f t="shared" ca="1" si="51"/>
        <v>#N/A</v>
      </c>
      <c r="CH31" s="109">
        <f t="shared" si="52"/>
        <v>0</v>
      </c>
      <c r="CI31" s="109" t="e">
        <f t="shared" ca="1" si="53"/>
        <v>#N/A</v>
      </c>
      <c r="CJ31" s="109">
        <f t="shared" si="97"/>
        <v>0</v>
      </c>
      <c r="CK31" s="109">
        <f t="shared" si="55"/>
        <v>0</v>
      </c>
      <c r="CL31" s="230" t="str">
        <f t="shared" si="72"/>
        <v>No information</v>
      </c>
      <c r="CM31" s="109" t="e">
        <f t="shared" ca="1" si="56"/>
        <v>#N/A</v>
      </c>
      <c r="CN31" s="109" t="e">
        <f t="shared" ca="1" si="20"/>
        <v>#N/A</v>
      </c>
      <c r="CO31" s="90" t="e">
        <f t="shared" ca="1" si="21"/>
        <v>#N/A</v>
      </c>
      <c r="CQ31" s="96" t="e">
        <f t="shared" ca="1" si="73"/>
        <v>#N/A</v>
      </c>
      <c r="CR31" s="100" t="e">
        <f t="shared" ref="CR31:CS31" ca="1" si="105">CR30</f>
        <v>#N/A</v>
      </c>
      <c r="CS31" s="120" t="e">
        <f t="shared" ca="1" si="105"/>
        <v>#N/A</v>
      </c>
      <c r="CT31" s="112" t="e">
        <f t="shared" ca="1" si="22"/>
        <v>#N/A</v>
      </c>
      <c r="CU31" s="112" t="e">
        <f t="shared" ca="1" si="74"/>
        <v>#N/A</v>
      </c>
      <c r="CV31" s="97" t="e">
        <f t="shared" ca="1" si="23"/>
        <v>#N/A</v>
      </c>
      <c r="CW31" s="100" cm="1">
        <f t="array" aca="1" ref="CW31" ca="1">IF(N31="vd",_xlfn.XLOOKUP(B31,INDIRECT("'"&amp;$A$1&amp;"'!"&amp;$AK$1&amp;"[pam_code]"),INDIRECT("'"&amp;$A$1&amp;"'!"&amp;$AK$1&amp;"[verdict_expense_balance]")),
IF(N31="sold",W31,0))</f>
        <v>0</v>
      </c>
      <c r="CX31" s="100" t="e">
        <f t="shared" ca="1" si="24"/>
        <v>#N/A</v>
      </c>
      <c r="CY31" s="96" t="e">
        <f t="shared" ca="1" si="99"/>
        <v>#N/A</v>
      </c>
      <c r="CZ31" s="100" t="e">
        <f t="shared" ca="1" si="25"/>
        <v>#N/A</v>
      </c>
      <c r="DA31" s="100">
        <f t="shared" si="26"/>
        <v>0</v>
      </c>
      <c r="DB31" s="100" t="e">
        <f t="shared" ca="1" si="27"/>
        <v>#N/A</v>
      </c>
      <c r="DC31" s="96" t="e">
        <f t="shared" ca="1" si="28"/>
        <v>#N/A</v>
      </c>
      <c r="DD31" s="100" t="e">
        <f t="shared" ca="1" si="29"/>
        <v>#N/A</v>
      </c>
      <c r="DE31" s="100" t="e">
        <f t="shared" ca="1" si="58"/>
        <v>#N/A</v>
      </c>
      <c r="DF31"/>
      <c r="DG31" s="252"/>
      <c r="DH31" s="252"/>
      <c r="DI31" s="234">
        <f t="shared" si="59"/>
        <v>0</v>
      </c>
      <c r="DJ31" s="234">
        <f t="shared" si="60"/>
        <v>0</v>
      </c>
      <c r="DK31" s="234">
        <f t="shared" si="61"/>
        <v>0</v>
      </c>
      <c r="DL31" s="234">
        <f t="shared" si="62"/>
        <v>0</v>
      </c>
      <c r="DM31" s="234">
        <f t="shared" si="63"/>
        <v>0</v>
      </c>
      <c r="DN31" s="235">
        <f t="shared" si="64"/>
        <v>0</v>
      </c>
      <c r="DO31" s="236">
        <f t="shared" si="32"/>
        <v>0</v>
      </c>
      <c r="DP31" s="245">
        <f t="shared" si="65"/>
        <v>0</v>
      </c>
      <c r="DQ31" s="235"/>
      <c r="DR31" s="237">
        <f t="shared" si="33"/>
        <v>0</v>
      </c>
      <c r="DS31" s="237" t="e">
        <f t="shared" ca="1" si="66"/>
        <v>#N/A</v>
      </c>
      <c r="DT31" s="237" t="e">
        <f t="shared" ca="1" si="67"/>
        <v>#N/A</v>
      </c>
      <c r="DU31" s="237" t="e">
        <f t="shared" ca="1" si="75"/>
        <v>#N/A</v>
      </c>
      <c r="DV31" s="237" t="e">
        <f t="shared" ca="1" si="76"/>
        <v>#N/A</v>
      </c>
      <c r="DW31" s="241" t="e">
        <f t="shared" ca="1" si="34"/>
        <v>#N/A</v>
      </c>
      <c r="DX31" s="238" t="e">
        <f t="shared" ca="1" si="35"/>
        <v>#N/A</v>
      </c>
      <c r="DY31" s="237" t="e" cm="1">
        <f t="array" aca="1" ref="DY31" ca="1">_xlfn.UNIQUE(IF(CI31=0,DZ30,IF(N31="repo",DZ30,IF(N31="sold",DT31,IF(ISERR(_xlfn._xlws.FILTER($N$7:N31,$N$7:N31="sold")),MIN(DT31*DW31,DZ30),0)))))</f>
        <v>#N/A</v>
      </c>
      <c r="DZ31" s="237" t="e" cm="1">
        <f t="array" aca="1" ref="DZ31" ca="1">_xlfn.UNIQUE(IF(N31="aq",DQ31,IF(N31="sold",_xlfn._xlws.FILTER($DY$7:DY31,$N$7:N31="repo"),IF(ISERR(_xlfn._xlws.FILTER($N$7:N31,$N$7:N31="sold")),DZ30-DY31,0))))</f>
        <v>#N/A</v>
      </c>
      <c r="EA31" s="237" t="e" cm="1">
        <f t="array" aca="1" ref="EA31" ca="1">IF(OR(N31="repo",IFERROR(_xlfn._xlws.FILTER($N$7:N31,$N$7:N31="sold")="sold",FALSE)),0,DP31*DZ30*(DX31/365))</f>
        <v>#N/A</v>
      </c>
      <c r="EB31" s="237" t="e">
        <f t="shared" ca="1" si="36"/>
        <v>#N/A</v>
      </c>
      <c r="EC31" s="237" t="e">
        <f t="shared" ca="1" si="68"/>
        <v>#N/A</v>
      </c>
      <c r="ED31" s="237" cm="1">
        <f t="array" aca="1" ref="ED31" ca="1">_xlfn.IFS(N31="repo",0,N31="sold",DY31-DZ31,N31&lt;&gt;"",DT31-DY31-EB31,N31="",0)</f>
        <v>0</v>
      </c>
      <c r="EE31" s="237" t="e">
        <f t="shared" ca="1" si="37"/>
        <v>#N/A</v>
      </c>
      <c r="EF31" s="237" t="e">
        <f t="shared" ca="1" si="69"/>
        <v>#N/A</v>
      </c>
      <c r="EG31" s="237" t="e">
        <f t="shared" ca="1" si="38"/>
        <v>#N/A</v>
      </c>
    </row>
    <row r="32" spans="2:137" x14ac:dyDescent="0.3">
      <c r="B32" s="83"/>
      <c r="C32" s="83"/>
      <c r="D32" s="84"/>
      <c r="E32" s="84"/>
      <c r="F32" s="84"/>
      <c r="G32" s="84"/>
      <c r="H32" s="84"/>
      <c r="I32" s="84"/>
      <c r="J32" s="85"/>
      <c r="K32" s="85"/>
      <c r="L32" s="113"/>
      <c r="M32" s="87"/>
      <c r="N32" s="191"/>
      <c r="O32" s="272"/>
      <c r="P32" s="184"/>
      <c r="Q32" s="124"/>
      <c r="R32" s="124"/>
      <c r="S32" s="114"/>
      <c r="T32" s="90"/>
      <c r="U32"/>
      <c r="V32" s="90"/>
      <c r="W32" s="260"/>
      <c r="X32" s="260"/>
      <c r="Y32" s="89"/>
      <c r="Z32" s="91"/>
      <c r="AA32" s="97" t="e" cm="1">
        <f t="array" aca="1" ref="AA32" ca="1">IF(N32="vd",_xlfn.XLOOKUP(B32,INDIRECT("'"&amp;$A$1&amp;"'!"&amp;$AK$1&amp;"[pam_code]"),INDIRECT("'"&amp;$A$1&amp;"'!"&amp;$AK$1&amp;"[int_rate]")),AA31)</f>
        <v>#N/A</v>
      </c>
      <c r="AB32" s="116" t="e" cm="1">
        <f t="array" aca="1" ref="AB32" ca="1">IF(N32="vd",_xlfn.XLOOKUP(B32,INDIRECT("'"&amp;$A$1&amp;"'!"&amp;$AK$1&amp;"[pam_code]"),INDIRECT("'"&amp;$A$1&amp;"'!"&amp;$AK$1&amp;"[eir_rate]")),AB31)</f>
        <v>#N/A</v>
      </c>
      <c r="AC32" s="117" t="e">
        <f t="shared" ca="1" si="39"/>
        <v>#N/A</v>
      </c>
      <c r="AD32" s="93" cm="1">
        <f t="array" aca="1" ref="AD32" ca="1">IFERROR(_xlfn.IFS(G31="jm_vat",(BT31+BW31+CC31)/CG31,G31="npl_vat",(BQ31+BZ31)/CG31,G31="cm_vat",(BT31+BW31+BZ31)/CG31,ISNUMBER(FIND("_all_vat",G32)),CF31/CG31,NOT(ISNUMBER(FIND("_vat",G32))),0,G31=0,0,AND(N32="sold",$DG$7="hp"),0),0)</f>
        <v>0</v>
      </c>
      <c r="AE32" s="94" t="e">
        <f t="shared" ca="1" si="0"/>
        <v>#N/A</v>
      </c>
      <c r="AF32" s="94" t="e">
        <f t="shared" ca="1" si="1"/>
        <v>#N/A</v>
      </c>
      <c r="AG32" s="95">
        <f t="shared" ca="1" si="2"/>
        <v>0</v>
      </c>
      <c r="AH32" s="95">
        <f t="shared" ca="1" si="3"/>
        <v>0</v>
      </c>
      <c r="AK32" s="100" cm="1">
        <f t="array" aca="1" ref="AK32" ca="1">IF(N32="vd",_xlfn.XLOOKUP($B$4,INDIRECT("'"&amp;$A$1&amp;"'!"&amp;$AK$1&amp;"[pam_code]"),INDIRECT("'"&amp;$A$1&amp;"'!"&amp;$AK$1&amp;"[verdict_expense_balance]")),
IF(N32="sold",W32,0))</f>
        <v>0</v>
      </c>
      <c r="AL32" s="96" t="e">
        <f t="shared" ca="1" si="4"/>
        <v>#N/A</v>
      </c>
      <c r="AM32" s="96" t="e">
        <f t="shared" ca="1" si="82"/>
        <v>#N/A</v>
      </c>
      <c r="AN32" s="97" t="e">
        <f t="shared" ca="1" si="40"/>
        <v>#N/A</v>
      </c>
      <c r="AO32" s="98">
        <f t="shared" si="5"/>
        <v>0</v>
      </c>
      <c r="AP32" s="99" t="e">
        <f t="shared" ca="1" si="83"/>
        <v>#N/A</v>
      </c>
      <c r="AQ32" s="96">
        <f t="shared" si="6"/>
        <v>0</v>
      </c>
      <c r="AR32" s="96" t="e">
        <f t="shared" ca="1" si="84"/>
        <v>#N/A</v>
      </c>
      <c r="AS32" s="100">
        <f t="shared" si="85"/>
        <v>0</v>
      </c>
      <c r="AT32" s="96" t="e">
        <f t="shared" ca="1" si="7"/>
        <v>#N/A</v>
      </c>
      <c r="AU32" s="96" t="e">
        <f t="shared" ca="1" si="86"/>
        <v>#N/A</v>
      </c>
      <c r="AV32" s="118"/>
      <c r="AW32" s="100" t="e">
        <f t="shared" ca="1" si="8"/>
        <v>#N/A</v>
      </c>
      <c r="AX32" s="118"/>
      <c r="AY32" s="100"/>
      <c r="BB32" s="100" cm="1">
        <f t="array" aca="1" ref="BB32" ca="1">IF(N32="vd",_xlfn.XLOOKUP(B32,INDIRECT("'"&amp;$A$1&amp;"'!"&amp;$AK$1&amp;"[pam_code]"),INDIRECT("'"&amp;$A$1&amp;"'!"&amp;$AK$1&amp;"[verdict_expense_balance]")),
IF(N32="sold",W32,0))</f>
        <v>0</v>
      </c>
      <c r="BC32" s="100" t="e">
        <f t="shared" ca="1" si="9"/>
        <v>#N/A</v>
      </c>
      <c r="BD32" s="96" t="e">
        <f t="shared" ca="1" si="87"/>
        <v>#N/A</v>
      </c>
      <c r="BE32" s="100" cm="1">
        <f t="array" aca="1" ref="BE32" ca="1">IF(N32="vd",_xlfn.XLOOKUP(B32,INDIRECT("'"&amp;$A$1&amp;"'!"&amp;$AK$1&amp;"[pam_code]"),INDIRECT("'"&amp;$A$1&amp;"'!"&amp;$AK$1&amp;"[verdict_outlay_balance]")),0)</f>
        <v>0</v>
      </c>
      <c r="BF32" s="100" t="e">
        <f t="shared" ca="1" si="10"/>
        <v>#N/A</v>
      </c>
      <c r="BG32" s="96" t="e">
        <f t="shared" ca="1" si="88"/>
        <v>#N/A</v>
      </c>
      <c r="BH32" s="100" cm="1">
        <f t="array" aca="1" ref="BH32" ca="1">IF(N32="vd",_xlfn.XLOOKUP(B32,INDIRECT("'"&amp;$A$1&amp;"'!"&amp;$AK$1&amp;"[pam_code]"),INDIRECT("'"&amp;$A$1&amp;"'!"&amp;$AK$1&amp;"[verdict_loss_balance]")),0)</f>
        <v>0</v>
      </c>
      <c r="BI32" s="100" t="e">
        <f t="shared" ca="1" si="11"/>
        <v>#N/A</v>
      </c>
      <c r="BJ32" s="96" t="e">
        <f t="shared" ca="1" si="89"/>
        <v>#N/A</v>
      </c>
      <c r="BK32" s="100" cm="1">
        <f t="array" aca="1" ref="BK32" ca="1">IF(N32="vd",_xlfn.XLOOKUP(B32,INDIRECT("'"&amp;$A$1&amp;"'!"&amp;$AK$1&amp;"[pam_code]"),INDIRECT("'"&amp;$A$1&amp;"'!"&amp;$AK$1&amp;"[verdict_penalty_balance]")),0)</f>
        <v>0</v>
      </c>
      <c r="BL32" s="100" t="e">
        <f t="shared" ca="1" si="12"/>
        <v>#N/A</v>
      </c>
      <c r="BM32" s="96" t="e">
        <f t="shared" ca="1" si="90"/>
        <v>#N/A</v>
      </c>
      <c r="BN32" s="102">
        <f t="shared" si="13"/>
        <v>0</v>
      </c>
      <c r="BO32" s="119" cm="1">
        <f t="array" aca="1" ref="BO32" ca="1">IF(N32="vd",_xlfn.XLOOKUP(B32,INDIRECT("'"&amp;$A$1&amp;"'!"&amp;$AK$1&amp;"[pam_code]"),INDIRECT("'"&amp;$A$1&amp;"'!"&amp;$AK$1&amp;"[verdict_oldinterest_balance]")),IF(N32="add",Z32,0))</f>
        <v>0</v>
      </c>
      <c r="BP32" s="104" t="e">
        <f t="shared" ca="1" si="14"/>
        <v>#N/A</v>
      </c>
      <c r="BQ32" s="105" t="e">
        <f t="shared" ca="1" si="91"/>
        <v>#N/A</v>
      </c>
      <c r="BR32" s="100" cm="1">
        <f t="array" aca="1" ref="BR32" ca="1">IF(N32="vd",_xlfn.XLOOKUP(B32,INDIRECT("'"&amp;$A$1&amp;"'!"&amp;$AK$1&amp;"[pam_code]"),INDIRECT("'"&amp;$A$1&amp;"'!"&amp;$AK$1&amp;"[verdict_opportunitycost_balance]")),0)</f>
        <v>0</v>
      </c>
      <c r="BS32" s="106" t="e">
        <f t="shared" ca="1" si="15"/>
        <v>#N/A</v>
      </c>
      <c r="BT32" s="96" t="e">
        <f t="shared" ca="1" si="92"/>
        <v>#N/A</v>
      </c>
      <c r="BU32" s="109" cm="1">
        <f t="array" aca="1" ref="BU32" ca="1">IF(N32="vd",_xlfn.XLOOKUP(B32,INDIRECT("'"&amp;$A$1&amp;"'!"&amp;$AK$1&amp;"[pam_code]"),INDIRECT("'"&amp;$A$1&amp;"'!"&amp;$AK$1&amp;"[verdict_oldcharge_balance]")),0)</f>
        <v>0</v>
      </c>
      <c r="BV32" s="108" t="e">
        <f t="shared" ca="1" si="16"/>
        <v>#N/A</v>
      </c>
      <c r="BW32" s="109" t="e">
        <f t="shared" ca="1" si="93"/>
        <v>#N/A</v>
      </c>
      <c r="BX32" s="109" cm="1">
        <f t="array" aca="1" ref="BX32" ca="1">IF(N32="vd",_xlfn.XLOOKUP(B32,INDIRECT("'"&amp;$A$1&amp;"'!"&amp;$AK$1&amp;"[pam_code]"),INDIRECT("'"&amp;$A$1&amp;"'!"&amp;$AK$1&amp;"[verdict_principal_balance]")),0)</f>
        <v>0</v>
      </c>
      <c r="BY32" s="109" t="e">
        <f t="shared" ca="1" si="17"/>
        <v>#N/A</v>
      </c>
      <c r="BZ32" s="109" t="e">
        <f t="shared" ca="1" si="94"/>
        <v>#N/A</v>
      </c>
      <c r="CA32" s="109" cm="1">
        <f t="array" aca="1" ref="CA32" ca="1">IF(N32="vd",_xlfn.XLOOKUP(B32,INDIRECT("'"&amp;$A$1&amp;"'!"&amp;$AK$1&amp;"[pam_code]"),INDIRECT("'"&amp;$A$1&amp;"'!"&amp;$AK$1&amp;"[verdict_replacement_balance]")),0)</f>
        <v>0</v>
      </c>
      <c r="CB32" s="108" t="e">
        <f t="shared" ca="1" si="18"/>
        <v>#N/A</v>
      </c>
      <c r="CC32" s="109" t="e">
        <f t="shared" ca="1" si="95"/>
        <v>#N/A</v>
      </c>
      <c r="CD32" s="109" cm="1">
        <f t="array" aca="1" ref="CD32" ca="1">IF(N32="vd",_xlfn.XLOOKUP(B32,INDIRECT("'"&amp;$A$1&amp;"'!"&amp;$AK$1&amp;"[pam_code]"),INDIRECT("'"&amp;$A$1&amp;"'!"&amp;$AK$1&amp;"[verdict_all_balance]")),0)</f>
        <v>0</v>
      </c>
      <c r="CE32" s="109" t="e">
        <f t="shared" ca="1" si="19"/>
        <v>#N/A</v>
      </c>
      <c r="CF32" s="109" t="e">
        <f t="shared" ca="1" si="96"/>
        <v>#N/A</v>
      </c>
      <c r="CG32" s="109" t="e">
        <f t="shared" ca="1" si="51"/>
        <v>#N/A</v>
      </c>
      <c r="CH32" s="109">
        <f t="shared" si="52"/>
        <v>0</v>
      </c>
      <c r="CI32" s="109" t="e">
        <f t="shared" ca="1" si="53"/>
        <v>#N/A</v>
      </c>
      <c r="CJ32" s="109">
        <f t="shared" si="97"/>
        <v>0</v>
      </c>
      <c r="CK32" s="109">
        <f t="shared" si="55"/>
        <v>0</v>
      </c>
      <c r="CL32" s="230" t="str">
        <f t="shared" si="72"/>
        <v>No information</v>
      </c>
      <c r="CM32" s="109" t="e">
        <f t="shared" ca="1" si="56"/>
        <v>#N/A</v>
      </c>
      <c r="CN32" s="109" t="e">
        <f t="shared" ca="1" si="20"/>
        <v>#N/A</v>
      </c>
      <c r="CO32" s="90" t="e">
        <f t="shared" ca="1" si="21"/>
        <v>#N/A</v>
      </c>
      <c r="CQ32" s="96" t="e">
        <f t="shared" ca="1" si="73"/>
        <v>#N/A</v>
      </c>
      <c r="CR32" s="100" t="e">
        <f t="shared" ref="CR32:CS32" ca="1" si="106">CR31</f>
        <v>#N/A</v>
      </c>
      <c r="CS32" s="120" t="e">
        <f t="shared" ca="1" si="106"/>
        <v>#N/A</v>
      </c>
      <c r="CT32" s="112" t="e">
        <f t="shared" ca="1" si="22"/>
        <v>#N/A</v>
      </c>
      <c r="CU32" s="112" t="e">
        <f t="shared" ca="1" si="74"/>
        <v>#N/A</v>
      </c>
      <c r="CV32" s="97" t="e">
        <f t="shared" ca="1" si="23"/>
        <v>#N/A</v>
      </c>
      <c r="CW32" s="100" cm="1">
        <f t="array" aca="1" ref="CW32" ca="1">IF(N32="vd",_xlfn.XLOOKUP(B32,INDIRECT("'"&amp;$A$1&amp;"'!"&amp;$AK$1&amp;"[pam_code]"),INDIRECT("'"&amp;$A$1&amp;"'!"&amp;$AK$1&amp;"[verdict_expense_balance]")),
IF(N32="sold",W32,0))</f>
        <v>0</v>
      </c>
      <c r="CX32" s="100" t="e">
        <f t="shared" ca="1" si="24"/>
        <v>#N/A</v>
      </c>
      <c r="CY32" s="96" t="e">
        <f t="shared" ca="1" si="99"/>
        <v>#N/A</v>
      </c>
      <c r="CZ32" s="100" t="e">
        <f t="shared" ca="1" si="25"/>
        <v>#N/A</v>
      </c>
      <c r="DA32" s="100">
        <f t="shared" si="26"/>
        <v>0</v>
      </c>
      <c r="DB32" s="100" t="e">
        <f t="shared" ca="1" si="27"/>
        <v>#N/A</v>
      </c>
      <c r="DC32" s="96" t="e">
        <f t="shared" ca="1" si="28"/>
        <v>#N/A</v>
      </c>
      <c r="DD32" s="100" t="e">
        <f t="shared" ca="1" si="29"/>
        <v>#N/A</v>
      </c>
      <c r="DE32" s="100" t="e">
        <f t="shared" ca="1" si="58"/>
        <v>#N/A</v>
      </c>
      <c r="DF32"/>
      <c r="DG32" s="252"/>
      <c r="DH32" s="252"/>
      <c r="DI32" s="234">
        <f t="shared" si="59"/>
        <v>0</v>
      </c>
      <c r="DJ32" s="234">
        <f t="shared" si="60"/>
        <v>0</v>
      </c>
      <c r="DK32" s="234">
        <f t="shared" si="61"/>
        <v>0</v>
      </c>
      <c r="DL32" s="234">
        <f t="shared" si="62"/>
        <v>0</v>
      </c>
      <c r="DM32" s="234">
        <f t="shared" si="63"/>
        <v>0</v>
      </c>
      <c r="DN32" s="235">
        <f t="shared" si="64"/>
        <v>0</v>
      </c>
      <c r="DO32" s="236">
        <f t="shared" si="32"/>
        <v>0</v>
      </c>
      <c r="DP32" s="245">
        <f t="shared" si="65"/>
        <v>0</v>
      </c>
      <c r="DQ32" s="235"/>
      <c r="DR32" s="237">
        <f t="shared" si="33"/>
        <v>0</v>
      </c>
      <c r="DS32" s="237" t="e">
        <f t="shared" ca="1" si="66"/>
        <v>#N/A</v>
      </c>
      <c r="DT32" s="237" t="e">
        <f t="shared" ca="1" si="67"/>
        <v>#N/A</v>
      </c>
      <c r="DU32" s="237" t="e">
        <f t="shared" ca="1" si="75"/>
        <v>#N/A</v>
      </c>
      <c r="DV32" s="237" t="e">
        <f t="shared" ca="1" si="76"/>
        <v>#N/A</v>
      </c>
      <c r="DW32" s="241" t="e">
        <f t="shared" ca="1" si="34"/>
        <v>#N/A</v>
      </c>
      <c r="DX32" s="238" t="e">
        <f t="shared" ca="1" si="35"/>
        <v>#N/A</v>
      </c>
      <c r="DY32" s="237" t="e" cm="1">
        <f t="array" aca="1" ref="DY32" ca="1">_xlfn.UNIQUE(IF(CI32=0,DZ31,IF(N32="repo",DZ31,IF(N32="sold",DT32,IF(ISERR(_xlfn._xlws.FILTER($N$7:N32,$N$7:N32="sold")),MIN(DT32*DW32,DZ31),0)))))</f>
        <v>#N/A</v>
      </c>
      <c r="DZ32" s="237" t="e" cm="1">
        <f t="array" aca="1" ref="DZ32" ca="1">_xlfn.UNIQUE(IF(N32="aq",DQ32,IF(N32="sold",_xlfn._xlws.FILTER($DY$7:DY32,$N$7:N32="repo"),IF(ISERR(_xlfn._xlws.FILTER($N$7:N32,$N$7:N32="sold")),DZ31-DY32,0))))</f>
        <v>#N/A</v>
      </c>
      <c r="EA32" s="237" t="e" cm="1">
        <f t="array" aca="1" ref="EA32" ca="1">IF(OR(N32="repo",IFERROR(_xlfn._xlws.FILTER($N$7:N32,$N$7:N32="sold")="sold",FALSE)),0,DP32*DZ31*(DX32/365))</f>
        <v>#N/A</v>
      </c>
      <c r="EB32" s="237" t="e">
        <f t="shared" ca="1" si="36"/>
        <v>#N/A</v>
      </c>
      <c r="EC32" s="237" t="e">
        <f t="shared" ca="1" si="68"/>
        <v>#N/A</v>
      </c>
      <c r="ED32" s="237" cm="1">
        <f t="array" aca="1" ref="ED32" ca="1">_xlfn.IFS(N32="repo",0,N32="sold",DY32-DZ32,N32&lt;&gt;"",DT32-DY32-EB32,N32="",0)</f>
        <v>0</v>
      </c>
      <c r="EE32" s="237" t="e">
        <f t="shared" ca="1" si="37"/>
        <v>#N/A</v>
      </c>
      <c r="EF32" s="237" t="e">
        <f t="shared" ca="1" si="69"/>
        <v>#N/A</v>
      </c>
      <c r="EG32" s="237" t="e">
        <f t="shared" ca="1" si="38"/>
        <v>#N/A</v>
      </c>
    </row>
    <row r="33" spans="2:137" x14ac:dyDescent="0.3">
      <c r="B33" s="83"/>
      <c r="C33" s="83"/>
      <c r="D33" s="84"/>
      <c r="E33" s="84"/>
      <c r="F33" s="84"/>
      <c r="G33" s="84"/>
      <c r="H33" s="84"/>
      <c r="I33" s="84"/>
      <c r="J33" s="85"/>
      <c r="K33" s="85"/>
      <c r="L33" s="113"/>
      <c r="M33" s="87"/>
      <c r="N33" s="191"/>
      <c r="O33" s="272"/>
      <c r="P33" s="184"/>
      <c r="Q33" s="124"/>
      <c r="R33" s="124"/>
      <c r="S33" s="114"/>
      <c r="T33" s="90"/>
      <c r="U33"/>
      <c r="V33" s="90"/>
      <c r="W33" s="260"/>
      <c r="X33" s="260"/>
      <c r="Y33" s="89"/>
      <c r="Z33" s="91"/>
      <c r="AA33" s="97" t="e" cm="1">
        <f t="array" aca="1" ref="AA33" ca="1">IF(N33="vd",_xlfn.XLOOKUP(B33,INDIRECT("'"&amp;$A$1&amp;"'!"&amp;$AK$1&amp;"[pam_code]"),INDIRECT("'"&amp;$A$1&amp;"'!"&amp;$AK$1&amp;"[int_rate]")),AA32)</f>
        <v>#N/A</v>
      </c>
      <c r="AB33" s="116" t="e" cm="1">
        <f t="array" aca="1" ref="AB33" ca="1">IF(N33="vd",_xlfn.XLOOKUP(B33,INDIRECT("'"&amp;$A$1&amp;"'!"&amp;$AK$1&amp;"[pam_code]"),INDIRECT("'"&amp;$A$1&amp;"'!"&amp;$AK$1&amp;"[eir_rate]")),AB32)</f>
        <v>#N/A</v>
      </c>
      <c r="AC33" s="117" t="e">
        <f t="shared" ca="1" si="39"/>
        <v>#N/A</v>
      </c>
      <c r="AD33" s="93" cm="1">
        <f t="array" aca="1" ref="AD33" ca="1">IFERROR(_xlfn.IFS(G32="jm_vat",(BT32+BW32+CC32)/CG32,G32="npl_vat",(BQ32+BZ32)/CG32,G32="cm_vat",(BT32+BW32+BZ32)/CG32,ISNUMBER(FIND("_all_vat",G33)),CF32/CG32,NOT(ISNUMBER(FIND("_vat",G33))),0,G32=0,0,AND(N33="sold",$DG$7="hp"),0),0)</f>
        <v>0</v>
      </c>
      <c r="AE33" s="94" t="e">
        <f t="shared" ca="1" si="0"/>
        <v>#N/A</v>
      </c>
      <c r="AF33" s="94" t="e">
        <f t="shared" ca="1" si="1"/>
        <v>#N/A</v>
      </c>
      <c r="AG33" s="95">
        <f t="shared" ca="1" si="2"/>
        <v>0</v>
      </c>
      <c r="AH33" s="95">
        <f t="shared" ca="1" si="3"/>
        <v>0</v>
      </c>
      <c r="AK33" s="100" cm="1">
        <f t="array" aca="1" ref="AK33" ca="1">IF(N33="vd",_xlfn.XLOOKUP($B$4,INDIRECT("'"&amp;$A$1&amp;"'!"&amp;$AK$1&amp;"[pam_code]"),INDIRECT("'"&amp;$A$1&amp;"'!"&amp;$AK$1&amp;"[verdict_expense_balance]")),
IF(N33="sold",W33,0))</f>
        <v>0</v>
      </c>
      <c r="AL33" s="96" t="e">
        <f t="shared" ca="1" si="4"/>
        <v>#N/A</v>
      </c>
      <c r="AM33" s="96" t="e">
        <f t="shared" ca="1" si="82"/>
        <v>#N/A</v>
      </c>
      <c r="AN33" s="97" t="e">
        <f t="shared" ca="1" si="40"/>
        <v>#N/A</v>
      </c>
      <c r="AO33" s="98">
        <f t="shared" si="5"/>
        <v>0</v>
      </c>
      <c r="AP33" s="99" t="e">
        <f t="shared" ca="1" si="83"/>
        <v>#N/A</v>
      </c>
      <c r="AQ33" s="96">
        <f t="shared" si="6"/>
        <v>0</v>
      </c>
      <c r="AR33" s="96" t="e">
        <f t="shared" ca="1" si="84"/>
        <v>#N/A</v>
      </c>
      <c r="AS33" s="100">
        <f t="shared" si="85"/>
        <v>0</v>
      </c>
      <c r="AT33" s="96" t="e">
        <f t="shared" ca="1" si="7"/>
        <v>#N/A</v>
      </c>
      <c r="AU33" s="96" t="e">
        <f t="shared" ca="1" si="86"/>
        <v>#N/A</v>
      </c>
      <c r="AV33" s="118"/>
      <c r="AW33" s="100" t="e">
        <f t="shared" ca="1" si="8"/>
        <v>#N/A</v>
      </c>
      <c r="AX33" s="118"/>
      <c r="AY33" s="100"/>
      <c r="BB33" s="100" cm="1">
        <f t="array" aca="1" ref="BB33" ca="1">IF(N33="vd",_xlfn.XLOOKUP(B33,INDIRECT("'"&amp;$A$1&amp;"'!"&amp;$AK$1&amp;"[pam_code]"),INDIRECT("'"&amp;$A$1&amp;"'!"&amp;$AK$1&amp;"[verdict_expense_balance]")),
IF(N33="sold",W33,0))</f>
        <v>0</v>
      </c>
      <c r="BC33" s="100" t="e">
        <f t="shared" ca="1" si="9"/>
        <v>#N/A</v>
      </c>
      <c r="BD33" s="96" t="e">
        <f t="shared" ca="1" si="87"/>
        <v>#N/A</v>
      </c>
      <c r="BE33" s="100" cm="1">
        <f t="array" aca="1" ref="BE33" ca="1">IF(N33="vd",_xlfn.XLOOKUP(B33,INDIRECT("'"&amp;$A$1&amp;"'!"&amp;$AK$1&amp;"[pam_code]"),INDIRECT("'"&amp;$A$1&amp;"'!"&amp;$AK$1&amp;"[verdict_outlay_balance]")),0)</f>
        <v>0</v>
      </c>
      <c r="BF33" s="100" t="e">
        <f t="shared" ca="1" si="10"/>
        <v>#N/A</v>
      </c>
      <c r="BG33" s="96" t="e">
        <f t="shared" ca="1" si="88"/>
        <v>#N/A</v>
      </c>
      <c r="BH33" s="100" cm="1">
        <f t="array" aca="1" ref="BH33" ca="1">IF(N33="vd",_xlfn.XLOOKUP(B33,INDIRECT("'"&amp;$A$1&amp;"'!"&amp;$AK$1&amp;"[pam_code]"),INDIRECT("'"&amp;$A$1&amp;"'!"&amp;$AK$1&amp;"[verdict_loss_balance]")),0)</f>
        <v>0</v>
      </c>
      <c r="BI33" s="100" t="e">
        <f t="shared" ca="1" si="11"/>
        <v>#N/A</v>
      </c>
      <c r="BJ33" s="96" t="e">
        <f t="shared" ca="1" si="89"/>
        <v>#N/A</v>
      </c>
      <c r="BK33" s="100" cm="1">
        <f t="array" aca="1" ref="BK33" ca="1">IF(N33="vd",_xlfn.XLOOKUP(B33,INDIRECT("'"&amp;$A$1&amp;"'!"&amp;$AK$1&amp;"[pam_code]"),INDIRECT("'"&amp;$A$1&amp;"'!"&amp;$AK$1&amp;"[verdict_penalty_balance]")),0)</f>
        <v>0</v>
      </c>
      <c r="BL33" s="100" t="e">
        <f t="shared" ca="1" si="12"/>
        <v>#N/A</v>
      </c>
      <c r="BM33" s="96" t="e">
        <f t="shared" ca="1" si="90"/>
        <v>#N/A</v>
      </c>
      <c r="BN33" s="102">
        <f t="shared" si="13"/>
        <v>0</v>
      </c>
      <c r="BO33" s="119" cm="1">
        <f t="array" aca="1" ref="BO33" ca="1">IF(N33="vd",_xlfn.XLOOKUP(B33,INDIRECT("'"&amp;$A$1&amp;"'!"&amp;$AK$1&amp;"[pam_code]"),INDIRECT("'"&amp;$A$1&amp;"'!"&amp;$AK$1&amp;"[verdict_oldinterest_balance]")),IF(N33="add",Z33,0))</f>
        <v>0</v>
      </c>
      <c r="BP33" s="104" t="e">
        <f t="shared" ca="1" si="14"/>
        <v>#N/A</v>
      </c>
      <c r="BQ33" s="105" t="e">
        <f t="shared" ca="1" si="91"/>
        <v>#N/A</v>
      </c>
      <c r="BR33" s="100" cm="1">
        <f t="array" aca="1" ref="BR33" ca="1">IF(N33="vd",_xlfn.XLOOKUP(B33,INDIRECT("'"&amp;$A$1&amp;"'!"&amp;$AK$1&amp;"[pam_code]"),INDIRECT("'"&amp;$A$1&amp;"'!"&amp;$AK$1&amp;"[verdict_opportunitycost_balance]")),0)</f>
        <v>0</v>
      </c>
      <c r="BS33" s="106" t="e">
        <f t="shared" ca="1" si="15"/>
        <v>#N/A</v>
      </c>
      <c r="BT33" s="96" t="e">
        <f t="shared" ca="1" si="92"/>
        <v>#N/A</v>
      </c>
      <c r="BU33" s="109" cm="1">
        <f t="array" aca="1" ref="BU33" ca="1">IF(N33="vd",_xlfn.XLOOKUP(B33,INDIRECT("'"&amp;$A$1&amp;"'!"&amp;$AK$1&amp;"[pam_code]"),INDIRECT("'"&amp;$A$1&amp;"'!"&amp;$AK$1&amp;"[verdict_oldcharge_balance]")),0)</f>
        <v>0</v>
      </c>
      <c r="BV33" s="108" t="e">
        <f t="shared" ca="1" si="16"/>
        <v>#N/A</v>
      </c>
      <c r="BW33" s="109" t="e">
        <f t="shared" ca="1" si="93"/>
        <v>#N/A</v>
      </c>
      <c r="BX33" s="109" cm="1">
        <f t="array" aca="1" ref="BX33" ca="1">IF(N33="vd",_xlfn.XLOOKUP(B33,INDIRECT("'"&amp;$A$1&amp;"'!"&amp;$AK$1&amp;"[pam_code]"),INDIRECT("'"&amp;$A$1&amp;"'!"&amp;$AK$1&amp;"[verdict_principal_balance]")),0)</f>
        <v>0</v>
      </c>
      <c r="BY33" s="109" t="e">
        <f t="shared" ca="1" si="17"/>
        <v>#N/A</v>
      </c>
      <c r="BZ33" s="109" t="e">
        <f t="shared" ca="1" si="94"/>
        <v>#N/A</v>
      </c>
      <c r="CA33" s="109" cm="1">
        <f t="array" aca="1" ref="CA33" ca="1">IF(N33="vd",_xlfn.XLOOKUP(B33,INDIRECT("'"&amp;$A$1&amp;"'!"&amp;$AK$1&amp;"[pam_code]"),INDIRECT("'"&amp;$A$1&amp;"'!"&amp;$AK$1&amp;"[verdict_replacement_balance]")),0)</f>
        <v>0</v>
      </c>
      <c r="CB33" s="108" t="e">
        <f t="shared" ca="1" si="18"/>
        <v>#N/A</v>
      </c>
      <c r="CC33" s="109" t="e">
        <f t="shared" ca="1" si="95"/>
        <v>#N/A</v>
      </c>
      <c r="CD33" s="109" cm="1">
        <f t="array" aca="1" ref="CD33" ca="1">IF(N33="vd",_xlfn.XLOOKUP(B33,INDIRECT("'"&amp;$A$1&amp;"'!"&amp;$AK$1&amp;"[pam_code]"),INDIRECT("'"&amp;$A$1&amp;"'!"&amp;$AK$1&amp;"[verdict_all_balance]")),0)</f>
        <v>0</v>
      </c>
      <c r="CE33" s="109" t="e">
        <f t="shared" ca="1" si="19"/>
        <v>#N/A</v>
      </c>
      <c r="CF33" s="109" t="e">
        <f t="shared" ca="1" si="96"/>
        <v>#N/A</v>
      </c>
      <c r="CG33" s="109" t="e">
        <f t="shared" ca="1" si="51"/>
        <v>#N/A</v>
      </c>
      <c r="CH33" s="109">
        <f t="shared" si="52"/>
        <v>0</v>
      </c>
      <c r="CI33" s="109" t="e">
        <f t="shared" ca="1" si="53"/>
        <v>#N/A</v>
      </c>
      <c r="CJ33" s="109">
        <f t="shared" si="97"/>
        <v>0</v>
      </c>
      <c r="CK33" s="109">
        <f t="shared" si="55"/>
        <v>0</v>
      </c>
      <c r="CL33" s="230" t="str">
        <f t="shared" si="72"/>
        <v>No information</v>
      </c>
      <c r="CM33" s="109" t="e">
        <f t="shared" ca="1" si="56"/>
        <v>#N/A</v>
      </c>
      <c r="CN33" s="109" t="e">
        <f t="shared" ca="1" si="20"/>
        <v>#N/A</v>
      </c>
      <c r="CO33" s="90" t="e">
        <f t="shared" ca="1" si="21"/>
        <v>#N/A</v>
      </c>
      <c r="CQ33" s="96" t="e">
        <f t="shared" ca="1" si="73"/>
        <v>#N/A</v>
      </c>
      <c r="CR33" s="100" t="e">
        <f t="shared" ref="CR33:CS33" ca="1" si="107">CR32</f>
        <v>#N/A</v>
      </c>
      <c r="CS33" s="120" t="e">
        <f t="shared" ca="1" si="107"/>
        <v>#N/A</v>
      </c>
      <c r="CT33" s="112" t="e">
        <f t="shared" ca="1" si="22"/>
        <v>#N/A</v>
      </c>
      <c r="CU33" s="112" t="e">
        <f t="shared" ca="1" si="74"/>
        <v>#N/A</v>
      </c>
      <c r="CV33" s="97" t="e">
        <f t="shared" ca="1" si="23"/>
        <v>#N/A</v>
      </c>
      <c r="CW33" s="100" cm="1">
        <f t="array" aca="1" ref="CW33" ca="1">IF(N33="vd",_xlfn.XLOOKUP(B33,INDIRECT("'"&amp;$A$1&amp;"'!"&amp;$AK$1&amp;"[pam_code]"),INDIRECT("'"&amp;$A$1&amp;"'!"&amp;$AK$1&amp;"[verdict_expense_balance]")),
IF(N33="sold",W33,0))</f>
        <v>0</v>
      </c>
      <c r="CX33" s="100" t="e">
        <f t="shared" ca="1" si="24"/>
        <v>#N/A</v>
      </c>
      <c r="CY33" s="96" t="e">
        <f t="shared" ca="1" si="99"/>
        <v>#N/A</v>
      </c>
      <c r="CZ33" s="100" t="e">
        <f t="shared" ca="1" si="25"/>
        <v>#N/A</v>
      </c>
      <c r="DA33" s="100">
        <f t="shared" si="26"/>
        <v>0</v>
      </c>
      <c r="DB33" s="100" t="e">
        <f t="shared" ca="1" si="27"/>
        <v>#N/A</v>
      </c>
      <c r="DC33" s="96" t="e">
        <f t="shared" ca="1" si="28"/>
        <v>#N/A</v>
      </c>
      <c r="DD33" s="100" t="e">
        <f t="shared" ca="1" si="29"/>
        <v>#N/A</v>
      </c>
      <c r="DE33" s="100" t="e">
        <f t="shared" ca="1" si="58"/>
        <v>#N/A</v>
      </c>
      <c r="DF33"/>
      <c r="DG33" s="252"/>
      <c r="DH33" s="252"/>
      <c r="DI33" s="234">
        <f t="shared" si="59"/>
        <v>0</v>
      </c>
      <c r="DJ33" s="234">
        <f t="shared" si="60"/>
        <v>0</v>
      </c>
      <c r="DK33" s="234">
        <f t="shared" si="61"/>
        <v>0</v>
      </c>
      <c r="DL33" s="234">
        <f t="shared" si="62"/>
        <v>0</v>
      </c>
      <c r="DM33" s="234">
        <f t="shared" si="63"/>
        <v>0</v>
      </c>
      <c r="DN33" s="235">
        <f t="shared" si="64"/>
        <v>0</v>
      </c>
      <c r="DO33" s="236">
        <f t="shared" si="32"/>
        <v>0</v>
      </c>
      <c r="DP33" s="245">
        <f t="shared" si="65"/>
        <v>0</v>
      </c>
      <c r="DQ33" s="235"/>
      <c r="DR33" s="237">
        <f t="shared" si="33"/>
        <v>0</v>
      </c>
      <c r="DS33" s="237" t="e">
        <f t="shared" ca="1" si="66"/>
        <v>#N/A</v>
      </c>
      <c r="DT33" s="237" t="e">
        <f t="shared" ca="1" si="67"/>
        <v>#N/A</v>
      </c>
      <c r="DU33" s="237" t="e">
        <f t="shared" ca="1" si="75"/>
        <v>#N/A</v>
      </c>
      <c r="DV33" s="237" t="e">
        <f t="shared" ca="1" si="76"/>
        <v>#N/A</v>
      </c>
      <c r="DW33" s="241" t="e">
        <f t="shared" ca="1" si="34"/>
        <v>#N/A</v>
      </c>
      <c r="DX33" s="238" t="e">
        <f t="shared" ca="1" si="35"/>
        <v>#N/A</v>
      </c>
      <c r="DY33" s="237" t="e" cm="1">
        <f t="array" aca="1" ref="DY33" ca="1">_xlfn.UNIQUE(IF(CI33=0,DZ32,IF(N33="repo",DZ32,IF(N33="sold",DT33,IF(ISERR(_xlfn._xlws.FILTER($N$7:N33,$N$7:N33="sold")),MIN(DT33*DW33,DZ32),0)))))</f>
        <v>#N/A</v>
      </c>
      <c r="DZ33" s="237" t="e" cm="1">
        <f t="array" aca="1" ref="DZ33" ca="1">_xlfn.UNIQUE(IF(N33="aq",DQ33,IF(N33="sold",_xlfn._xlws.FILTER($DY$7:DY33,$N$7:N33="repo"),IF(ISERR(_xlfn._xlws.FILTER($N$7:N33,$N$7:N33="sold")),DZ32-DY33,0))))</f>
        <v>#N/A</v>
      </c>
      <c r="EA33" s="237" t="e" cm="1">
        <f t="array" aca="1" ref="EA33" ca="1">IF(OR(N33="repo",IFERROR(_xlfn._xlws.FILTER($N$7:N33,$N$7:N33="sold")="sold",FALSE)),0,DP33*DZ32*(DX33/365))</f>
        <v>#N/A</v>
      </c>
      <c r="EB33" s="237" t="e">
        <f t="shared" ca="1" si="36"/>
        <v>#N/A</v>
      </c>
      <c r="EC33" s="237" t="e">
        <f t="shared" ca="1" si="68"/>
        <v>#N/A</v>
      </c>
      <c r="ED33" s="237" cm="1">
        <f t="array" aca="1" ref="ED33" ca="1">_xlfn.IFS(N33="repo",0,N33="sold",DY33-DZ33,N33&lt;&gt;"",DT33-DY33-EB33,N33="",0)</f>
        <v>0</v>
      </c>
      <c r="EE33" s="237" t="e">
        <f t="shared" ca="1" si="37"/>
        <v>#N/A</v>
      </c>
      <c r="EF33" s="237" t="e">
        <f t="shared" ca="1" si="69"/>
        <v>#N/A</v>
      </c>
      <c r="EG33" s="237" t="e">
        <f t="shared" ca="1" si="38"/>
        <v>#N/A</v>
      </c>
    </row>
    <row r="34" spans="2:137" x14ac:dyDescent="0.3">
      <c r="B34" s="83"/>
      <c r="C34" s="83"/>
      <c r="D34" s="84"/>
      <c r="E34" s="84"/>
      <c r="F34" s="84"/>
      <c r="G34" s="84"/>
      <c r="H34" s="84"/>
      <c r="I34" s="84"/>
      <c r="J34" s="85"/>
      <c r="K34" s="85"/>
      <c r="L34" s="113"/>
      <c r="M34" s="87"/>
      <c r="N34" s="191"/>
      <c r="O34" s="272"/>
      <c r="P34" s="184"/>
      <c r="Q34" s="124"/>
      <c r="R34" s="124"/>
      <c r="S34" s="114"/>
      <c r="T34" s="90"/>
      <c r="U34"/>
      <c r="V34" s="90"/>
      <c r="W34" s="260"/>
      <c r="X34" s="260"/>
      <c r="Y34" s="89"/>
      <c r="Z34" s="91"/>
      <c r="AA34" s="97" t="e" cm="1">
        <f t="array" aca="1" ref="AA34" ca="1">IF(N34="vd",_xlfn.XLOOKUP(B34,INDIRECT("'"&amp;$A$1&amp;"'!"&amp;$AK$1&amp;"[pam_code]"),INDIRECT("'"&amp;$A$1&amp;"'!"&amp;$AK$1&amp;"[int_rate]")),AA33)</f>
        <v>#N/A</v>
      </c>
      <c r="AB34" s="116" t="e" cm="1">
        <f t="array" aca="1" ref="AB34" ca="1">IF(N34="vd",_xlfn.XLOOKUP(B34,INDIRECT("'"&amp;$A$1&amp;"'!"&amp;$AK$1&amp;"[pam_code]"),INDIRECT("'"&amp;$A$1&amp;"'!"&amp;$AK$1&amp;"[eir_rate]")),AB33)</f>
        <v>#N/A</v>
      </c>
      <c r="AC34" s="117" t="e">
        <f t="shared" ca="1" si="39"/>
        <v>#N/A</v>
      </c>
      <c r="AD34" s="93" cm="1">
        <f t="array" aca="1" ref="AD34" ca="1">IFERROR(_xlfn.IFS(G33="jm_vat",(BT33+BW33+CC33)/CG33,G33="npl_vat",(BQ33+BZ33)/CG33,G33="cm_vat",(BT33+BW33+BZ33)/CG33,ISNUMBER(FIND("_all_vat",G34)),CF33/CG33,NOT(ISNUMBER(FIND("_vat",G34))),0,G33=0,0,AND(N34="sold",$DG$7="hp"),0),0)</f>
        <v>0</v>
      </c>
      <c r="AE34" s="94" t="e">
        <f t="shared" ca="1" si="0"/>
        <v>#N/A</v>
      </c>
      <c r="AF34" s="94" t="e">
        <f t="shared" ca="1" si="1"/>
        <v>#N/A</v>
      </c>
      <c r="AG34" s="95">
        <f t="shared" ca="1" si="2"/>
        <v>0</v>
      </c>
      <c r="AH34" s="95">
        <f t="shared" ca="1" si="3"/>
        <v>0</v>
      </c>
      <c r="AK34" s="100" cm="1">
        <f t="array" aca="1" ref="AK34" ca="1">IF(N34="vd",_xlfn.XLOOKUP($B$4,INDIRECT("'"&amp;$A$1&amp;"'!"&amp;$AK$1&amp;"[pam_code]"),INDIRECT("'"&amp;$A$1&amp;"'!"&amp;$AK$1&amp;"[verdict_expense_balance]")),
IF(N34="sold",W34,0))</f>
        <v>0</v>
      </c>
      <c r="AL34" s="96" t="e">
        <f t="shared" ca="1" si="4"/>
        <v>#N/A</v>
      </c>
      <c r="AM34" s="96" t="e">
        <f t="shared" ca="1" si="82"/>
        <v>#N/A</v>
      </c>
      <c r="AN34" s="97" t="e">
        <f t="shared" ca="1" si="40"/>
        <v>#N/A</v>
      </c>
      <c r="AO34" s="98">
        <f t="shared" si="5"/>
        <v>0</v>
      </c>
      <c r="AP34" s="99" t="e">
        <f t="shared" ca="1" si="83"/>
        <v>#N/A</v>
      </c>
      <c r="AQ34" s="96">
        <f t="shared" si="6"/>
        <v>0</v>
      </c>
      <c r="AR34" s="96" t="e">
        <f t="shared" ca="1" si="84"/>
        <v>#N/A</v>
      </c>
      <c r="AS34" s="100">
        <f t="shared" si="85"/>
        <v>0</v>
      </c>
      <c r="AT34" s="96" t="e">
        <f t="shared" ca="1" si="7"/>
        <v>#N/A</v>
      </c>
      <c r="AU34" s="96" t="e">
        <f t="shared" ca="1" si="86"/>
        <v>#N/A</v>
      </c>
      <c r="AV34" s="118"/>
      <c r="AW34" s="100" t="e">
        <f t="shared" ca="1" si="8"/>
        <v>#N/A</v>
      </c>
      <c r="AX34" s="118"/>
      <c r="AY34" s="100"/>
      <c r="BB34" s="100" cm="1">
        <f t="array" aca="1" ref="BB34" ca="1">IF(N34="vd",_xlfn.XLOOKUP(B34,INDIRECT("'"&amp;$A$1&amp;"'!"&amp;$AK$1&amp;"[pam_code]"),INDIRECT("'"&amp;$A$1&amp;"'!"&amp;$AK$1&amp;"[verdict_expense_balance]")),
IF(N34="sold",W34,0))</f>
        <v>0</v>
      </c>
      <c r="BC34" s="100" t="e">
        <f t="shared" ca="1" si="9"/>
        <v>#N/A</v>
      </c>
      <c r="BD34" s="96" t="e">
        <f t="shared" ca="1" si="87"/>
        <v>#N/A</v>
      </c>
      <c r="BE34" s="100" cm="1">
        <f t="array" aca="1" ref="BE34" ca="1">IF(N34="vd",_xlfn.XLOOKUP(B34,INDIRECT("'"&amp;$A$1&amp;"'!"&amp;$AK$1&amp;"[pam_code]"),INDIRECT("'"&amp;$A$1&amp;"'!"&amp;$AK$1&amp;"[verdict_outlay_balance]")),0)</f>
        <v>0</v>
      </c>
      <c r="BF34" s="100" t="e">
        <f t="shared" ca="1" si="10"/>
        <v>#N/A</v>
      </c>
      <c r="BG34" s="96" t="e">
        <f t="shared" ca="1" si="88"/>
        <v>#N/A</v>
      </c>
      <c r="BH34" s="100" cm="1">
        <f t="array" aca="1" ref="BH34" ca="1">IF(N34="vd",_xlfn.XLOOKUP(B34,INDIRECT("'"&amp;$A$1&amp;"'!"&amp;$AK$1&amp;"[pam_code]"),INDIRECT("'"&amp;$A$1&amp;"'!"&amp;$AK$1&amp;"[verdict_loss_balance]")),0)</f>
        <v>0</v>
      </c>
      <c r="BI34" s="100" t="e">
        <f t="shared" ca="1" si="11"/>
        <v>#N/A</v>
      </c>
      <c r="BJ34" s="96" t="e">
        <f t="shared" ca="1" si="89"/>
        <v>#N/A</v>
      </c>
      <c r="BK34" s="100" cm="1">
        <f t="array" aca="1" ref="BK34" ca="1">IF(N34="vd",_xlfn.XLOOKUP(B34,INDIRECT("'"&amp;$A$1&amp;"'!"&amp;$AK$1&amp;"[pam_code]"),INDIRECT("'"&amp;$A$1&amp;"'!"&amp;$AK$1&amp;"[verdict_penalty_balance]")),0)</f>
        <v>0</v>
      </c>
      <c r="BL34" s="100" t="e">
        <f t="shared" ca="1" si="12"/>
        <v>#N/A</v>
      </c>
      <c r="BM34" s="96" t="e">
        <f t="shared" ca="1" si="90"/>
        <v>#N/A</v>
      </c>
      <c r="BN34" s="102">
        <f t="shared" si="13"/>
        <v>0</v>
      </c>
      <c r="BO34" s="119" cm="1">
        <f t="array" aca="1" ref="BO34" ca="1">IF(N34="vd",_xlfn.XLOOKUP(B34,INDIRECT("'"&amp;$A$1&amp;"'!"&amp;$AK$1&amp;"[pam_code]"),INDIRECT("'"&amp;$A$1&amp;"'!"&amp;$AK$1&amp;"[verdict_oldinterest_balance]")),IF(N34="add",Z34,0))</f>
        <v>0</v>
      </c>
      <c r="BP34" s="104" t="e">
        <f t="shared" ca="1" si="14"/>
        <v>#N/A</v>
      </c>
      <c r="BQ34" s="105" t="e">
        <f t="shared" ca="1" si="91"/>
        <v>#N/A</v>
      </c>
      <c r="BR34" s="100" cm="1">
        <f t="array" aca="1" ref="BR34" ca="1">IF(N34="vd",_xlfn.XLOOKUP(B34,INDIRECT("'"&amp;$A$1&amp;"'!"&amp;$AK$1&amp;"[pam_code]"),INDIRECT("'"&amp;$A$1&amp;"'!"&amp;$AK$1&amp;"[verdict_opportunitycost_balance]")),0)</f>
        <v>0</v>
      </c>
      <c r="BS34" s="106" t="e">
        <f t="shared" ca="1" si="15"/>
        <v>#N/A</v>
      </c>
      <c r="BT34" s="96" t="e">
        <f t="shared" ca="1" si="92"/>
        <v>#N/A</v>
      </c>
      <c r="BU34" s="109" cm="1">
        <f t="array" aca="1" ref="BU34" ca="1">IF(N34="vd",_xlfn.XLOOKUP(B34,INDIRECT("'"&amp;$A$1&amp;"'!"&amp;$AK$1&amp;"[pam_code]"),INDIRECT("'"&amp;$A$1&amp;"'!"&amp;$AK$1&amp;"[verdict_oldcharge_balance]")),0)</f>
        <v>0</v>
      </c>
      <c r="BV34" s="108" t="e">
        <f t="shared" ca="1" si="16"/>
        <v>#N/A</v>
      </c>
      <c r="BW34" s="109" t="e">
        <f t="shared" ca="1" si="93"/>
        <v>#N/A</v>
      </c>
      <c r="BX34" s="109" cm="1">
        <f t="array" aca="1" ref="BX34" ca="1">IF(N34="vd",_xlfn.XLOOKUP(B34,INDIRECT("'"&amp;$A$1&amp;"'!"&amp;$AK$1&amp;"[pam_code]"),INDIRECT("'"&amp;$A$1&amp;"'!"&amp;$AK$1&amp;"[verdict_principal_balance]")),0)</f>
        <v>0</v>
      </c>
      <c r="BY34" s="109" t="e">
        <f t="shared" ca="1" si="17"/>
        <v>#N/A</v>
      </c>
      <c r="BZ34" s="109" t="e">
        <f t="shared" ca="1" si="94"/>
        <v>#N/A</v>
      </c>
      <c r="CA34" s="109" cm="1">
        <f t="array" aca="1" ref="CA34" ca="1">IF(N34="vd",_xlfn.XLOOKUP(B34,INDIRECT("'"&amp;$A$1&amp;"'!"&amp;$AK$1&amp;"[pam_code]"),INDIRECT("'"&amp;$A$1&amp;"'!"&amp;$AK$1&amp;"[verdict_replacement_balance]")),0)</f>
        <v>0</v>
      </c>
      <c r="CB34" s="108" t="e">
        <f t="shared" ca="1" si="18"/>
        <v>#N/A</v>
      </c>
      <c r="CC34" s="109" t="e">
        <f t="shared" ca="1" si="95"/>
        <v>#N/A</v>
      </c>
      <c r="CD34" s="109" cm="1">
        <f t="array" aca="1" ref="CD34" ca="1">IF(N34="vd",_xlfn.XLOOKUP(B34,INDIRECT("'"&amp;$A$1&amp;"'!"&amp;$AK$1&amp;"[pam_code]"),INDIRECT("'"&amp;$A$1&amp;"'!"&amp;$AK$1&amp;"[verdict_all_balance]")),0)</f>
        <v>0</v>
      </c>
      <c r="CE34" s="109" t="e">
        <f t="shared" ca="1" si="19"/>
        <v>#N/A</v>
      </c>
      <c r="CF34" s="109" t="e">
        <f t="shared" ca="1" si="96"/>
        <v>#N/A</v>
      </c>
      <c r="CG34" s="109" t="e">
        <f t="shared" ca="1" si="51"/>
        <v>#N/A</v>
      </c>
      <c r="CH34" s="109">
        <f t="shared" si="52"/>
        <v>0</v>
      </c>
      <c r="CI34" s="109" t="e">
        <f t="shared" ca="1" si="53"/>
        <v>#N/A</v>
      </c>
      <c r="CJ34" s="109">
        <f t="shared" si="97"/>
        <v>0</v>
      </c>
      <c r="CK34" s="109">
        <f t="shared" si="55"/>
        <v>0</v>
      </c>
      <c r="CL34" s="230" t="str">
        <f t="shared" si="72"/>
        <v>No information</v>
      </c>
      <c r="CM34" s="109" t="e">
        <f t="shared" ca="1" si="56"/>
        <v>#N/A</v>
      </c>
      <c r="CN34" s="109" t="e">
        <f t="shared" ca="1" si="20"/>
        <v>#N/A</v>
      </c>
      <c r="CO34" s="90" t="e">
        <f t="shared" ca="1" si="21"/>
        <v>#N/A</v>
      </c>
      <c r="CQ34" s="96" t="e">
        <f t="shared" ca="1" si="73"/>
        <v>#N/A</v>
      </c>
      <c r="CR34" s="100" t="e">
        <f t="shared" ref="CR34:CS34" ca="1" si="108">CR33</f>
        <v>#N/A</v>
      </c>
      <c r="CS34" s="120" t="e">
        <f t="shared" ca="1" si="108"/>
        <v>#N/A</v>
      </c>
      <c r="CT34" s="112" t="e">
        <f t="shared" ca="1" si="22"/>
        <v>#N/A</v>
      </c>
      <c r="CU34" s="112" t="e">
        <f t="shared" ca="1" si="74"/>
        <v>#N/A</v>
      </c>
      <c r="CV34" s="97" t="e">
        <f t="shared" ca="1" si="23"/>
        <v>#N/A</v>
      </c>
      <c r="CW34" s="100" cm="1">
        <f t="array" aca="1" ref="CW34" ca="1">IF(N34="vd",_xlfn.XLOOKUP(B34,INDIRECT("'"&amp;$A$1&amp;"'!"&amp;$AK$1&amp;"[pam_code]"),INDIRECT("'"&amp;$A$1&amp;"'!"&amp;$AK$1&amp;"[verdict_expense_balance]")),
IF(N34="sold",W34,0))</f>
        <v>0</v>
      </c>
      <c r="CX34" s="100" t="e">
        <f t="shared" ca="1" si="24"/>
        <v>#N/A</v>
      </c>
      <c r="CY34" s="96" t="e">
        <f t="shared" ca="1" si="99"/>
        <v>#N/A</v>
      </c>
      <c r="CZ34" s="100" t="e">
        <f t="shared" ca="1" si="25"/>
        <v>#N/A</v>
      </c>
      <c r="DA34" s="100">
        <f t="shared" si="26"/>
        <v>0</v>
      </c>
      <c r="DB34" s="100" t="e">
        <f t="shared" ca="1" si="27"/>
        <v>#N/A</v>
      </c>
      <c r="DC34" s="96" t="e">
        <f t="shared" ca="1" si="28"/>
        <v>#N/A</v>
      </c>
      <c r="DD34" s="100" t="e">
        <f t="shared" ca="1" si="29"/>
        <v>#N/A</v>
      </c>
      <c r="DE34" s="100" t="e">
        <f t="shared" ca="1" si="58"/>
        <v>#N/A</v>
      </c>
      <c r="DF34"/>
      <c r="DG34" s="252"/>
      <c r="DH34" s="252"/>
      <c r="DI34" s="234">
        <f t="shared" si="59"/>
        <v>0</v>
      </c>
      <c r="DJ34" s="234">
        <f t="shared" si="60"/>
        <v>0</v>
      </c>
      <c r="DK34" s="234">
        <f t="shared" si="61"/>
        <v>0</v>
      </c>
      <c r="DL34" s="234">
        <f t="shared" si="62"/>
        <v>0</v>
      </c>
      <c r="DM34" s="234">
        <f t="shared" si="63"/>
        <v>0</v>
      </c>
      <c r="DN34" s="235">
        <f t="shared" si="64"/>
        <v>0</v>
      </c>
      <c r="DO34" s="236">
        <f t="shared" si="32"/>
        <v>0</v>
      </c>
      <c r="DP34" s="245">
        <f t="shared" si="65"/>
        <v>0</v>
      </c>
      <c r="DQ34" s="235"/>
      <c r="DR34" s="237">
        <f t="shared" si="33"/>
        <v>0</v>
      </c>
      <c r="DS34" s="237" t="e">
        <f t="shared" ca="1" si="66"/>
        <v>#N/A</v>
      </c>
      <c r="DT34" s="237" t="e">
        <f t="shared" ca="1" si="67"/>
        <v>#N/A</v>
      </c>
      <c r="DU34" s="237" t="e">
        <f t="shared" ca="1" si="75"/>
        <v>#N/A</v>
      </c>
      <c r="DV34" s="237" t="e">
        <f t="shared" ca="1" si="76"/>
        <v>#N/A</v>
      </c>
      <c r="DW34" s="241" t="e">
        <f t="shared" ca="1" si="34"/>
        <v>#N/A</v>
      </c>
      <c r="DX34" s="238" t="e">
        <f t="shared" ca="1" si="35"/>
        <v>#N/A</v>
      </c>
      <c r="DY34" s="237" t="e" cm="1">
        <f t="array" aca="1" ref="DY34" ca="1">_xlfn.UNIQUE(IF(CI34=0,DZ33,IF(N34="repo",DZ33,IF(N34="sold",DT34,IF(ISERR(_xlfn._xlws.FILTER($N$7:N34,$N$7:N34="sold")),MIN(DT34*DW34,DZ33),0)))))</f>
        <v>#N/A</v>
      </c>
      <c r="DZ34" s="237" t="e" cm="1">
        <f t="array" aca="1" ref="DZ34" ca="1">_xlfn.UNIQUE(IF(N34="aq",DQ34,IF(N34="sold",_xlfn._xlws.FILTER($DY$7:DY34,$N$7:N34="repo"),IF(ISERR(_xlfn._xlws.FILTER($N$7:N34,$N$7:N34="sold")),DZ33-DY34,0))))</f>
        <v>#N/A</v>
      </c>
      <c r="EA34" s="237" t="e" cm="1">
        <f t="array" aca="1" ref="EA34" ca="1">IF(OR(N34="repo",IFERROR(_xlfn._xlws.FILTER($N$7:N34,$N$7:N34="sold")="sold",FALSE)),0,DP34*DZ33*(DX34/365))</f>
        <v>#N/A</v>
      </c>
      <c r="EB34" s="237" t="e">
        <f t="shared" ca="1" si="36"/>
        <v>#N/A</v>
      </c>
      <c r="EC34" s="237" t="e">
        <f t="shared" ca="1" si="68"/>
        <v>#N/A</v>
      </c>
      <c r="ED34" s="237" cm="1">
        <f t="array" aca="1" ref="ED34" ca="1">_xlfn.IFS(N34="repo",0,N34="sold",DY34-DZ34,N34&lt;&gt;"",DT34-DY34-EB34,N34="",0)</f>
        <v>0</v>
      </c>
      <c r="EE34" s="237" t="e">
        <f t="shared" ca="1" si="37"/>
        <v>#N/A</v>
      </c>
      <c r="EF34" s="237" t="e">
        <f t="shared" ca="1" si="69"/>
        <v>#N/A</v>
      </c>
      <c r="EG34" s="237" t="e">
        <f t="shared" ca="1" si="38"/>
        <v>#N/A</v>
      </c>
    </row>
    <row r="35" spans="2:137" x14ac:dyDescent="0.3">
      <c r="B35" s="83"/>
      <c r="C35" s="83"/>
      <c r="D35" s="84"/>
      <c r="E35" s="84"/>
      <c r="F35" s="84"/>
      <c r="G35" s="84"/>
      <c r="H35" s="84"/>
      <c r="I35" s="84"/>
      <c r="J35" s="85"/>
      <c r="K35" s="85"/>
      <c r="L35" s="113"/>
      <c r="M35" s="87"/>
      <c r="N35" s="191"/>
      <c r="O35" s="272"/>
      <c r="P35" s="184"/>
      <c r="Q35" s="124"/>
      <c r="R35" s="124"/>
      <c r="S35" s="114"/>
      <c r="T35" s="90"/>
      <c r="U35"/>
      <c r="V35" s="90"/>
      <c r="W35" s="260"/>
      <c r="X35" s="260"/>
      <c r="Y35" s="89"/>
      <c r="Z35" s="91"/>
      <c r="AA35" s="97" t="e" cm="1">
        <f t="array" aca="1" ref="AA35" ca="1">IF(N35="vd",_xlfn.XLOOKUP(B35,INDIRECT("'"&amp;$A$1&amp;"'!"&amp;$AK$1&amp;"[pam_code]"),INDIRECT("'"&amp;$A$1&amp;"'!"&amp;$AK$1&amp;"[int_rate]")),AA34)</f>
        <v>#N/A</v>
      </c>
      <c r="AB35" s="116" t="e" cm="1">
        <f t="array" aca="1" ref="AB35" ca="1">IF(N35="vd",_xlfn.XLOOKUP(B35,INDIRECT("'"&amp;$A$1&amp;"'!"&amp;$AK$1&amp;"[pam_code]"),INDIRECT("'"&amp;$A$1&amp;"'!"&amp;$AK$1&amp;"[eir_rate]")),AB34)</f>
        <v>#N/A</v>
      </c>
      <c r="AC35" s="117" t="e">
        <f t="shared" ca="1" si="39"/>
        <v>#N/A</v>
      </c>
      <c r="AD35" s="93" cm="1">
        <f t="array" aca="1" ref="AD35" ca="1">IFERROR(_xlfn.IFS(G34="jm_vat",(BT34+BW34+CC34)/CG34,G34="npl_vat",(BQ34+BZ34)/CG34,G34="cm_vat",(BT34+BW34+BZ34)/CG34,ISNUMBER(FIND("_all_vat",G35)),CF34/CG34,NOT(ISNUMBER(FIND("_vat",G35))),0,G34=0,0,AND(N35="sold",$DG$7="hp"),0),0)</f>
        <v>0</v>
      </c>
      <c r="AE35" s="94" t="e">
        <f t="shared" ca="1" si="0"/>
        <v>#N/A</v>
      </c>
      <c r="AF35" s="94" t="e">
        <f t="shared" ca="1" si="1"/>
        <v>#N/A</v>
      </c>
      <c r="AG35" s="95">
        <f t="shared" ca="1" si="2"/>
        <v>0</v>
      </c>
      <c r="AH35" s="95">
        <f t="shared" ca="1" si="3"/>
        <v>0</v>
      </c>
      <c r="AK35" s="100" cm="1">
        <f t="array" aca="1" ref="AK35" ca="1">IF(N35="vd",_xlfn.XLOOKUP($B$4,INDIRECT("'"&amp;$A$1&amp;"'!"&amp;$AK$1&amp;"[pam_code]"),INDIRECT("'"&amp;$A$1&amp;"'!"&amp;$AK$1&amp;"[verdict_expense_balance]")),
IF(N35="sold",W35,0))</f>
        <v>0</v>
      </c>
      <c r="AL35" s="96" t="e">
        <f t="shared" ca="1" si="4"/>
        <v>#N/A</v>
      </c>
      <c r="AM35" s="96" t="e">
        <f t="shared" ca="1" si="82"/>
        <v>#N/A</v>
      </c>
      <c r="AN35" s="97" t="e">
        <f t="shared" ca="1" si="40"/>
        <v>#N/A</v>
      </c>
      <c r="AO35" s="98">
        <f t="shared" si="5"/>
        <v>0</v>
      </c>
      <c r="AP35" s="99" t="e">
        <f t="shared" ca="1" si="83"/>
        <v>#N/A</v>
      </c>
      <c r="AQ35" s="96">
        <f t="shared" si="6"/>
        <v>0</v>
      </c>
      <c r="AR35" s="96" t="e">
        <f t="shared" ca="1" si="84"/>
        <v>#N/A</v>
      </c>
      <c r="AS35" s="100">
        <f t="shared" si="85"/>
        <v>0</v>
      </c>
      <c r="AT35" s="96" t="e">
        <f t="shared" ca="1" si="7"/>
        <v>#N/A</v>
      </c>
      <c r="AU35" s="96" t="e">
        <f t="shared" ca="1" si="86"/>
        <v>#N/A</v>
      </c>
      <c r="AV35" s="118"/>
      <c r="AW35" s="100" t="e">
        <f t="shared" ca="1" si="8"/>
        <v>#N/A</v>
      </c>
      <c r="AX35" s="118"/>
      <c r="AY35" s="100"/>
      <c r="BB35" s="100" cm="1">
        <f t="array" aca="1" ref="BB35" ca="1">IF(N35="vd",_xlfn.XLOOKUP(B35,INDIRECT("'"&amp;$A$1&amp;"'!"&amp;$AK$1&amp;"[pam_code]"),INDIRECT("'"&amp;$A$1&amp;"'!"&amp;$AK$1&amp;"[verdict_expense_balance]")),
IF(N35="sold",W35,0))</f>
        <v>0</v>
      </c>
      <c r="BC35" s="100" t="e">
        <f t="shared" ca="1" si="9"/>
        <v>#N/A</v>
      </c>
      <c r="BD35" s="96" t="e">
        <f t="shared" ca="1" si="87"/>
        <v>#N/A</v>
      </c>
      <c r="BE35" s="100" cm="1">
        <f t="array" aca="1" ref="BE35" ca="1">IF(N35="vd",_xlfn.XLOOKUP(B35,INDIRECT("'"&amp;$A$1&amp;"'!"&amp;$AK$1&amp;"[pam_code]"),INDIRECT("'"&amp;$A$1&amp;"'!"&amp;$AK$1&amp;"[verdict_outlay_balance]")),0)</f>
        <v>0</v>
      </c>
      <c r="BF35" s="100" t="e">
        <f t="shared" ca="1" si="10"/>
        <v>#N/A</v>
      </c>
      <c r="BG35" s="96" t="e">
        <f t="shared" ca="1" si="88"/>
        <v>#N/A</v>
      </c>
      <c r="BH35" s="100" cm="1">
        <f t="array" aca="1" ref="BH35" ca="1">IF(N35="vd",_xlfn.XLOOKUP(B35,INDIRECT("'"&amp;$A$1&amp;"'!"&amp;$AK$1&amp;"[pam_code]"),INDIRECT("'"&amp;$A$1&amp;"'!"&amp;$AK$1&amp;"[verdict_loss_balance]")),0)</f>
        <v>0</v>
      </c>
      <c r="BI35" s="100" t="e">
        <f t="shared" ca="1" si="11"/>
        <v>#N/A</v>
      </c>
      <c r="BJ35" s="96" t="e">
        <f t="shared" ca="1" si="89"/>
        <v>#N/A</v>
      </c>
      <c r="BK35" s="100" cm="1">
        <f t="array" aca="1" ref="BK35" ca="1">IF(N35="vd",_xlfn.XLOOKUP(B35,INDIRECT("'"&amp;$A$1&amp;"'!"&amp;$AK$1&amp;"[pam_code]"),INDIRECT("'"&amp;$A$1&amp;"'!"&amp;$AK$1&amp;"[verdict_penalty_balance]")),0)</f>
        <v>0</v>
      </c>
      <c r="BL35" s="100" t="e">
        <f t="shared" ca="1" si="12"/>
        <v>#N/A</v>
      </c>
      <c r="BM35" s="96" t="e">
        <f t="shared" ca="1" si="90"/>
        <v>#N/A</v>
      </c>
      <c r="BN35" s="102">
        <f t="shared" si="13"/>
        <v>0</v>
      </c>
      <c r="BO35" s="119" cm="1">
        <f t="array" aca="1" ref="BO35" ca="1">IF(N35="vd",_xlfn.XLOOKUP(B35,INDIRECT("'"&amp;$A$1&amp;"'!"&amp;$AK$1&amp;"[pam_code]"),INDIRECT("'"&amp;$A$1&amp;"'!"&amp;$AK$1&amp;"[verdict_oldinterest_balance]")),IF(N35="add",Z35,0))</f>
        <v>0</v>
      </c>
      <c r="BP35" s="104" t="e">
        <f t="shared" ca="1" si="14"/>
        <v>#N/A</v>
      </c>
      <c r="BQ35" s="105" t="e">
        <f t="shared" ca="1" si="91"/>
        <v>#N/A</v>
      </c>
      <c r="BR35" s="100" cm="1">
        <f t="array" aca="1" ref="BR35" ca="1">IF(N35="vd",_xlfn.XLOOKUP(B35,INDIRECT("'"&amp;$A$1&amp;"'!"&amp;$AK$1&amp;"[pam_code]"),INDIRECT("'"&amp;$A$1&amp;"'!"&amp;$AK$1&amp;"[verdict_opportunitycost_balance]")),0)</f>
        <v>0</v>
      </c>
      <c r="BS35" s="106" t="e">
        <f t="shared" ca="1" si="15"/>
        <v>#N/A</v>
      </c>
      <c r="BT35" s="96" t="e">
        <f t="shared" ca="1" si="92"/>
        <v>#N/A</v>
      </c>
      <c r="BU35" s="109" cm="1">
        <f t="array" aca="1" ref="BU35" ca="1">IF(N35="vd",_xlfn.XLOOKUP(B35,INDIRECT("'"&amp;$A$1&amp;"'!"&amp;$AK$1&amp;"[pam_code]"),INDIRECT("'"&amp;$A$1&amp;"'!"&amp;$AK$1&amp;"[verdict_oldcharge_balance]")),0)</f>
        <v>0</v>
      </c>
      <c r="BV35" s="108" t="e">
        <f t="shared" ca="1" si="16"/>
        <v>#N/A</v>
      </c>
      <c r="BW35" s="109" t="e">
        <f t="shared" ca="1" si="93"/>
        <v>#N/A</v>
      </c>
      <c r="BX35" s="109" cm="1">
        <f t="array" aca="1" ref="BX35" ca="1">IF(N35="vd",_xlfn.XLOOKUP(B35,INDIRECT("'"&amp;$A$1&amp;"'!"&amp;$AK$1&amp;"[pam_code]"),INDIRECT("'"&amp;$A$1&amp;"'!"&amp;$AK$1&amp;"[verdict_principal_balance]")),0)</f>
        <v>0</v>
      </c>
      <c r="BY35" s="109" t="e">
        <f t="shared" ca="1" si="17"/>
        <v>#N/A</v>
      </c>
      <c r="BZ35" s="109" t="e">
        <f t="shared" ca="1" si="94"/>
        <v>#N/A</v>
      </c>
      <c r="CA35" s="109" cm="1">
        <f t="array" aca="1" ref="CA35" ca="1">IF(N35="vd",_xlfn.XLOOKUP(B35,INDIRECT("'"&amp;$A$1&amp;"'!"&amp;$AK$1&amp;"[pam_code]"),INDIRECT("'"&amp;$A$1&amp;"'!"&amp;$AK$1&amp;"[verdict_replacement_balance]")),0)</f>
        <v>0</v>
      </c>
      <c r="CB35" s="108" t="e">
        <f t="shared" ca="1" si="18"/>
        <v>#N/A</v>
      </c>
      <c r="CC35" s="109" t="e">
        <f t="shared" ca="1" si="95"/>
        <v>#N/A</v>
      </c>
      <c r="CD35" s="109" cm="1">
        <f t="array" aca="1" ref="CD35" ca="1">IF(N35="vd",_xlfn.XLOOKUP(B35,INDIRECT("'"&amp;$A$1&amp;"'!"&amp;$AK$1&amp;"[pam_code]"),INDIRECT("'"&amp;$A$1&amp;"'!"&amp;$AK$1&amp;"[verdict_all_balance]")),0)</f>
        <v>0</v>
      </c>
      <c r="CE35" s="109" t="e">
        <f t="shared" ca="1" si="19"/>
        <v>#N/A</v>
      </c>
      <c r="CF35" s="109" t="e">
        <f t="shared" ca="1" si="96"/>
        <v>#N/A</v>
      </c>
      <c r="CG35" s="109" t="e">
        <f t="shared" ca="1" si="51"/>
        <v>#N/A</v>
      </c>
      <c r="CH35" s="109">
        <f t="shared" si="52"/>
        <v>0</v>
      </c>
      <c r="CI35" s="109" t="e">
        <f t="shared" ca="1" si="53"/>
        <v>#N/A</v>
      </c>
      <c r="CJ35" s="109">
        <f t="shared" si="97"/>
        <v>0</v>
      </c>
      <c r="CK35" s="109">
        <f t="shared" si="55"/>
        <v>0</v>
      </c>
      <c r="CL35" s="230" t="str">
        <f t="shared" si="72"/>
        <v>No information</v>
      </c>
      <c r="CM35" s="109" t="e">
        <f t="shared" ca="1" si="56"/>
        <v>#N/A</v>
      </c>
      <c r="CN35" s="109" t="e">
        <f t="shared" ca="1" si="20"/>
        <v>#N/A</v>
      </c>
      <c r="CO35" s="90" t="e">
        <f t="shared" ca="1" si="21"/>
        <v>#N/A</v>
      </c>
      <c r="CQ35" s="96" t="e">
        <f t="shared" ca="1" si="73"/>
        <v>#N/A</v>
      </c>
      <c r="CR35" s="100" t="e">
        <f t="shared" ref="CR35:CS35" ca="1" si="109">CR34</f>
        <v>#N/A</v>
      </c>
      <c r="CS35" s="120" t="e">
        <f t="shared" ca="1" si="109"/>
        <v>#N/A</v>
      </c>
      <c r="CT35" s="112" t="e">
        <f t="shared" ca="1" si="22"/>
        <v>#N/A</v>
      </c>
      <c r="CU35" s="112" t="e">
        <f t="shared" ca="1" si="74"/>
        <v>#N/A</v>
      </c>
      <c r="CV35" s="97" t="e">
        <f t="shared" ca="1" si="23"/>
        <v>#N/A</v>
      </c>
      <c r="CW35" s="100" cm="1">
        <f t="array" aca="1" ref="CW35" ca="1">IF(N35="vd",_xlfn.XLOOKUP(B35,INDIRECT("'"&amp;$A$1&amp;"'!"&amp;$AK$1&amp;"[pam_code]"),INDIRECT("'"&amp;$A$1&amp;"'!"&amp;$AK$1&amp;"[verdict_expense_balance]")),
IF(N35="sold",W35,0))</f>
        <v>0</v>
      </c>
      <c r="CX35" s="100" t="e">
        <f t="shared" ca="1" si="24"/>
        <v>#N/A</v>
      </c>
      <c r="CY35" s="96" t="e">
        <f t="shared" ca="1" si="99"/>
        <v>#N/A</v>
      </c>
      <c r="CZ35" s="100" t="e">
        <f t="shared" ca="1" si="25"/>
        <v>#N/A</v>
      </c>
      <c r="DA35" s="100">
        <f t="shared" si="26"/>
        <v>0</v>
      </c>
      <c r="DB35" s="100" t="e">
        <f t="shared" ca="1" si="27"/>
        <v>#N/A</v>
      </c>
      <c r="DC35" s="96" t="e">
        <f t="shared" ca="1" si="28"/>
        <v>#N/A</v>
      </c>
      <c r="DD35" s="100" t="e">
        <f t="shared" ca="1" si="29"/>
        <v>#N/A</v>
      </c>
      <c r="DE35" s="100" t="e">
        <f t="shared" ca="1" si="58"/>
        <v>#N/A</v>
      </c>
      <c r="DF35"/>
      <c r="DG35" s="252"/>
      <c r="DH35" s="252"/>
      <c r="DI35" s="234">
        <f t="shared" si="59"/>
        <v>0</v>
      </c>
      <c r="DJ35" s="234">
        <f t="shared" si="60"/>
        <v>0</v>
      </c>
      <c r="DK35" s="234">
        <f t="shared" si="61"/>
        <v>0</v>
      </c>
      <c r="DL35" s="234">
        <f t="shared" si="62"/>
        <v>0</v>
      </c>
      <c r="DM35" s="234">
        <f t="shared" si="63"/>
        <v>0</v>
      </c>
      <c r="DN35" s="235">
        <f t="shared" si="64"/>
        <v>0</v>
      </c>
      <c r="DO35" s="236">
        <f t="shared" si="32"/>
        <v>0</v>
      </c>
      <c r="DP35" s="245">
        <f t="shared" si="65"/>
        <v>0</v>
      </c>
      <c r="DQ35" s="235"/>
      <c r="DR35" s="237">
        <f t="shared" si="33"/>
        <v>0</v>
      </c>
      <c r="DS35" s="237" t="e">
        <f t="shared" ca="1" si="66"/>
        <v>#N/A</v>
      </c>
      <c r="DT35" s="237" t="e">
        <f t="shared" ca="1" si="67"/>
        <v>#N/A</v>
      </c>
      <c r="DU35" s="237" t="e">
        <f t="shared" ca="1" si="75"/>
        <v>#N/A</v>
      </c>
      <c r="DV35" s="237" t="e">
        <f t="shared" ca="1" si="76"/>
        <v>#N/A</v>
      </c>
      <c r="DW35" s="241" t="e">
        <f t="shared" ca="1" si="34"/>
        <v>#N/A</v>
      </c>
      <c r="DX35" s="238" t="e">
        <f t="shared" ca="1" si="35"/>
        <v>#N/A</v>
      </c>
      <c r="DY35" s="237" t="e" cm="1">
        <f t="array" aca="1" ref="DY35" ca="1">_xlfn.UNIQUE(IF(CI35=0,DZ34,IF(N35="repo",DZ34,IF(N35="sold",DT35,IF(ISERR(_xlfn._xlws.FILTER($N$7:N35,$N$7:N35="sold")),MIN(DT35*DW35,DZ34),0)))))</f>
        <v>#N/A</v>
      </c>
      <c r="DZ35" s="237" t="e" cm="1">
        <f t="array" aca="1" ref="DZ35" ca="1">_xlfn.UNIQUE(IF(N35="aq",DQ35,IF(N35="sold",_xlfn._xlws.FILTER($DY$7:DY35,$N$7:N35="repo"),IF(ISERR(_xlfn._xlws.FILTER($N$7:N35,$N$7:N35="sold")),DZ34-DY35,0))))</f>
        <v>#N/A</v>
      </c>
      <c r="EA35" s="237" t="e" cm="1">
        <f t="array" aca="1" ref="EA35" ca="1">IF(OR(N35="repo",IFERROR(_xlfn._xlws.FILTER($N$7:N35,$N$7:N35="sold")="sold",FALSE)),0,DP35*DZ34*(DX35/365))</f>
        <v>#N/A</v>
      </c>
      <c r="EB35" s="237" t="e">
        <f t="shared" ca="1" si="36"/>
        <v>#N/A</v>
      </c>
      <c r="EC35" s="237" t="e">
        <f t="shared" ca="1" si="68"/>
        <v>#N/A</v>
      </c>
      <c r="ED35" s="237" cm="1">
        <f t="array" aca="1" ref="ED35" ca="1">_xlfn.IFS(N35="repo",0,N35="sold",DY35-DZ35,N35&lt;&gt;"",DT35-DY35-EB35,N35="",0)</f>
        <v>0</v>
      </c>
      <c r="EE35" s="237" t="e">
        <f t="shared" ca="1" si="37"/>
        <v>#N/A</v>
      </c>
      <c r="EF35" s="237" t="e">
        <f t="shared" ca="1" si="69"/>
        <v>#N/A</v>
      </c>
      <c r="EG35" s="237" t="e">
        <f t="shared" ca="1" si="38"/>
        <v>#N/A</v>
      </c>
    </row>
    <row r="36" spans="2:137" x14ac:dyDescent="0.3">
      <c r="B36" s="83"/>
      <c r="C36" s="83"/>
      <c r="D36" s="84"/>
      <c r="E36" s="84"/>
      <c r="F36" s="84"/>
      <c r="G36" s="84"/>
      <c r="H36" s="84"/>
      <c r="I36" s="84"/>
      <c r="J36" s="85"/>
      <c r="K36" s="85"/>
      <c r="L36" s="113"/>
      <c r="M36" s="87"/>
      <c r="N36" s="191"/>
      <c r="O36" s="272"/>
      <c r="P36" s="184"/>
      <c r="Q36" s="124"/>
      <c r="R36" s="124"/>
      <c r="S36" s="114"/>
      <c r="T36" s="90"/>
      <c r="U36"/>
      <c r="V36" s="90"/>
      <c r="W36" s="260"/>
      <c r="X36" s="260"/>
      <c r="Y36" s="89"/>
      <c r="Z36" s="91"/>
      <c r="AA36" s="97" t="e" cm="1">
        <f t="array" aca="1" ref="AA36" ca="1">IF(N36="vd",_xlfn.XLOOKUP(B36,INDIRECT("'"&amp;$A$1&amp;"'!"&amp;$AK$1&amp;"[pam_code]"),INDIRECT("'"&amp;$A$1&amp;"'!"&amp;$AK$1&amp;"[int_rate]")),AA35)</f>
        <v>#N/A</v>
      </c>
      <c r="AB36" s="116" t="e" cm="1">
        <f t="array" aca="1" ref="AB36" ca="1">IF(N36="vd",_xlfn.XLOOKUP(B36,INDIRECT("'"&amp;$A$1&amp;"'!"&amp;$AK$1&amp;"[pam_code]"),INDIRECT("'"&amp;$A$1&amp;"'!"&amp;$AK$1&amp;"[eir_rate]")),AB35)</f>
        <v>#N/A</v>
      </c>
      <c r="AC36" s="117" t="e">
        <f t="shared" ca="1" si="39"/>
        <v>#N/A</v>
      </c>
      <c r="AD36" s="93" cm="1">
        <f t="array" aca="1" ref="AD36" ca="1">IFERROR(_xlfn.IFS(G35="jm_vat",(BT35+BW35+CC35)/CG35,G35="npl_vat",(BQ35+BZ35)/CG35,G35="cm_vat",(BT35+BW35+BZ35)/CG35,ISNUMBER(FIND("_all_vat",G36)),CF35/CG35,NOT(ISNUMBER(FIND("_vat",G36))),0,G35=0,0,AND(N36="sold",$DG$7="hp"),0),0)</f>
        <v>0</v>
      </c>
      <c r="AE36" s="94" t="e">
        <f t="shared" ca="1" si="0"/>
        <v>#N/A</v>
      </c>
      <c r="AF36" s="94" t="e">
        <f t="shared" ca="1" si="1"/>
        <v>#N/A</v>
      </c>
      <c r="AG36" s="95">
        <f t="shared" ca="1" si="2"/>
        <v>0</v>
      </c>
      <c r="AH36" s="95">
        <f t="shared" ca="1" si="3"/>
        <v>0</v>
      </c>
      <c r="AK36" s="100" cm="1">
        <f t="array" aca="1" ref="AK36" ca="1">IF(N36="vd",_xlfn.XLOOKUP($B$4,INDIRECT("'"&amp;$A$1&amp;"'!"&amp;$AK$1&amp;"[pam_code]"),INDIRECT("'"&amp;$A$1&amp;"'!"&amp;$AK$1&amp;"[verdict_expense_balance]")),
IF(N36="sold",W36,0))</f>
        <v>0</v>
      </c>
      <c r="AL36" s="96" t="e">
        <f t="shared" ca="1" si="4"/>
        <v>#N/A</v>
      </c>
      <c r="AM36" s="96" t="e">
        <f t="shared" ca="1" si="82"/>
        <v>#N/A</v>
      </c>
      <c r="AN36" s="97" t="e">
        <f t="shared" ca="1" si="40"/>
        <v>#N/A</v>
      </c>
      <c r="AO36" s="98">
        <f t="shared" si="5"/>
        <v>0</v>
      </c>
      <c r="AP36" s="99" t="e">
        <f t="shared" ca="1" si="83"/>
        <v>#N/A</v>
      </c>
      <c r="AQ36" s="96">
        <f t="shared" si="6"/>
        <v>0</v>
      </c>
      <c r="AR36" s="96" t="e">
        <f t="shared" ca="1" si="84"/>
        <v>#N/A</v>
      </c>
      <c r="AS36" s="100">
        <f t="shared" si="85"/>
        <v>0</v>
      </c>
      <c r="AT36" s="96" t="e">
        <f t="shared" ca="1" si="7"/>
        <v>#N/A</v>
      </c>
      <c r="AU36" s="96" t="e">
        <f t="shared" ca="1" si="86"/>
        <v>#N/A</v>
      </c>
      <c r="AV36" s="118"/>
      <c r="AW36" s="100" t="e">
        <f t="shared" ca="1" si="8"/>
        <v>#N/A</v>
      </c>
      <c r="AX36" s="118"/>
      <c r="AY36" s="100"/>
      <c r="BB36" s="100" cm="1">
        <f t="array" aca="1" ref="BB36" ca="1">IF(N36="vd",_xlfn.XLOOKUP(B36,INDIRECT("'"&amp;$A$1&amp;"'!"&amp;$AK$1&amp;"[pam_code]"),INDIRECT("'"&amp;$A$1&amp;"'!"&amp;$AK$1&amp;"[verdict_expense_balance]")),
IF(N36="sold",W36,0))</f>
        <v>0</v>
      </c>
      <c r="BC36" s="100" t="e">
        <f t="shared" ca="1" si="9"/>
        <v>#N/A</v>
      </c>
      <c r="BD36" s="96" t="e">
        <f t="shared" ca="1" si="87"/>
        <v>#N/A</v>
      </c>
      <c r="BE36" s="100" cm="1">
        <f t="array" aca="1" ref="BE36" ca="1">IF(N36="vd",_xlfn.XLOOKUP(B36,INDIRECT("'"&amp;$A$1&amp;"'!"&amp;$AK$1&amp;"[pam_code]"),INDIRECT("'"&amp;$A$1&amp;"'!"&amp;$AK$1&amp;"[verdict_outlay_balance]")),0)</f>
        <v>0</v>
      </c>
      <c r="BF36" s="100" t="e">
        <f t="shared" ca="1" si="10"/>
        <v>#N/A</v>
      </c>
      <c r="BG36" s="96" t="e">
        <f t="shared" ca="1" si="88"/>
        <v>#N/A</v>
      </c>
      <c r="BH36" s="100" cm="1">
        <f t="array" aca="1" ref="BH36" ca="1">IF(N36="vd",_xlfn.XLOOKUP(B36,INDIRECT("'"&amp;$A$1&amp;"'!"&amp;$AK$1&amp;"[pam_code]"),INDIRECT("'"&amp;$A$1&amp;"'!"&amp;$AK$1&amp;"[verdict_loss_balance]")),0)</f>
        <v>0</v>
      </c>
      <c r="BI36" s="100" t="e">
        <f t="shared" ca="1" si="11"/>
        <v>#N/A</v>
      </c>
      <c r="BJ36" s="96" t="e">
        <f t="shared" ca="1" si="89"/>
        <v>#N/A</v>
      </c>
      <c r="BK36" s="100" cm="1">
        <f t="array" aca="1" ref="BK36" ca="1">IF(N36="vd",_xlfn.XLOOKUP(B36,INDIRECT("'"&amp;$A$1&amp;"'!"&amp;$AK$1&amp;"[pam_code]"),INDIRECT("'"&amp;$A$1&amp;"'!"&amp;$AK$1&amp;"[verdict_penalty_balance]")),0)</f>
        <v>0</v>
      </c>
      <c r="BL36" s="100" t="e">
        <f t="shared" ca="1" si="12"/>
        <v>#N/A</v>
      </c>
      <c r="BM36" s="96" t="e">
        <f t="shared" ca="1" si="90"/>
        <v>#N/A</v>
      </c>
      <c r="BN36" s="102">
        <f t="shared" si="13"/>
        <v>0</v>
      </c>
      <c r="BO36" s="119" cm="1">
        <f t="array" aca="1" ref="BO36" ca="1">IF(N36="vd",_xlfn.XLOOKUP(B36,INDIRECT("'"&amp;$A$1&amp;"'!"&amp;$AK$1&amp;"[pam_code]"),INDIRECT("'"&amp;$A$1&amp;"'!"&amp;$AK$1&amp;"[verdict_oldinterest_balance]")),IF(N36="add",Z36,0))</f>
        <v>0</v>
      </c>
      <c r="BP36" s="104" t="e">
        <f t="shared" ca="1" si="14"/>
        <v>#N/A</v>
      </c>
      <c r="BQ36" s="105" t="e">
        <f t="shared" ca="1" si="91"/>
        <v>#N/A</v>
      </c>
      <c r="BR36" s="100" cm="1">
        <f t="array" aca="1" ref="BR36" ca="1">IF(N36="vd",_xlfn.XLOOKUP(B36,INDIRECT("'"&amp;$A$1&amp;"'!"&amp;$AK$1&amp;"[pam_code]"),INDIRECT("'"&amp;$A$1&amp;"'!"&amp;$AK$1&amp;"[verdict_opportunitycost_balance]")),0)</f>
        <v>0</v>
      </c>
      <c r="BS36" s="106" t="e">
        <f t="shared" ca="1" si="15"/>
        <v>#N/A</v>
      </c>
      <c r="BT36" s="96" t="e">
        <f t="shared" ca="1" si="92"/>
        <v>#N/A</v>
      </c>
      <c r="BU36" s="109" cm="1">
        <f t="array" aca="1" ref="BU36" ca="1">IF(N36="vd",_xlfn.XLOOKUP(B36,INDIRECT("'"&amp;$A$1&amp;"'!"&amp;$AK$1&amp;"[pam_code]"),INDIRECT("'"&amp;$A$1&amp;"'!"&amp;$AK$1&amp;"[verdict_oldcharge_balance]")),0)</f>
        <v>0</v>
      </c>
      <c r="BV36" s="108" t="e">
        <f t="shared" ca="1" si="16"/>
        <v>#N/A</v>
      </c>
      <c r="BW36" s="109" t="e">
        <f t="shared" ca="1" si="93"/>
        <v>#N/A</v>
      </c>
      <c r="BX36" s="109" cm="1">
        <f t="array" aca="1" ref="BX36" ca="1">IF(N36="vd",_xlfn.XLOOKUP(B36,INDIRECT("'"&amp;$A$1&amp;"'!"&amp;$AK$1&amp;"[pam_code]"),INDIRECT("'"&amp;$A$1&amp;"'!"&amp;$AK$1&amp;"[verdict_principal_balance]")),0)</f>
        <v>0</v>
      </c>
      <c r="BY36" s="109" t="e">
        <f t="shared" ca="1" si="17"/>
        <v>#N/A</v>
      </c>
      <c r="BZ36" s="109" t="e">
        <f t="shared" ca="1" si="94"/>
        <v>#N/A</v>
      </c>
      <c r="CA36" s="109" cm="1">
        <f t="array" aca="1" ref="CA36" ca="1">IF(N36="vd",_xlfn.XLOOKUP(B36,INDIRECT("'"&amp;$A$1&amp;"'!"&amp;$AK$1&amp;"[pam_code]"),INDIRECT("'"&amp;$A$1&amp;"'!"&amp;$AK$1&amp;"[verdict_replacement_balance]")),0)</f>
        <v>0</v>
      </c>
      <c r="CB36" s="108" t="e">
        <f t="shared" ca="1" si="18"/>
        <v>#N/A</v>
      </c>
      <c r="CC36" s="109" t="e">
        <f t="shared" ca="1" si="95"/>
        <v>#N/A</v>
      </c>
      <c r="CD36" s="109" cm="1">
        <f t="array" aca="1" ref="CD36" ca="1">IF(N36="vd",_xlfn.XLOOKUP(B36,INDIRECT("'"&amp;$A$1&amp;"'!"&amp;$AK$1&amp;"[pam_code]"),INDIRECT("'"&amp;$A$1&amp;"'!"&amp;$AK$1&amp;"[verdict_all_balance]")),0)</f>
        <v>0</v>
      </c>
      <c r="CE36" s="109" t="e">
        <f t="shared" ca="1" si="19"/>
        <v>#N/A</v>
      </c>
      <c r="CF36" s="109" t="e">
        <f t="shared" ca="1" si="96"/>
        <v>#N/A</v>
      </c>
      <c r="CG36" s="109" t="e">
        <f t="shared" ca="1" si="51"/>
        <v>#N/A</v>
      </c>
      <c r="CH36" s="109">
        <f t="shared" si="52"/>
        <v>0</v>
      </c>
      <c r="CI36" s="109" t="e">
        <f t="shared" ca="1" si="53"/>
        <v>#N/A</v>
      </c>
      <c r="CJ36" s="109">
        <f t="shared" si="97"/>
        <v>0</v>
      </c>
      <c r="CK36" s="109">
        <f t="shared" si="55"/>
        <v>0</v>
      </c>
      <c r="CL36" s="230" t="str">
        <f t="shared" si="72"/>
        <v>No information</v>
      </c>
      <c r="CM36" s="109" t="e">
        <f t="shared" ca="1" si="56"/>
        <v>#N/A</v>
      </c>
      <c r="CN36" s="109" t="e">
        <f t="shared" ca="1" si="20"/>
        <v>#N/A</v>
      </c>
      <c r="CO36" s="90" t="e">
        <f t="shared" ca="1" si="21"/>
        <v>#N/A</v>
      </c>
      <c r="CQ36" s="96" t="e">
        <f t="shared" ca="1" si="73"/>
        <v>#N/A</v>
      </c>
      <c r="CR36" s="100" t="e">
        <f t="shared" ref="CR36:CS36" ca="1" si="110">CR35</f>
        <v>#N/A</v>
      </c>
      <c r="CS36" s="120" t="e">
        <f t="shared" ca="1" si="110"/>
        <v>#N/A</v>
      </c>
      <c r="CT36" s="112" t="e">
        <f t="shared" ca="1" si="22"/>
        <v>#N/A</v>
      </c>
      <c r="CU36" s="112" t="e">
        <f t="shared" ca="1" si="74"/>
        <v>#N/A</v>
      </c>
      <c r="CV36" s="97" t="e">
        <f t="shared" ca="1" si="23"/>
        <v>#N/A</v>
      </c>
      <c r="CW36" s="100" cm="1">
        <f t="array" aca="1" ref="CW36" ca="1">IF(N36="vd",_xlfn.XLOOKUP(B36,INDIRECT("'"&amp;$A$1&amp;"'!"&amp;$AK$1&amp;"[pam_code]"),INDIRECT("'"&amp;$A$1&amp;"'!"&amp;$AK$1&amp;"[verdict_expense_balance]")),
IF(N36="sold",W36,0))</f>
        <v>0</v>
      </c>
      <c r="CX36" s="100" t="e">
        <f t="shared" ca="1" si="24"/>
        <v>#N/A</v>
      </c>
      <c r="CY36" s="96" t="e">
        <f t="shared" ca="1" si="99"/>
        <v>#N/A</v>
      </c>
      <c r="CZ36" s="100" t="e">
        <f t="shared" ca="1" si="25"/>
        <v>#N/A</v>
      </c>
      <c r="DA36" s="100">
        <f t="shared" si="26"/>
        <v>0</v>
      </c>
      <c r="DB36" s="100" t="e">
        <f t="shared" ca="1" si="27"/>
        <v>#N/A</v>
      </c>
      <c r="DC36" s="96" t="e">
        <f t="shared" ca="1" si="28"/>
        <v>#N/A</v>
      </c>
      <c r="DD36" s="100" t="e">
        <f t="shared" ca="1" si="29"/>
        <v>#N/A</v>
      </c>
      <c r="DE36" s="100" t="e">
        <f t="shared" ca="1" si="58"/>
        <v>#N/A</v>
      </c>
      <c r="DF36"/>
      <c r="DG36" s="252"/>
      <c r="DH36" s="252"/>
      <c r="DI36" s="234">
        <f t="shared" si="59"/>
        <v>0</v>
      </c>
      <c r="DJ36" s="234">
        <f t="shared" si="60"/>
        <v>0</v>
      </c>
      <c r="DK36" s="234">
        <f t="shared" si="61"/>
        <v>0</v>
      </c>
      <c r="DL36" s="234">
        <f t="shared" si="62"/>
        <v>0</v>
      </c>
      <c r="DM36" s="234">
        <f t="shared" si="63"/>
        <v>0</v>
      </c>
      <c r="DN36" s="235">
        <f t="shared" si="64"/>
        <v>0</v>
      </c>
      <c r="DO36" s="236">
        <f t="shared" si="32"/>
        <v>0</v>
      </c>
      <c r="DP36" s="245">
        <f t="shared" si="65"/>
        <v>0</v>
      </c>
      <c r="DQ36" s="235"/>
      <c r="DR36" s="237">
        <f t="shared" si="33"/>
        <v>0</v>
      </c>
      <c r="DS36" s="237" t="e">
        <f t="shared" ca="1" si="66"/>
        <v>#N/A</v>
      </c>
      <c r="DT36" s="237" t="e">
        <f t="shared" ca="1" si="67"/>
        <v>#N/A</v>
      </c>
      <c r="DU36" s="237" t="e">
        <f t="shared" ca="1" si="75"/>
        <v>#N/A</v>
      </c>
      <c r="DV36" s="237" t="e">
        <f t="shared" ca="1" si="76"/>
        <v>#N/A</v>
      </c>
      <c r="DW36" s="241" t="e">
        <f t="shared" ca="1" si="34"/>
        <v>#N/A</v>
      </c>
      <c r="DX36" s="238" t="e">
        <f t="shared" ca="1" si="35"/>
        <v>#N/A</v>
      </c>
      <c r="DY36" s="237" t="e" cm="1">
        <f t="array" aca="1" ref="DY36" ca="1">_xlfn.UNIQUE(IF(CI36=0,DZ35,IF(N36="repo",DZ35,IF(N36="sold",DT36,IF(ISERR(_xlfn._xlws.FILTER($N$7:N36,$N$7:N36="sold")),MIN(DT36*DW36,DZ35),0)))))</f>
        <v>#N/A</v>
      </c>
      <c r="DZ36" s="237" t="e" cm="1">
        <f t="array" aca="1" ref="DZ36" ca="1">_xlfn.UNIQUE(IF(N36="aq",DQ36,IF(N36="sold",_xlfn._xlws.FILTER($DY$7:DY36,$N$7:N36="repo"),IF(ISERR(_xlfn._xlws.FILTER($N$7:N36,$N$7:N36="sold")),DZ35-DY36,0))))</f>
        <v>#N/A</v>
      </c>
      <c r="EA36" s="237" t="e" cm="1">
        <f t="array" aca="1" ref="EA36" ca="1">IF(OR(N36="repo",IFERROR(_xlfn._xlws.FILTER($N$7:N36,$N$7:N36="sold")="sold",FALSE)),0,DP36*DZ35*(DX36/365))</f>
        <v>#N/A</v>
      </c>
      <c r="EB36" s="237" t="e">
        <f t="shared" ca="1" si="36"/>
        <v>#N/A</v>
      </c>
      <c r="EC36" s="237" t="e">
        <f t="shared" ca="1" si="68"/>
        <v>#N/A</v>
      </c>
      <c r="ED36" s="237" cm="1">
        <f t="array" aca="1" ref="ED36" ca="1">_xlfn.IFS(N36="repo",0,N36="sold",DY36-DZ36,N36&lt;&gt;"",DT36-DY36-EB36,N36="",0)</f>
        <v>0</v>
      </c>
      <c r="EE36" s="237" t="e">
        <f t="shared" ca="1" si="37"/>
        <v>#N/A</v>
      </c>
      <c r="EF36" s="237" t="e">
        <f t="shared" ca="1" si="69"/>
        <v>#N/A</v>
      </c>
      <c r="EG36" s="237" t="e">
        <f t="shared" ca="1" si="38"/>
        <v>#N/A</v>
      </c>
    </row>
    <row r="37" spans="2:137" x14ac:dyDescent="0.3">
      <c r="B37" s="83"/>
      <c r="C37" s="83"/>
      <c r="D37" s="84"/>
      <c r="E37" s="84"/>
      <c r="F37" s="84"/>
      <c r="G37" s="84"/>
      <c r="H37" s="84"/>
      <c r="I37" s="84"/>
      <c r="J37" s="85"/>
      <c r="K37" s="85"/>
      <c r="L37" s="113"/>
      <c r="M37" s="87"/>
      <c r="N37" s="191"/>
      <c r="O37" s="272"/>
      <c r="P37" s="184"/>
      <c r="Q37" s="124"/>
      <c r="R37" s="124"/>
      <c r="S37" s="114"/>
      <c r="T37" s="90"/>
      <c r="U37"/>
      <c r="V37" s="90"/>
      <c r="W37" s="260"/>
      <c r="X37" s="260"/>
      <c r="Y37" s="89"/>
      <c r="Z37" s="91"/>
      <c r="AA37" s="97" t="e" cm="1">
        <f t="array" aca="1" ref="AA37" ca="1">IF(N37="vd",_xlfn.XLOOKUP(B37,INDIRECT("'"&amp;$A$1&amp;"'!"&amp;$AK$1&amp;"[pam_code]"),INDIRECT("'"&amp;$A$1&amp;"'!"&amp;$AK$1&amp;"[int_rate]")),AA36)</f>
        <v>#N/A</v>
      </c>
      <c r="AB37" s="116" t="e" cm="1">
        <f t="array" aca="1" ref="AB37" ca="1">IF(N37="vd",_xlfn.XLOOKUP(B37,INDIRECT("'"&amp;$A$1&amp;"'!"&amp;$AK$1&amp;"[pam_code]"),INDIRECT("'"&amp;$A$1&amp;"'!"&amp;$AK$1&amp;"[eir_rate]")),AB36)</f>
        <v>#N/A</v>
      </c>
      <c r="AC37" s="117" t="e">
        <f t="shared" ca="1" si="39"/>
        <v>#N/A</v>
      </c>
      <c r="AD37" s="93" cm="1">
        <f t="array" aca="1" ref="AD37" ca="1">IFERROR(_xlfn.IFS(G36="jm_vat",(BT36+BW36+CC36)/CG36,G36="npl_vat",(BQ36+BZ36)/CG36,G36="cm_vat",(BT36+BW36+BZ36)/CG36,ISNUMBER(FIND("_all_vat",G37)),CF36/CG36,NOT(ISNUMBER(FIND("_vat",G37))),0,G36=0,0,AND(N37="sold",$DG$7="hp"),0),0)</f>
        <v>0</v>
      </c>
      <c r="AE37" s="94" t="e">
        <f t="shared" ca="1" si="0"/>
        <v>#N/A</v>
      </c>
      <c r="AF37" s="94" t="e">
        <f t="shared" ca="1" si="1"/>
        <v>#N/A</v>
      </c>
      <c r="AG37" s="95">
        <f t="shared" ca="1" si="2"/>
        <v>0</v>
      </c>
      <c r="AH37" s="95">
        <f t="shared" ca="1" si="3"/>
        <v>0</v>
      </c>
      <c r="AK37" s="100" cm="1">
        <f t="array" aca="1" ref="AK37" ca="1">IF(N37="vd",_xlfn.XLOOKUP($B$4,INDIRECT("'"&amp;$A$1&amp;"'!"&amp;$AK$1&amp;"[pam_code]"),INDIRECT("'"&amp;$A$1&amp;"'!"&amp;$AK$1&amp;"[verdict_expense_balance]")),
IF(N37="sold",W37,0))</f>
        <v>0</v>
      </c>
      <c r="AL37" s="96" t="e">
        <f t="shared" ca="1" si="4"/>
        <v>#N/A</v>
      </c>
      <c r="AM37" s="96" t="e">
        <f t="shared" ca="1" si="82"/>
        <v>#N/A</v>
      </c>
      <c r="AN37" s="97" t="e">
        <f t="shared" ca="1" si="40"/>
        <v>#N/A</v>
      </c>
      <c r="AO37" s="98">
        <f t="shared" si="5"/>
        <v>0</v>
      </c>
      <c r="AP37" s="99" t="e">
        <f t="shared" ca="1" si="83"/>
        <v>#N/A</v>
      </c>
      <c r="AQ37" s="96">
        <f t="shared" si="6"/>
        <v>0</v>
      </c>
      <c r="AR37" s="96" t="e">
        <f t="shared" ca="1" si="84"/>
        <v>#N/A</v>
      </c>
      <c r="AS37" s="100">
        <f t="shared" si="85"/>
        <v>0</v>
      </c>
      <c r="AT37" s="96" t="e">
        <f t="shared" ca="1" si="7"/>
        <v>#N/A</v>
      </c>
      <c r="AU37" s="96" t="e">
        <f t="shared" ca="1" si="86"/>
        <v>#N/A</v>
      </c>
      <c r="AV37" s="118"/>
      <c r="AW37" s="100" t="e">
        <f t="shared" ca="1" si="8"/>
        <v>#N/A</v>
      </c>
      <c r="AX37" s="118"/>
      <c r="AY37" s="100"/>
      <c r="BB37" s="100" cm="1">
        <f t="array" aca="1" ref="BB37" ca="1">IF(N37="vd",_xlfn.XLOOKUP(B37,INDIRECT("'"&amp;$A$1&amp;"'!"&amp;$AK$1&amp;"[pam_code]"),INDIRECT("'"&amp;$A$1&amp;"'!"&amp;$AK$1&amp;"[verdict_expense_balance]")),
IF(N37="sold",W37,0))</f>
        <v>0</v>
      </c>
      <c r="BC37" s="100" t="e">
        <f t="shared" ca="1" si="9"/>
        <v>#N/A</v>
      </c>
      <c r="BD37" s="96" t="e">
        <f t="shared" ca="1" si="87"/>
        <v>#N/A</v>
      </c>
      <c r="BE37" s="100" cm="1">
        <f t="array" aca="1" ref="BE37" ca="1">IF(N37="vd",_xlfn.XLOOKUP(B37,INDIRECT("'"&amp;$A$1&amp;"'!"&amp;$AK$1&amp;"[pam_code]"),INDIRECT("'"&amp;$A$1&amp;"'!"&amp;$AK$1&amp;"[verdict_outlay_balance]")),0)</f>
        <v>0</v>
      </c>
      <c r="BF37" s="100" t="e">
        <f t="shared" ca="1" si="10"/>
        <v>#N/A</v>
      </c>
      <c r="BG37" s="96" t="e">
        <f t="shared" ca="1" si="88"/>
        <v>#N/A</v>
      </c>
      <c r="BH37" s="100" cm="1">
        <f t="array" aca="1" ref="BH37" ca="1">IF(N37="vd",_xlfn.XLOOKUP(B37,INDIRECT("'"&amp;$A$1&amp;"'!"&amp;$AK$1&amp;"[pam_code]"),INDIRECT("'"&amp;$A$1&amp;"'!"&amp;$AK$1&amp;"[verdict_loss_balance]")),0)</f>
        <v>0</v>
      </c>
      <c r="BI37" s="100" t="e">
        <f t="shared" ca="1" si="11"/>
        <v>#N/A</v>
      </c>
      <c r="BJ37" s="96" t="e">
        <f t="shared" ca="1" si="89"/>
        <v>#N/A</v>
      </c>
      <c r="BK37" s="100" cm="1">
        <f t="array" aca="1" ref="BK37" ca="1">IF(N37="vd",_xlfn.XLOOKUP(B37,INDIRECT("'"&amp;$A$1&amp;"'!"&amp;$AK$1&amp;"[pam_code]"),INDIRECT("'"&amp;$A$1&amp;"'!"&amp;$AK$1&amp;"[verdict_penalty_balance]")),0)</f>
        <v>0</v>
      </c>
      <c r="BL37" s="100" t="e">
        <f t="shared" ca="1" si="12"/>
        <v>#N/A</v>
      </c>
      <c r="BM37" s="96" t="e">
        <f t="shared" ca="1" si="90"/>
        <v>#N/A</v>
      </c>
      <c r="BN37" s="102">
        <f t="shared" si="13"/>
        <v>0</v>
      </c>
      <c r="BO37" s="119" cm="1">
        <f t="array" aca="1" ref="BO37" ca="1">IF(N37="vd",_xlfn.XLOOKUP(B37,INDIRECT("'"&amp;$A$1&amp;"'!"&amp;$AK$1&amp;"[pam_code]"),INDIRECT("'"&amp;$A$1&amp;"'!"&amp;$AK$1&amp;"[verdict_oldinterest_balance]")),IF(N37="add",Z37,0))</f>
        <v>0</v>
      </c>
      <c r="BP37" s="104" t="e">
        <f t="shared" ca="1" si="14"/>
        <v>#N/A</v>
      </c>
      <c r="BQ37" s="105" t="e">
        <f t="shared" ca="1" si="91"/>
        <v>#N/A</v>
      </c>
      <c r="BR37" s="100" cm="1">
        <f t="array" aca="1" ref="BR37" ca="1">IF(N37="vd",_xlfn.XLOOKUP(B37,INDIRECT("'"&amp;$A$1&amp;"'!"&amp;$AK$1&amp;"[pam_code]"),INDIRECT("'"&amp;$A$1&amp;"'!"&amp;$AK$1&amp;"[verdict_opportunitycost_balance]")),0)</f>
        <v>0</v>
      </c>
      <c r="BS37" s="106" t="e">
        <f t="shared" ca="1" si="15"/>
        <v>#N/A</v>
      </c>
      <c r="BT37" s="96" t="e">
        <f t="shared" ca="1" si="92"/>
        <v>#N/A</v>
      </c>
      <c r="BU37" s="109" cm="1">
        <f t="array" aca="1" ref="BU37" ca="1">IF(N37="vd",_xlfn.XLOOKUP(B37,INDIRECT("'"&amp;$A$1&amp;"'!"&amp;$AK$1&amp;"[pam_code]"),INDIRECT("'"&amp;$A$1&amp;"'!"&amp;$AK$1&amp;"[verdict_oldcharge_balance]")),0)</f>
        <v>0</v>
      </c>
      <c r="BV37" s="108" t="e">
        <f t="shared" ca="1" si="16"/>
        <v>#N/A</v>
      </c>
      <c r="BW37" s="109" t="e">
        <f t="shared" ca="1" si="93"/>
        <v>#N/A</v>
      </c>
      <c r="BX37" s="109" cm="1">
        <f t="array" aca="1" ref="BX37" ca="1">IF(N37="vd",_xlfn.XLOOKUP(B37,INDIRECT("'"&amp;$A$1&amp;"'!"&amp;$AK$1&amp;"[pam_code]"),INDIRECT("'"&amp;$A$1&amp;"'!"&amp;$AK$1&amp;"[verdict_principal_balance]")),0)</f>
        <v>0</v>
      </c>
      <c r="BY37" s="109" t="e">
        <f t="shared" ca="1" si="17"/>
        <v>#N/A</v>
      </c>
      <c r="BZ37" s="109" t="e">
        <f t="shared" ca="1" si="94"/>
        <v>#N/A</v>
      </c>
      <c r="CA37" s="109" cm="1">
        <f t="array" aca="1" ref="CA37" ca="1">IF(N37="vd",_xlfn.XLOOKUP(B37,INDIRECT("'"&amp;$A$1&amp;"'!"&amp;$AK$1&amp;"[pam_code]"),INDIRECT("'"&amp;$A$1&amp;"'!"&amp;$AK$1&amp;"[verdict_replacement_balance]")),0)</f>
        <v>0</v>
      </c>
      <c r="CB37" s="108" t="e">
        <f t="shared" ca="1" si="18"/>
        <v>#N/A</v>
      </c>
      <c r="CC37" s="109" t="e">
        <f t="shared" ca="1" si="95"/>
        <v>#N/A</v>
      </c>
      <c r="CD37" s="109" cm="1">
        <f t="array" aca="1" ref="CD37" ca="1">IF(N37="vd",_xlfn.XLOOKUP(B37,INDIRECT("'"&amp;$A$1&amp;"'!"&amp;$AK$1&amp;"[pam_code]"),INDIRECT("'"&amp;$A$1&amp;"'!"&amp;$AK$1&amp;"[verdict_all_balance]")),0)</f>
        <v>0</v>
      </c>
      <c r="CE37" s="109" t="e">
        <f t="shared" ca="1" si="19"/>
        <v>#N/A</v>
      </c>
      <c r="CF37" s="109" t="e">
        <f t="shared" ca="1" si="96"/>
        <v>#N/A</v>
      </c>
      <c r="CG37" s="109" t="e">
        <f t="shared" ca="1" si="51"/>
        <v>#N/A</v>
      </c>
      <c r="CH37" s="109">
        <f t="shared" si="52"/>
        <v>0</v>
      </c>
      <c r="CI37" s="109" t="e">
        <f t="shared" ca="1" si="53"/>
        <v>#N/A</v>
      </c>
      <c r="CJ37" s="109">
        <f t="shared" si="97"/>
        <v>0</v>
      </c>
      <c r="CK37" s="109">
        <f t="shared" si="55"/>
        <v>0</v>
      </c>
      <c r="CL37" s="230" t="str">
        <f t="shared" si="72"/>
        <v>No information</v>
      </c>
      <c r="CM37" s="109" t="e">
        <f t="shared" ca="1" si="56"/>
        <v>#N/A</v>
      </c>
      <c r="CN37" s="109" t="e">
        <f t="shared" ca="1" si="20"/>
        <v>#N/A</v>
      </c>
      <c r="CO37" s="90" t="e">
        <f t="shared" ca="1" si="21"/>
        <v>#N/A</v>
      </c>
      <c r="CQ37" s="96" t="e">
        <f t="shared" ca="1" si="73"/>
        <v>#N/A</v>
      </c>
      <c r="CR37" s="100" t="e">
        <f t="shared" ref="CR37:CS37" ca="1" si="111">CR36</f>
        <v>#N/A</v>
      </c>
      <c r="CS37" s="120" t="e">
        <f t="shared" ca="1" si="111"/>
        <v>#N/A</v>
      </c>
      <c r="CT37" s="112" t="e">
        <f t="shared" ca="1" si="22"/>
        <v>#N/A</v>
      </c>
      <c r="CU37" s="112" t="e">
        <f t="shared" ca="1" si="74"/>
        <v>#N/A</v>
      </c>
      <c r="CV37" s="97" t="e">
        <f t="shared" ca="1" si="23"/>
        <v>#N/A</v>
      </c>
      <c r="CW37" s="100" cm="1">
        <f t="array" aca="1" ref="CW37" ca="1">IF(N37="vd",_xlfn.XLOOKUP(B37,INDIRECT("'"&amp;$A$1&amp;"'!"&amp;$AK$1&amp;"[pam_code]"),INDIRECT("'"&amp;$A$1&amp;"'!"&amp;$AK$1&amp;"[verdict_expense_balance]")),
IF(N37="sold",W37,0))</f>
        <v>0</v>
      </c>
      <c r="CX37" s="100" t="e">
        <f t="shared" ca="1" si="24"/>
        <v>#N/A</v>
      </c>
      <c r="CY37" s="96" t="e">
        <f t="shared" ca="1" si="99"/>
        <v>#N/A</v>
      </c>
      <c r="CZ37" s="100" t="e">
        <f t="shared" ca="1" si="25"/>
        <v>#N/A</v>
      </c>
      <c r="DA37" s="100">
        <f t="shared" si="26"/>
        <v>0</v>
      </c>
      <c r="DB37" s="100" t="e">
        <f t="shared" ca="1" si="27"/>
        <v>#N/A</v>
      </c>
      <c r="DC37" s="96" t="e">
        <f t="shared" ca="1" si="28"/>
        <v>#N/A</v>
      </c>
      <c r="DD37" s="100" t="e">
        <f t="shared" ca="1" si="29"/>
        <v>#N/A</v>
      </c>
      <c r="DE37" s="100" t="e">
        <f t="shared" ca="1" si="58"/>
        <v>#N/A</v>
      </c>
      <c r="DF37"/>
      <c r="DG37" s="252"/>
      <c r="DH37" s="252"/>
      <c r="DI37" s="234">
        <f t="shared" si="59"/>
        <v>0</v>
      </c>
      <c r="DJ37" s="234">
        <f t="shared" si="60"/>
        <v>0</v>
      </c>
      <c r="DK37" s="234">
        <f t="shared" si="61"/>
        <v>0</v>
      </c>
      <c r="DL37" s="234">
        <f t="shared" si="62"/>
        <v>0</v>
      </c>
      <c r="DM37" s="234">
        <f t="shared" si="63"/>
        <v>0</v>
      </c>
      <c r="DN37" s="235">
        <f t="shared" si="64"/>
        <v>0</v>
      </c>
      <c r="DO37" s="236">
        <f t="shared" si="32"/>
        <v>0</v>
      </c>
      <c r="DP37" s="245">
        <f t="shared" si="65"/>
        <v>0</v>
      </c>
      <c r="DQ37" s="235"/>
      <c r="DR37" s="237">
        <f t="shared" si="33"/>
        <v>0</v>
      </c>
      <c r="DS37" s="237" t="e">
        <f t="shared" ca="1" si="66"/>
        <v>#N/A</v>
      </c>
      <c r="DT37" s="237" t="e">
        <f t="shared" ca="1" si="67"/>
        <v>#N/A</v>
      </c>
      <c r="DU37" s="237" t="e">
        <f t="shared" ca="1" si="75"/>
        <v>#N/A</v>
      </c>
      <c r="DV37" s="237" t="e">
        <f t="shared" ca="1" si="76"/>
        <v>#N/A</v>
      </c>
      <c r="DW37" s="241" t="e">
        <f t="shared" ca="1" si="34"/>
        <v>#N/A</v>
      </c>
      <c r="DX37" s="238" t="e">
        <f t="shared" ca="1" si="35"/>
        <v>#N/A</v>
      </c>
      <c r="DY37" s="237" t="e" cm="1">
        <f t="array" aca="1" ref="DY37" ca="1">_xlfn.UNIQUE(IF(CI37=0,DZ36,IF(N37="repo",DZ36,IF(N37="sold",DT37,IF(ISERR(_xlfn._xlws.FILTER($N$7:N37,$N$7:N37="sold")),MIN(DT37*DW37,DZ36),0)))))</f>
        <v>#N/A</v>
      </c>
      <c r="DZ37" s="237" t="e" cm="1">
        <f t="array" aca="1" ref="DZ37" ca="1">_xlfn.UNIQUE(IF(N37="aq",DQ37,IF(N37="sold",_xlfn._xlws.FILTER($DY$7:DY37,$N$7:N37="repo"),IF(ISERR(_xlfn._xlws.FILTER($N$7:N37,$N$7:N37="sold")),DZ36-DY37,0))))</f>
        <v>#N/A</v>
      </c>
      <c r="EA37" s="237" t="e" cm="1">
        <f t="array" aca="1" ref="EA37" ca="1">IF(OR(N37="repo",IFERROR(_xlfn._xlws.FILTER($N$7:N37,$N$7:N37="sold")="sold",FALSE)),0,DP37*DZ36*(DX37/365))</f>
        <v>#N/A</v>
      </c>
      <c r="EB37" s="237" t="e">
        <f t="shared" ca="1" si="36"/>
        <v>#N/A</v>
      </c>
      <c r="EC37" s="237" t="e">
        <f t="shared" ca="1" si="68"/>
        <v>#N/A</v>
      </c>
      <c r="ED37" s="237" cm="1">
        <f t="array" aca="1" ref="ED37" ca="1">_xlfn.IFS(N37="repo",0,N37="sold",DY37-DZ37,N37&lt;&gt;"",DT37-DY37-EB37,N37="",0)</f>
        <v>0</v>
      </c>
      <c r="EE37" s="237" t="e">
        <f t="shared" ca="1" si="37"/>
        <v>#N/A</v>
      </c>
      <c r="EF37" s="237" t="e">
        <f t="shared" ca="1" si="69"/>
        <v>#N/A</v>
      </c>
      <c r="EG37" s="237" t="e">
        <f t="shared" ca="1" si="38"/>
        <v>#N/A</v>
      </c>
    </row>
    <row r="38" spans="2:137" x14ac:dyDescent="0.3">
      <c r="B38" s="83"/>
      <c r="C38" s="83"/>
      <c r="D38" s="84"/>
      <c r="E38" s="84"/>
      <c r="F38" s="84"/>
      <c r="G38" s="84"/>
      <c r="H38" s="84"/>
      <c r="I38" s="84"/>
      <c r="J38" s="85"/>
      <c r="K38" s="85"/>
      <c r="L38" s="113"/>
      <c r="M38" s="87"/>
      <c r="N38" s="191"/>
      <c r="O38" s="272"/>
      <c r="P38" s="184"/>
      <c r="Q38" s="124"/>
      <c r="R38" s="124"/>
      <c r="S38" s="114"/>
      <c r="T38" s="90"/>
      <c r="U38"/>
      <c r="V38" s="90"/>
      <c r="W38" s="260"/>
      <c r="X38" s="260"/>
      <c r="Y38" s="89"/>
      <c r="Z38" s="91"/>
      <c r="AA38" s="97" t="e" cm="1">
        <f t="array" aca="1" ref="AA38" ca="1">IF(N38="vd",_xlfn.XLOOKUP(B38,INDIRECT("'"&amp;$A$1&amp;"'!"&amp;$AK$1&amp;"[pam_code]"),INDIRECT("'"&amp;$A$1&amp;"'!"&amp;$AK$1&amp;"[int_rate]")),AA37)</f>
        <v>#N/A</v>
      </c>
      <c r="AB38" s="116" t="e" cm="1">
        <f t="array" aca="1" ref="AB38" ca="1">IF(N38="vd",_xlfn.XLOOKUP(B38,INDIRECT("'"&amp;$A$1&amp;"'!"&amp;$AK$1&amp;"[pam_code]"),INDIRECT("'"&amp;$A$1&amp;"'!"&amp;$AK$1&amp;"[eir_rate]")),AB37)</f>
        <v>#N/A</v>
      </c>
      <c r="AC38" s="117" t="e">
        <f t="shared" ca="1" si="39"/>
        <v>#N/A</v>
      </c>
      <c r="AD38" s="93" cm="1">
        <f t="array" aca="1" ref="AD38" ca="1">IFERROR(_xlfn.IFS(G37="jm_vat",(BT37+BW37+CC37)/CG37,G37="npl_vat",(BQ37+BZ37)/CG37,G37="cm_vat",(BT37+BW37+BZ37)/CG37,ISNUMBER(FIND("_all_vat",G38)),CF37/CG37,NOT(ISNUMBER(FIND("_vat",G38))),0,G37=0,0,AND(N38="sold",$DG$7="hp"),0),0)</f>
        <v>0</v>
      </c>
      <c r="AE38" s="94" t="e">
        <f t="shared" ca="1" si="0"/>
        <v>#N/A</v>
      </c>
      <c r="AF38" s="94" t="e">
        <f t="shared" ca="1" si="1"/>
        <v>#N/A</v>
      </c>
      <c r="AG38" s="95">
        <f t="shared" ca="1" si="2"/>
        <v>0</v>
      </c>
      <c r="AH38" s="95">
        <f t="shared" ca="1" si="3"/>
        <v>0</v>
      </c>
      <c r="AK38" s="100" cm="1">
        <f t="array" aca="1" ref="AK38" ca="1">IF(N38="vd",_xlfn.XLOOKUP($B$4,INDIRECT("'"&amp;$A$1&amp;"'!"&amp;$AK$1&amp;"[pam_code]"),INDIRECT("'"&amp;$A$1&amp;"'!"&amp;$AK$1&amp;"[verdict_expense_balance]")),
IF(N38="sold",W38,0))</f>
        <v>0</v>
      </c>
      <c r="AL38" s="96" t="e">
        <f t="shared" ca="1" si="4"/>
        <v>#N/A</v>
      </c>
      <c r="AM38" s="96" t="e">
        <f t="shared" ca="1" si="82"/>
        <v>#N/A</v>
      </c>
      <c r="AN38" s="97" t="e">
        <f t="shared" ca="1" si="40"/>
        <v>#N/A</v>
      </c>
      <c r="AO38" s="98">
        <f t="shared" si="5"/>
        <v>0</v>
      </c>
      <c r="AP38" s="99" t="e">
        <f t="shared" ca="1" si="83"/>
        <v>#N/A</v>
      </c>
      <c r="AQ38" s="96">
        <f t="shared" si="6"/>
        <v>0</v>
      </c>
      <c r="AR38" s="96" t="e">
        <f t="shared" ca="1" si="84"/>
        <v>#N/A</v>
      </c>
      <c r="AS38" s="100">
        <f t="shared" si="85"/>
        <v>0</v>
      </c>
      <c r="AT38" s="96" t="e">
        <f t="shared" ca="1" si="7"/>
        <v>#N/A</v>
      </c>
      <c r="AU38" s="96" t="e">
        <f t="shared" ca="1" si="86"/>
        <v>#N/A</v>
      </c>
      <c r="AV38" s="118"/>
      <c r="AW38" s="100" t="e">
        <f t="shared" ca="1" si="8"/>
        <v>#N/A</v>
      </c>
      <c r="AX38" s="118"/>
      <c r="AY38" s="100"/>
      <c r="BB38" s="100" cm="1">
        <f t="array" aca="1" ref="BB38" ca="1">IF(N38="vd",_xlfn.XLOOKUP(B38,INDIRECT("'"&amp;$A$1&amp;"'!"&amp;$AK$1&amp;"[pam_code]"),INDIRECT("'"&amp;$A$1&amp;"'!"&amp;$AK$1&amp;"[verdict_expense_balance]")),
IF(N38="sold",W38,0))</f>
        <v>0</v>
      </c>
      <c r="BC38" s="100" t="e">
        <f t="shared" ca="1" si="9"/>
        <v>#N/A</v>
      </c>
      <c r="BD38" s="96" t="e">
        <f t="shared" ca="1" si="87"/>
        <v>#N/A</v>
      </c>
      <c r="BE38" s="100" cm="1">
        <f t="array" aca="1" ref="BE38" ca="1">IF(N38="vd",_xlfn.XLOOKUP(B38,INDIRECT("'"&amp;$A$1&amp;"'!"&amp;$AK$1&amp;"[pam_code]"),INDIRECT("'"&amp;$A$1&amp;"'!"&amp;$AK$1&amp;"[verdict_outlay_balance]")),0)</f>
        <v>0</v>
      </c>
      <c r="BF38" s="100" t="e">
        <f t="shared" ca="1" si="10"/>
        <v>#N/A</v>
      </c>
      <c r="BG38" s="96" t="e">
        <f t="shared" ca="1" si="88"/>
        <v>#N/A</v>
      </c>
      <c r="BH38" s="100" cm="1">
        <f t="array" aca="1" ref="BH38" ca="1">IF(N38="vd",_xlfn.XLOOKUP(B38,INDIRECT("'"&amp;$A$1&amp;"'!"&amp;$AK$1&amp;"[pam_code]"),INDIRECT("'"&amp;$A$1&amp;"'!"&amp;$AK$1&amp;"[verdict_loss_balance]")),0)</f>
        <v>0</v>
      </c>
      <c r="BI38" s="100" t="e">
        <f t="shared" ca="1" si="11"/>
        <v>#N/A</v>
      </c>
      <c r="BJ38" s="96" t="e">
        <f t="shared" ca="1" si="89"/>
        <v>#N/A</v>
      </c>
      <c r="BK38" s="100" cm="1">
        <f t="array" aca="1" ref="BK38" ca="1">IF(N38="vd",_xlfn.XLOOKUP(B38,INDIRECT("'"&amp;$A$1&amp;"'!"&amp;$AK$1&amp;"[pam_code]"),INDIRECT("'"&amp;$A$1&amp;"'!"&amp;$AK$1&amp;"[verdict_penalty_balance]")),0)</f>
        <v>0</v>
      </c>
      <c r="BL38" s="100" t="e">
        <f t="shared" ca="1" si="12"/>
        <v>#N/A</v>
      </c>
      <c r="BM38" s="96" t="e">
        <f t="shared" ca="1" si="90"/>
        <v>#N/A</v>
      </c>
      <c r="BN38" s="102">
        <f t="shared" si="13"/>
        <v>0</v>
      </c>
      <c r="BO38" s="119" cm="1">
        <f t="array" aca="1" ref="BO38" ca="1">IF(N38="vd",_xlfn.XLOOKUP(B38,INDIRECT("'"&amp;$A$1&amp;"'!"&amp;$AK$1&amp;"[pam_code]"),INDIRECT("'"&amp;$A$1&amp;"'!"&amp;$AK$1&amp;"[verdict_oldinterest_balance]")),IF(N38="add",Z38,0))</f>
        <v>0</v>
      </c>
      <c r="BP38" s="104" t="e">
        <f t="shared" ca="1" si="14"/>
        <v>#N/A</v>
      </c>
      <c r="BQ38" s="105" t="e">
        <f t="shared" ca="1" si="91"/>
        <v>#N/A</v>
      </c>
      <c r="BR38" s="100" cm="1">
        <f t="array" aca="1" ref="BR38" ca="1">IF(N38="vd",_xlfn.XLOOKUP(B38,INDIRECT("'"&amp;$A$1&amp;"'!"&amp;$AK$1&amp;"[pam_code]"),INDIRECT("'"&amp;$A$1&amp;"'!"&amp;$AK$1&amp;"[verdict_opportunitycost_balance]")),0)</f>
        <v>0</v>
      </c>
      <c r="BS38" s="106" t="e">
        <f t="shared" ca="1" si="15"/>
        <v>#N/A</v>
      </c>
      <c r="BT38" s="96" t="e">
        <f t="shared" ca="1" si="92"/>
        <v>#N/A</v>
      </c>
      <c r="BU38" s="109" cm="1">
        <f t="array" aca="1" ref="BU38" ca="1">IF(N38="vd",_xlfn.XLOOKUP(B38,INDIRECT("'"&amp;$A$1&amp;"'!"&amp;$AK$1&amp;"[pam_code]"),INDIRECT("'"&amp;$A$1&amp;"'!"&amp;$AK$1&amp;"[verdict_oldcharge_balance]")),0)</f>
        <v>0</v>
      </c>
      <c r="BV38" s="108" t="e">
        <f t="shared" ca="1" si="16"/>
        <v>#N/A</v>
      </c>
      <c r="BW38" s="109" t="e">
        <f t="shared" ca="1" si="93"/>
        <v>#N/A</v>
      </c>
      <c r="BX38" s="109" cm="1">
        <f t="array" aca="1" ref="BX38" ca="1">IF(N38="vd",_xlfn.XLOOKUP(B38,INDIRECT("'"&amp;$A$1&amp;"'!"&amp;$AK$1&amp;"[pam_code]"),INDIRECT("'"&amp;$A$1&amp;"'!"&amp;$AK$1&amp;"[verdict_principal_balance]")),0)</f>
        <v>0</v>
      </c>
      <c r="BY38" s="109" t="e">
        <f t="shared" ca="1" si="17"/>
        <v>#N/A</v>
      </c>
      <c r="BZ38" s="109" t="e">
        <f t="shared" ca="1" si="94"/>
        <v>#N/A</v>
      </c>
      <c r="CA38" s="109" cm="1">
        <f t="array" aca="1" ref="CA38" ca="1">IF(N38="vd",_xlfn.XLOOKUP(B38,INDIRECT("'"&amp;$A$1&amp;"'!"&amp;$AK$1&amp;"[pam_code]"),INDIRECT("'"&amp;$A$1&amp;"'!"&amp;$AK$1&amp;"[verdict_replacement_balance]")),0)</f>
        <v>0</v>
      </c>
      <c r="CB38" s="108" t="e">
        <f t="shared" ca="1" si="18"/>
        <v>#N/A</v>
      </c>
      <c r="CC38" s="109" t="e">
        <f t="shared" ca="1" si="95"/>
        <v>#N/A</v>
      </c>
      <c r="CD38" s="109" cm="1">
        <f t="array" aca="1" ref="CD38" ca="1">IF(N38="vd",_xlfn.XLOOKUP(B38,INDIRECT("'"&amp;$A$1&amp;"'!"&amp;$AK$1&amp;"[pam_code]"),INDIRECT("'"&amp;$A$1&amp;"'!"&amp;$AK$1&amp;"[verdict_all_balance]")),0)</f>
        <v>0</v>
      </c>
      <c r="CE38" s="109" t="e">
        <f t="shared" ca="1" si="19"/>
        <v>#N/A</v>
      </c>
      <c r="CF38" s="109" t="e">
        <f t="shared" ca="1" si="96"/>
        <v>#N/A</v>
      </c>
      <c r="CG38" s="109" t="e">
        <f t="shared" ca="1" si="51"/>
        <v>#N/A</v>
      </c>
      <c r="CH38" s="109">
        <f t="shared" si="52"/>
        <v>0</v>
      </c>
      <c r="CI38" s="109" t="e">
        <f t="shared" ca="1" si="53"/>
        <v>#N/A</v>
      </c>
      <c r="CJ38" s="109">
        <f t="shared" si="97"/>
        <v>0</v>
      </c>
      <c r="CK38" s="109">
        <f t="shared" si="55"/>
        <v>0</v>
      </c>
      <c r="CL38" s="230" t="str">
        <f t="shared" si="72"/>
        <v>No information</v>
      </c>
      <c r="CM38" s="109" t="e">
        <f t="shared" ca="1" si="56"/>
        <v>#N/A</v>
      </c>
      <c r="CN38" s="109" t="e">
        <f t="shared" ca="1" si="20"/>
        <v>#N/A</v>
      </c>
      <c r="CO38" s="90" t="e">
        <f t="shared" ca="1" si="21"/>
        <v>#N/A</v>
      </c>
      <c r="CQ38" s="96" t="e">
        <f t="shared" ca="1" si="73"/>
        <v>#N/A</v>
      </c>
      <c r="CR38" s="100" t="e">
        <f t="shared" ref="CR38:CS38" ca="1" si="112">CR37</f>
        <v>#N/A</v>
      </c>
      <c r="CS38" s="120" t="e">
        <f t="shared" ca="1" si="112"/>
        <v>#N/A</v>
      </c>
      <c r="CT38" s="112" t="e">
        <f t="shared" ca="1" si="22"/>
        <v>#N/A</v>
      </c>
      <c r="CU38" s="112" t="e">
        <f t="shared" ca="1" si="74"/>
        <v>#N/A</v>
      </c>
      <c r="CV38" s="97" t="e">
        <f t="shared" ca="1" si="23"/>
        <v>#N/A</v>
      </c>
      <c r="CW38" s="100" cm="1">
        <f t="array" aca="1" ref="CW38" ca="1">IF(N38="vd",_xlfn.XLOOKUP(B38,INDIRECT("'"&amp;$A$1&amp;"'!"&amp;$AK$1&amp;"[pam_code]"),INDIRECT("'"&amp;$A$1&amp;"'!"&amp;$AK$1&amp;"[verdict_expense_balance]")),
IF(N38="sold",W38,0))</f>
        <v>0</v>
      </c>
      <c r="CX38" s="100" t="e">
        <f t="shared" ca="1" si="24"/>
        <v>#N/A</v>
      </c>
      <c r="CY38" s="96" t="e">
        <f t="shared" ca="1" si="99"/>
        <v>#N/A</v>
      </c>
      <c r="CZ38" s="100" t="e">
        <f t="shared" ca="1" si="25"/>
        <v>#N/A</v>
      </c>
      <c r="DA38" s="100">
        <f t="shared" si="26"/>
        <v>0</v>
      </c>
      <c r="DB38" s="100" t="e">
        <f t="shared" ca="1" si="27"/>
        <v>#N/A</v>
      </c>
      <c r="DC38" s="96" t="e">
        <f t="shared" ca="1" si="28"/>
        <v>#N/A</v>
      </c>
      <c r="DD38" s="100" t="e">
        <f t="shared" ca="1" si="29"/>
        <v>#N/A</v>
      </c>
      <c r="DE38" s="100" t="e">
        <f t="shared" ca="1" si="58"/>
        <v>#N/A</v>
      </c>
      <c r="DF38"/>
      <c r="DG38" s="252"/>
      <c r="DH38" s="252"/>
      <c r="DI38" s="234">
        <f t="shared" si="59"/>
        <v>0</v>
      </c>
      <c r="DJ38" s="234">
        <f t="shared" si="60"/>
        <v>0</v>
      </c>
      <c r="DK38" s="234">
        <f t="shared" si="61"/>
        <v>0</v>
      </c>
      <c r="DL38" s="234">
        <f t="shared" si="62"/>
        <v>0</v>
      </c>
      <c r="DM38" s="234">
        <f t="shared" si="63"/>
        <v>0</v>
      </c>
      <c r="DN38" s="235">
        <f t="shared" si="64"/>
        <v>0</v>
      </c>
      <c r="DO38" s="236">
        <f t="shared" si="32"/>
        <v>0</v>
      </c>
      <c r="DP38" s="245">
        <f t="shared" si="65"/>
        <v>0</v>
      </c>
      <c r="DQ38" s="235"/>
      <c r="DR38" s="237">
        <f t="shared" si="33"/>
        <v>0</v>
      </c>
      <c r="DS38" s="237" t="e">
        <f t="shared" ca="1" si="66"/>
        <v>#N/A</v>
      </c>
      <c r="DT38" s="237" t="e">
        <f t="shared" ca="1" si="67"/>
        <v>#N/A</v>
      </c>
      <c r="DU38" s="237" t="e">
        <f t="shared" ca="1" si="75"/>
        <v>#N/A</v>
      </c>
      <c r="DV38" s="237" t="e">
        <f t="shared" ca="1" si="76"/>
        <v>#N/A</v>
      </c>
      <c r="DW38" s="241" t="e">
        <f t="shared" ca="1" si="34"/>
        <v>#N/A</v>
      </c>
      <c r="DX38" s="238" t="e">
        <f t="shared" ca="1" si="35"/>
        <v>#N/A</v>
      </c>
      <c r="DY38" s="237" t="e" cm="1">
        <f t="array" aca="1" ref="DY38" ca="1">_xlfn.UNIQUE(IF(CI38=0,DZ37,IF(N38="repo",DZ37,IF(N38="sold",DT38,IF(ISERR(_xlfn._xlws.FILTER($N$7:N38,$N$7:N38="sold")),MIN(DT38*DW38,DZ37),0)))))</f>
        <v>#N/A</v>
      </c>
      <c r="DZ38" s="237" t="e" cm="1">
        <f t="array" aca="1" ref="DZ38" ca="1">_xlfn.UNIQUE(IF(N38="aq",DQ38,IF(N38="sold",_xlfn._xlws.FILTER($DY$7:DY38,$N$7:N38="repo"),IF(ISERR(_xlfn._xlws.FILTER($N$7:N38,$N$7:N38="sold")),DZ37-DY38,0))))</f>
        <v>#N/A</v>
      </c>
      <c r="EA38" s="237" t="e" cm="1">
        <f t="array" aca="1" ref="EA38" ca="1">IF(OR(N38="repo",IFERROR(_xlfn._xlws.FILTER($N$7:N38,$N$7:N38="sold")="sold",FALSE)),0,DP38*DZ37*(DX38/365))</f>
        <v>#N/A</v>
      </c>
      <c r="EB38" s="237" t="e">
        <f t="shared" ca="1" si="36"/>
        <v>#N/A</v>
      </c>
      <c r="EC38" s="237" t="e">
        <f t="shared" ca="1" si="68"/>
        <v>#N/A</v>
      </c>
      <c r="ED38" s="237" cm="1">
        <f t="array" aca="1" ref="ED38" ca="1">_xlfn.IFS(N38="repo",0,N38="sold",DY38-DZ38,N38&lt;&gt;"",DT38-DY38-EB38,N38="",0)</f>
        <v>0</v>
      </c>
      <c r="EE38" s="237" t="e">
        <f t="shared" ca="1" si="37"/>
        <v>#N/A</v>
      </c>
      <c r="EF38" s="237" t="e">
        <f t="shared" ca="1" si="69"/>
        <v>#N/A</v>
      </c>
      <c r="EG38" s="237" t="e">
        <f t="shared" ca="1" si="38"/>
        <v>#N/A</v>
      </c>
    </row>
    <row r="39" spans="2:137" x14ac:dyDescent="0.3">
      <c r="B39" s="83"/>
      <c r="C39" s="83"/>
      <c r="D39" s="84"/>
      <c r="E39" s="84"/>
      <c r="F39" s="84"/>
      <c r="G39" s="84"/>
      <c r="H39" s="84"/>
      <c r="I39" s="84"/>
      <c r="J39" s="85"/>
      <c r="K39" s="85"/>
      <c r="L39" s="113"/>
      <c r="M39" s="87"/>
      <c r="N39" s="191"/>
      <c r="O39" s="272"/>
      <c r="P39" s="184"/>
      <c r="Q39" s="124"/>
      <c r="R39" s="124"/>
      <c r="S39" s="114"/>
      <c r="T39" s="90"/>
      <c r="U39"/>
      <c r="V39" s="90"/>
      <c r="W39" s="260"/>
      <c r="X39" s="260"/>
      <c r="Y39" s="89"/>
      <c r="Z39" s="91"/>
      <c r="AA39" s="97" t="e" cm="1">
        <f t="array" aca="1" ref="AA39" ca="1">IF(N39="vd",_xlfn.XLOOKUP(B39,INDIRECT("'"&amp;$A$1&amp;"'!"&amp;$AK$1&amp;"[pam_code]"),INDIRECT("'"&amp;$A$1&amp;"'!"&amp;$AK$1&amp;"[int_rate]")),AA38)</f>
        <v>#N/A</v>
      </c>
      <c r="AB39" s="116" t="e" cm="1">
        <f t="array" aca="1" ref="AB39" ca="1">IF(N39="vd",_xlfn.XLOOKUP(B39,INDIRECT("'"&amp;$A$1&amp;"'!"&amp;$AK$1&amp;"[pam_code]"),INDIRECT("'"&amp;$A$1&amp;"'!"&amp;$AK$1&amp;"[eir_rate]")),AB38)</f>
        <v>#N/A</v>
      </c>
      <c r="AC39" s="117" t="e">
        <f t="shared" ca="1" si="39"/>
        <v>#N/A</v>
      </c>
      <c r="AD39" s="93" cm="1">
        <f t="array" aca="1" ref="AD39" ca="1">IFERROR(_xlfn.IFS(G38="jm_vat",(BT38+BW38+CC38)/CG38,G38="npl_vat",(BQ38+BZ38)/CG38,G38="cm_vat",(BT38+BW38+BZ38)/CG38,ISNUMBER(FIND("_all_vat",G39)),CF38/CG38,NOT(ISNUMBER(FIND("_vat",G39))),0,G38=0,0,AND(N39="sold",$DG$7="hp"),0),0)</f>
        <v>0</v>
      </c>
      <c r="AE39" s="94" t="e">
        <f t="shared" ca="1" si="0"/>
        <v>#N/A</v>
      </c>
      <c r="AF39" s="94" t="e">
        <f t="shared" ca="1" si="1"/>
        <v>#N/A</v>
      </c>
      <c r="AG39" s="95">
        <f t="shared" ca="1" si="2"/>
        <v>0</v>
      </c>
      <c r="AH39" s="95">
        <f t="shared" ca="1" si="3"/>
        <v>0</v>
      </c>
      <c r="AK39" s="100" cm="1">
        <f t="array" aca="1" ref="AK39" ca="1">IF(N39="vd",_xlfn.XLOOKUP($B$4,INDIRECT("'"&amp;$A$1&amp;"'!"&amp;$AK$1&amp;"[pam_code]"),INDIRECT("'"&amp;$A$1&amp;"'!"&amp;$AK$1&amp;"[verdict_expense_balance]")),
IF(N39="sold",W39,0))</f>
        <v>0</v>
      </c>
      <c r="AL39" s="96" t="e">
        <f t="shared" ca="1" si="4"/>
        <v>#N/A</v>
      </c>
      <c r="AM39" s="96" t="e">
        <f t="shared" ca="1" si="82"/>
        <v>#N/A</v>
      </c>
      <c r="AN39" s="97" t="e">
        <f t="shared" ca="1" si="40"/>
        <v>#N/A</v>
      </c>
      <c r="AO39" s="98">
        <f t="shared" si="5"/>
        <v>0</v>
      </c>
      <c r="AP39" s="99" t="e">
        <f t="shared" ca="1" si="83"/>
        <v>#N/A</v>
      </c>
      <c r="AQ39" s="96">
        <f t="shared" si="6"/>
        <v>0</v>
      </c>
      <c r="AR39" s="96" t="e">
        <f t="shared" ca="1" si="84"/>
        <v>#N/A</v>
      </c>
      <c r="AS39" s="100">
        <f t="shared" si="85"/>
        <v>0</v>
      </c>
      <c r="AT39" s="96" t="e">
        <f t="shared" ca="1" si="7"/>
        <v>#N/A</v>
      </c>
      <c r="AU39" s="96" t="e">
        <f t="shared" ca="1" si="86"/>
        <v>#N/A</v>
      </c>
      <c r="AV39" s="118"/>
      <c r="AW39" s="100" t="e">
        <f t="shared" ca="1" si="8"/>
        <v>#N/A</v>
      </c>
      <c r="AX39" s="118"/>
      <c r="AY39" s="100"/>
      <c r="BB39" s="100" cm="1">
        <f t="array" aca="1" ref="BB39" ca="1">IF(N39="vd",_xlfn.XLOOKUP(B39,INDIRECT("'"&amp;$A$1&amp;"'!"&amp;$AK$1&amp;"[pam_code]"),INDIRECT("'"&amp;$A$1&amp;"'!"&amp;$AK$1&amp;"[verdict_expense_balance]")),
IF(N39="sold",W39,0))</f>
        <v>0</v>
      </c>
      <c r="BC39" s="100" t="e">
        <f t="shared" ca="1" si="9"/>
        <v>#N/A</v>
      </c>
      <c r="BD39" s="96" t="e">
        <f t="shared" ca="1" si="87"/>
        <v>#N/A</v>
      </c>
      <c r="BE39" s="100" cm="1">
        <f t="array" aca="1" ref="BE39" ca="1">IF(N39="vd",_xlfn.XLOOKUP(B39,INDIRECT("'"&amp;$A$1&amp;"'!"&amp;$AK$1&amp;"[pam_code]"),INDIRECT("'"&amp;$A$1&amp;"'!"&amp;$AK$1&amp;"[verdict_outlay_balance]")),0)</f>
        <v>0</v>
      </c>
      <c r="BF39" s="100" t="e">
        <f t="shared" ca="1" si="10"/>
        <v>#N/A</v>
      </c>
      <c r="BG39" s="96" t="e">
        <f t="shared" ca="1" si="88"/>
        <v>#N/A</v>
      </c>
      <c r="BH39" s="100" cm="1">
        <f t="array" aca="1" ref="BH39" ca="1">IF(N39="vd",_xlfn.XLOOKUP(B39,INDIRECT("'"&amp;$A$1&amp;"'!"&amp;$AK$1&amp;"[pam_code]"),INDIRECT("'"&amp;$A$1&amp;"'!"&amp;$AK$1&amp;"[verdict_loss_balance]")),0)</f>
        <v>0</v>
      </c>
      <c r="BI39" s="100" t="e">
        <f t="shared" ca="1" si="11"/>
        <v>#N/A</v>
      </c>
      <c r="BJ39" s="96" t="e">
        <f t="shared" ca="1" si="89"/>
        <v>#N/A</v>
      </c>
      <c r="BK39" s="100" cm="1">
        <f t="array" aca="1" ref="BK39" ca="1">IF(N39="vd",_xlfn.XLOOKUP(B39,INDIRECT("'"&amp;$A$1&amp;"'!"&amp;$AK$1&amp;"[pam_code]"),INDIRECT("'"&amp;$A$1&amp;"'!"&amp;$AK$1&amp;"[verdict_penalty_balance]")),0)</f>
        <v>0</v>
      </c>
      <c r="BL39" s="100" t="e">
        <f t="shared" ca="1" si="12"/>
        <v>#N/A</v>
      </c>
      <c r="BM39" s="96" t="e">
        <f t="shared" ca="1" si="90"/>
        <v>#N/A</v>
      </c>
      <c r="BN39" s="102">
        <f t="shared" si="13"/>
        <v>0</v>
      </c>
      <c r="BO39" s="119" cm="1">
        <f t="array" aca="1" ref="BO39" ca="1">IF(N39="vd",_xlfn.XLOOKUP(B39,INDIRECT("'"&amp;$A$1&amp;"'!"&amp;$AK$1&amp;"[pam_code]"),INDIRECT("'"&amp;$A$1&amp;"'!"&amp;$AK$1&amp;"[verdict_oldinterest_balance]")),IF(N39="add",Z39,0))</f>
        <v>0</v>
      </c>
      <c r="BP39" s="104" t="e">
        <f t="shared" ca="1" si="14"/>
        <v>#N/A</v>
      </c>
      <c r="BQ39" s="105" t="e">
        <f t="shared" ca="1" si="91"/>
        <v>#N/A</v>
      </c>
      <c r="BR39" s="100" cm="1">
        <f t="array" aca="1" ref="BR39" ca="1">IF(N39="vd",_xlfn.XLOOKUP(B39,INDIRECT("'"&amp;$A$1&amp;"'!"&amp;$AK$1&amp;"[pam_code]"),INDIRECT("'"&amp;$A$1&amp;"'!"&amp;$AK$1&amp;"[verdict_opportunitycost_balance]")),0)</f>
        <v>0</v>
      </c>
      <c r="BS39" s="106" t="e">
        <f t="shared" ca="1" si="15"/>
        <v>#N/A</v>
      </c>
      <c r="BT39" s="96" t="e">
        <f t="shared" ca="1" si="92"/>
        <v>#N/A</v>
      </c>
      <c r="BU39" s="109" cm="1">
        <f t="array" aca="1" ref="BU39" ca="1">IF(N39="vd",_xlfn.XLOOKUP(B39,INDIRECT("'"&amp;$A$1&amp;"'!"&amp;$AK$1&amp;"[pam_code]"),INDIRECT("'"&amp;$A$1&amp;"'!"&amp;$AK$1&amp;"[verdict_oldcharge_balance]")),0)</f>
        <v>0</v>
      </c>
      <c r="BV39" s="108" t="e">
        <f t="shared" ca="1" si="16"/>
        <v>#N/A</v>
      </c>
      <c r="BW39" s="109" t="e">
        <f t="shared" ca="1" si="93"/>
        <v>#N/A</v>
      </c>
      <c r="BX39" s="109" cm="1">
        <f t="array" aca="1" ref="BX39" ca="1">IF(N39="vd",_xlfn.XLOOKUP(B39,INDIRECT("'"&amp;$A$1&amp;"'!"&amp;$AK$1&amp;"[pam_code]"),INDIRECT("'"&amp;$A$1&amp;"'!"&amp;$AK$1&amp;"[verdict_principal_balance]")),0)</f>
        <v>0</v>
      </c>
      <c r="BY39" s="109" t="e">
        <f t="shared" ca="1" si="17"/>
        <v>#N/A</v>
      </c>
      <c r="BZ39" s="109" t="e">
        <f t="shared" ca="1" si="94"/>
        <v>#N/A</v>
      </c>
      <c r="CA39" s="109" cm="1">
        <f t="array" aca="1" ref="CA39" ca="1">IF(N39="vd",_xlfn.XLOOKUP(B39,INDIRECT("'"&amp;$A$1&amp;"'!"&amp;$AK$1&amp;"[pam_code]"),INDIRECT("'"&amp;$A$1&amp;"'!"&amp;$AK$1&amp;"[verdict_replacement_balance]")),0)</f>
        <v>0</v>
      </c>
      <c r="CB39" s="108" t="e">
        <f t="shared" ca="1" si="18"/>
        <v>#N/A</v>
      </c>
      <c r="CC39" s="109" t="e">
        <f t="shared" ca="1" si="95"/>
        <v>#N/A</v>
      </c>
      <c r="CD39" s="109" cm="1">
        <f t="array" aca="1" ref="CD39" ca="1">IF(N39="vd",_xlfn.XLOOKUP(B39,INDIRECT("'"&amp;$A$1&amp;"'!"&amp;$AK$1&amp;"[pam_code]"),INDIRECT("'"&amp;$A$1&amp;"'!"&amp;$AK$1&amp;"[verdict_all_balance]")),0)</f>
        <v>0</v>
      </c>
      <c r="CE39" s="109" t="e">
        <f t="shared" ca="1" si="19"/>
        <v>#N/A</v>
      </c>
      <c r="CF39" s="109" t="e">
        <f t="shared" ca="1" si="96"/>
        <v>#N/A</v>
      </c>
      <c r="CG39" s="109" t="e">
        <f t="shared" ca="1" si="51"/>
        <v>#N/A</v>
      </c>
      <c r="CH39" s="109">
        <f t="shared" si="52"/>
        <v>0</v>
      </c>
      <c r="CI39" s="109" t="e">
        <f t="shared" ca="1" si="53"/>
        <v>#N/A</v>
      </c>
      <c r="CJ39" s="109">
        <f t="shared" si="97"/>
        <v>0</v>
      </c>
      <c r="CK39" s="109">
        <f t="shared" si="55"/>
        <v>0</v>
      </c>
      <c r="CL39" s="230" t="str">
        <f t="shared" si="72"/>
        <v>No information</v>
      </c>
      <c r="CM39" s="109" t="e">
        <f t="shared" ca="1" si="56"/>
        <v>#N/A</v>
      </c>
      <c r="CN39" s="109" t="e">
        <f t="shared" ca="1" si="20"/>
        <v>#N/A</v>
      </c>
      <c r="CO39" s="90" t="e">
        <f t="shared" ca="1" si="21"/>
        <v>#N/A</v>
      </c>
      <c r="CQ39" s="96" t="e">
        <f t="shared" ca="1" si="73"/>
        <v>#N/A</v>
      </c>
      <c r="CR39" s="100" t="e">
        <f t="shared" ref="CR39:CS39" ca="1" si="113">CR38</f>
        <v>#N/A</v>
      </c>
      <c r="CS39" s="120" t="e">
        <f t="shared" ca="1" si="113"/>
        <v>#N/A</v>
      </c>
      <c r="CT39" s="112" t="e">
        <f t="shared" ca="1" si="22"/>
        <v>#N/A</v>
      </c>
      <c r="CU39" s="112" t="e">
        <f t="shared" ca="1" si="74"/>
        <v>#N/A</v>
      </c>
      <c r="CV39" s="97" t="e">
        <f t="shared" ca="1" si="23"/>
        <v>#N/A</v>
      </c>
      <c r="CW39" s="100" cm="1">
        <f t="array" aca="1" ref="CW39" ca="1">IF(N39="vd",_xlfn.XLOOKUP(B39,INDIRECT("'"&amp;$A$1&amp;"'!"&amp;$AK$1&amp;"[pam_code]"),INDIRECT("'"&amp;$A$1&amp;"'!"&amp;$AK$1&amp;"[verdict_expense_balance]")),
IF(N39="sold",W39,0))</f>
        <v>0</v>
      </c>
      <c r="CX39" s="100" t="e">
        <f t="shared" ca="1" si="24"/>
        <v>#N/A</v>
      </c>
      <c r="CY39" s="96" t="e">
        <f t="shared" ca="1" si="99"/>
        <v>#N/A</v>
      </c>
      <c r="CZ39" s="100" t="e">
        <f t="shared" ca="1" si="25"/>
        <v>#N/A</v>
      </c>
      <c r="DA39" s="100">
        <f t="shared" si="26"/>
        <v>0</v>
      </c>
      <c r="DB39" s="100" t="e">
        <f t="shared" ca="1" si="27"/>
        <v>#N/A</v>
      </c>
      <c r="DC39" s="96" t="e">
        <f t="shared" ca="1" si="28"/>
        <v>#N/A</v>
      </c>
      <c r="DD39" s="100" t="e">
        <f t="shared" ca="1" si="29"/>
        <v>#N/A</v>
      </c>
      <c r="DE39" s="100" t="e">
        <f t="shared" ca="1" si="58"/>
        <v>#N/A</v>
      </c>
      <c r="DF39"/>
      <c r="DG39" s="252"/>
      <c r="DH39" s="252"/>
      <c r="DI39" s="234">
        <f t="shared" si="59"/>
        <v>0</v>
      </c>
      <c r="DJ39" s="234">
        <f t="shared" si="60"/>
        <v>0</v>
      </c>
      <c r="DK39" s="234">
        <f t="shared" si="61"/>
        <v>0</v>
      </c>
      <c r="DL39" s="234">
        <f t="shared" si="62"/>
        <v>0</v>
      </c>
      <c r="DM39" s="234">
        <f t="shared" si="63"/>
        <v>0</v>
      </c>
      <c r="DN39" s="235">
        <f t="shared" si="64"/>
        <v>0</v>
      </c>
      <c r="DO39" s="236">
        <f t="shared" si="32"/>
        <v>0</v>
      </c>
      <c r="DP39" s="245">
        <f t="shared" si="65"/>
        <v>0</v>
      </c>
      <c r="DQ39" s="235"/>
      <c r="DR39" s="237">
        <f t="shared" si="33"/>
        <v>0</v>
      </c>
      <c r="DS39" s="237" t="e">
        <f t="shared" ca="1" si="66"/>
        <v>#N/A</v>
      </c>
      <c r="DT39" s="237" t="e">
        <f t="shared" ca="1" si="67"/>
        <v>#N/A</v>
      </c>
      <c r="DU39" s="237" t="e">
        <f t="shared" ca="1" si="75"/>
        <v>#N/A</v>
      </c>
      <c r="DV39" s="237" t="e">
        <f t="shared" ca="1" si="76"/>
        <v>#N/A</v>
      </c>
      <c r="DW39" s="241" t="e">
        <f t="shared" ca="1" si="34"/>
        <v>#N/A</v>
      </c>
      <c r="DX39" s="238" t="e">
        <f t="shared" ca="1" si="35"/>
        <v>#N/A</v>
      </c>
      <c r="DY39" s="237" t="e" cm="1">
        <f t="array" aca="1" ref="DY39" ca="1">_xlfn.UNIQUE(IF(CI39=0,DZ38,IF(N39="repo",DZ38,IF(N39="sold",DT39,IF(ISERR(_xlfn._xlws.FILTER($N$7:N39,$N$7:N39="sold")),MIN(DT39*DW39,DZ38),0)))))</f>
        <v>#N/A</v>
      </c>
      <c r="DZ39" s="237" t="e" cm="1">
        <f t="array" aca="1" ref="DZ39" ca="1">_xlfn.UNIQUE(IF(N39="aq",DQ39,IF(N39="sold",_xlfn._xlws.FILTER($DY$7:DY39,$N$7:N39="repo"),IF(ISERR(_xlfn._xlws.FILTER($N$7:N39,$N$7:N39="sold")),DZ38-DY39,0))))</f>
        <v>#N/A</v>
      </c>
      <c r="EA39" s="237" t="e" cm="1">
        <f t="array" aca="1" ref="EA39" ca="1">IF(OR(N39="repo",IFERROR(_xlfn._xlws.FILTER($N$7:N39,$N$7:N39="sold")="sold",FALSE)),0,DP39*DZ38*(DX39/365))</f>
        <v>#N/A</v>
      </c>
      <c r="EB39" s="237" t="e">
        <f t="shared" ca="1" si="36"/>
        <v>#N/A</v>
      </c>
      <c r="EC39" s="237" t="e">
        <f t="shared" ca="1" si="68"/>
        <v>#N/A</v>
      </c>
      <c r="ED39" s="237" cm="1">
        <f t="array" aca="1" ref="ED39" ca="1">_xlfn.IFS(N39="repo",0,N39="sold",DY39-DZ39,N39&lt;&gt;"",DT39-DY39-EB39,N39="",0)</f>
        <v>0</v>
      </c>
      <c r="EE39" s="237" t="e">
        <f t="shared" ca="1" si="37"/>
        <v>#N/A</v>
      </c>
      <c r="EF39" s="237" t="e">
        <f t="shared" ca="1" si="69"/>
        <v>#N/A</v>
      </c>
      <c r="EG39" s="237" t="e">
        <f t="shared" ca="1" si="38"/>
        <v>#N/A</v>
      </c>
    </row>
    <row r="40" spans="2:137" x14ac:dyDescent="0.3">
      <c r="B40" s="83"/>
      <c r="C40" s="83"/>
      <c r="D40" s="84"/>
      <c r="E40" s="84"/>
      <c r="F40" s="84"/>
      <c r="G40" s="84"/>
      <c r="H40" s="84"/>
      <c r="I40" s="84"/>
      <c r="J40" s="85"/>
      <c r="K40" s="85"/>
      <c r="L40" s="113"/>
      <c r="M40" s="87"/>
      <c r="N40" s="191"/>
      <c r="O40" s="272"/>
      <c r="P40" s="184"/>
      <c r="Q40" s="124"/>
      <c r="R40" s="124"/>
      <c r="S40" s="114"/>
      <c r="T40" s="90"/>
      <c r="U40"/>
      <c r="V40" s="90"/>
      <c r="W40" s="260"/>
      <c r="X40" s="260"/>
      <c r="Y40" s="89"/>
      <c r="Z40" s="91"/>
      <c r="AA40" s="97" t="e" cm="1">
        <f t="array" aca="1" ref="AA40" ca="1">IF(N40="vd",_xlfn.XLOOKUP(B40,INDIRECT("'"&amp;$A$1&amp;"'!"&amp;$AK$1&amp;"[pam_code]"),INDIRECT("'"&amp;$A$1&amp;"'!"&amp;$AK$1&amp;"[int_rate]")),AA39)</f>
        <v>#N/A</v>
      </c>
      <c r="AB40" s="116" t="e" cm="1">
        <f t="array" aca="1" ref="AB40" ca="1">IF(N40="vd",_xlfn.XLOOKUP(B40,INDIRECT("'"&amp;$A$1&amp;"'!"&amp;$AK$1&amp;"[pam_code]"),INDIRECT("'"&amp;$A$1&amp;"'!"&amp;$AK$1&amp;"[eir_rate]")),AB39)</f>
        <v>#N/A</v>
      </c>
      <c r="AC40" s="117" t="e">
        <f t="shared" ca="1" si="39"/>
        <v>#N/A</v>
      </c>
      <c r="AD40" s="93" cm="1">
        <f t="array" aca="1" ref="AD40" ca="1">IFERROR(_xlfn.IFS(G39="jm_vat",(BT39+BW39+CC39)/CG39,G39="npl_vat",(BQ39+BZ39)/CG39,G39="cm_vat",(BT39+BW39+BZ39)/CG39,ISNUMBER(FIND("_all_vat",G40)),CF39/CG39,NOT(ISNUMBER(FIND("_vat",G40))),0,G39=0,0,AND(N40="sold",$DG$7="hp"),0),0)</f>
        <v>0</v>
      </c>
      <c r="AE40" s="94" t="e">
        <f t="shared" ca="1" si="0"/>
        <v>#N/A</v>
      </c>
      <c r="AF40" s="94" t="e">
        <f t="shared" ca="1" si="1"/>
        <v>#N/A</v>
      </c>
      <c r="AG40" s="95">
        <f t="shared" ca="1" si="2"/>
        <v>0</v>
      </c>
      <c r="AH40" s="95">
        <f t="shared" ca="1" si="3"/>
        <v>0</v>
      </c>
      <c r="AK40" s="100" cm="1">
        <f t="array" aca="1" ref="AK40" ca="1">IF(N40="vd",_xlfn.XLOOKUP($B$4,INDIRECT("'"&amp;$A$1&amp;"'!"&amp;$AK$1&amp;"[pam_code]"),INDIRECT("'"&amp;$A$1&amp;"'!"&amp;$AK$1&amp;"[verdict_expense_balance]")),
IF(N40="sold",W40,0))</f>
        <v>0</v>
      </c>
      <c r="AL40" s="96" t="e">
        <f t="shared" ca="1" si="4"/>
        <v>#N/A</v>
      </c>
      <c r="AM40" s="96" t="e">
        <f t="shared" ca="1" si="82"/>
        <v>#N/A</v>
      </c>
      <c r="AN40" s="97" t="e">
        <f t="shared" ca="1" si="40"/>
        <v>#N/A</v>
      </c>
      <c r="AO40" s="98">
        <f t="shared" si="5"/>
        <v>0</v>
      </c>
      <c r="AP40" s="99" t="e">
        <f t="shared" ca="1" si="83"/>
        <v>#N/A</v>
      </c>
      <c r="AQ40" s="96">
        <f t="shared" si="6"/>
        <v>0</v>
      </c>
      <c r="AR40" s="96" t="e">
        <f t="shared" ca="1" si="84"/>
        <v>#N/A</v>
      </c>
      <c r="AS40" s="100">
        <f t="shared" si="85"/>
        <v>0</v>
      </c>
      <c r="AT40" s="96" t="e">
        <f t="shared" ca="1" si="7"/>
        <v>#N/A</v>
      </c>
      <c r="AU40" s="96" t="e">
        <f t="shared" ca="1" si="86"/>
        <v>#N/A</v>
      </c>
      <c r="AV40" s="118"/>
      <c r="AW40" s="100" t="e">
        <f t="shared" ca="1" si="8"/>
        <v>#N/A</v>
      </c>
      <c r="AX40" s="118"/>
      <c r="AY40" s="100"/>
      <c r="BB40" s="100" cm="1">
        <f t="array" aca="1" ref="BB40" ca="1">IF(N40="vd",_xlfn.XLOOKUP(B40,INDIRECT("'"&amp;$A$1&amp;"'!"&amp;$AK$1&amp;"[pam_code]"),INDIRECT("'"&amp;$A$1&amp;"'!"&amp;$AK$1&amp;"[verdict_expense_balance]")),
IF(N40="sold",W40,0))</f>
        <v>0</v>
      </c>
      <c r="BC40" s="100" t="e">
        <f t="shared" ca="1" si="9"/>
        <v>#N/A</v>
      </c>
      <c r="BD40" s="96" t="e">
        <f t="shared" ca="1" si="87"/>
        <v>#N/A</v>
      </c>
      <c r="BE40" s="100" cm="1">
        <f t="array" aca="1" ref="BE40" ca="1">IF(N40="vd",_xlfn.XLOOKUP(B40,INDIRECT("'"&amp;$A$1&amp;"'!"&amp;$AK$1&amp;"[pam_code]"),INDIRECT("'"&amp;$A$1&amp;"'!"&amp;$AK$1&amp;"[verdict_outlay_balance]")),0)</f>
        <v>0</v>
      </c>
      <c r="BF40" s="100" t="e">
        <f t="shared" ca="1" si="10"/>
        <v>#N/A</v>
      </c>
      <c r="BG40" s="96" t="e">
        <f t="shared" ca="1" si="88"/>
        <v>#N/A</v>
      </c>
      <c r="BH40" s="100" cm="1">
        <f t="array" aca="1" ref="BH40" ca="1">IF(N40="vd",_xlfn.XLOOKUP(B40,INDIRECT("'"&amp;$A$1&amp;"'!"&amp;$AK$1&amp;"[pam_code]"),INDIRECT("'"&amp;$A$1&amp;"'!"&amp;$AK$1&amp;"[verdict_loss_balance]")),0)</f>
        <v>0</v>
      </c>
      <c r="BI40" s="100" t="e">
        <f t="shared" ca="1" si="11"/>
        <v>#N/A</v>
      </c>
      <c r="BJ40" s="96" t="e">
        <f t="shared" ca="1" si="89"/>
        <v>#N/A</v>
      </c>
      <c r="BK40" s="100" cm="1">
        <f t="array" aca="1" ref="BK40" ca="1">IF(N40="vd",_xlfn.XLOOKUP(B40,INDIRECT("'"&amp;$A$1&amp;"'!"&amp;$AK$1&amp;"[pam_code]"),INDIRECT("'"&amp;$A$1&amp;"'!"&amp;$AK$1&amp;"[verdict_penalty_balance]")),0)</f>
        <v>0</v>
      </c>
      <c r="BL40" s="100" t="e">
        <f t="shared" ca="1" si="12"/>
        <v>#N/A</v>
      </c>
      <c r="BM40" s="96" t="e">
        <f t="shared" ca="1" si="90"/>
        <v>#N/A</v>
      </c>
      <c r="BN40" s="102">
        <f t="shared" si="13"/>
        <v>0</v>
      </c>
      <c r="BO40" s="119" cm="1">
        <f t="array" aca="1" ref="BO40" ca="1">IF(N40="vd",_xlfn.XLOOKUP(B40,INDIRECT("'"&amp;$A$1&amp;"'!"&amp;$AK$1&amp;"[pam_code]"),INDIRECT("'"&amp;$A$1&amp;"'!"&amp;$AK$1&amp;"[verdict_oldinterest_balance]")),IF(N40="add",Z40,0))</f>
        <v>0</v>
      </c>
      <c r="BP40" s="104" t="e">
        <f t="shared" ca="1" si="14"/>
        <v>#N/A</v>
      </c>
      <c r="BQ40" s="105" t="e">
        <f t="shared" ca="1" si="91"/>
        <v>#N/A</v>
      </c>
      <c r="BR40" s="100" cm="1">
        <f t="array" aca="1" ref="BR40" ca="1">IF(N40="vd",_xlfn.XLOOKUP(B40,INDIRECT("'"&amp;$A$1&amp;"'!"&amp;$AK$1&amp;"[pam_code]"),INDIRECT("'"&amp;$A$1&amp;"'!"&amp;$AK$1&amp;"[verdict_opportunitycost_balance]")),0)</f>
        <v>0</v>
      </c>
      <c r="BS40" s="106" t="e">
        <f t="shared" ca="1" si="15"/>
        <v>#N/A</v>
      </c>
      <c r="BT40" s="96" t="e">
        <f t="shared" ca="1" si="92"/>
        <v>#N/A</v>
      </c>
      <c r="BU40" s="109" cm="1">
        <f t="array" aca="1" ref="BU40" ca="1">IF(N40="vd",_xlfn.XLOOKUP(B40,INDIRECT("'"&amp;$A$1&amp;"'!"&amp;$AK$1&amp;"[pam_code]"),INDIRECT("'"&amp;$A$1&amp;"'!"&amp;$AK$1&amp;"[verdict_oldcharge_balance]")),0)</f>
        <v>0</v>
      </c>
      <c r="BV40" s="108" t="e">
        <f t="shared" ca="1" si="16"/>
        <v>#N/A</v>
      </c>
      <c r="BW40" s="109" t="e">
        <f t="shared" ca="1" si="93"/>
        <v>#N/A</v>
      </c>
      <c r="BX40" s="109" cm="1">
        <f t="array" aca="1" ref="BX40" ca="1">IF(N40="vd",_xlfn.XLOOKUP(B40,INDIRECT("'"&amp;$A$1&amp;"'!"&amp;$AK$1&amp;"[pam_code]"),INDIRECT("'"&amp;$A$1&amp;"'!"&amp;$AK$1&amp;"[verdict_principal_balance]")),0)</f>
        <v>0</v>
      </c>
      <c r="BY40" s="109" t="e">
        <f t="shared" ca="1" si="17"/>
        <v>#N/A</v>
      </c>
      <c r="BZ40" s="109" t="e">
        <f t="shared" ca="1" si="94"/>
        <v>#N/A</v>
      </c>
      <c r="CA40" s="109" cm="1">
        <f t="array" aca="1" ref="CA40" ca="1">IF(N40="vd",_xlfn.XLOOKUP(B40,INDIRECT("'"&amp;$A$1&amp;"'!"&amp;$AK$1&amp;"[pam_code]"),INDIRECT("'"&amp;$A$1&amp;"'!"&amp;$AK$1&amp;"[verdict_replacement_balance]")),0)</f>
        <v>0</v>
      </c>
      <c r="CB40" s="108" t="e">
        <f t="shared" ca="1" si="18"/>
        <v>#N/A</v>
      </c>
      <c r="CC40" s="109" t="e">
        <f t="shared" ca="1" si="95"/>
        <v>#N/A</v>
      </c>
      <c r="CD40" s="109" cm="1">
        <f t="array" aca="1" ref="CD40" ca="1">IF(N40="vd",_xlfn.XLOOKUP(B40,INDIRECT("'"&amp;$A$1&amp;"'!"&amp;$AK$1&amp;"[pam_code]"),INDIRECT("'"&amp;$A$1&amp;"'!"&amp;$AK$1&amp;"[verdict_all_balance]")),0)</f>
        <v>0</v>
      </c>
      <c r="CE40" s="109" t="e">
        <f t="shared" ca="1" si="19"/>
        <v>#N/A</v>
      </c>
      <c r="CF40" s="109" t="e">
        <f t="shared" ca="1" si="96"/>
        <v>#N/A</v>
      </c>
      <c r="CG40" s="109" t="e">
        <f t="shared" ca="1" si="51"/>
        <v>#N/A</v>
      </c>
      <c r="CH40" s="109">
        <f t="shared" si="52"/>
        <v>0</v>
      </c>
      <c r="CI40" s="109" t="e">
        <f t="shared" ca="1" si="53"/>
        <v>#N/A</v>
      </c>
      <c r="CJ40" s="109">
        <f t="shared" si="97"/>
        <v>0</v>
      </c>
      <c r="CK40" s="109">
        <f t="shared" si="55"/>
        <v>0</v>
      </c>
      <c r="CL40" s="230" t="str">
        <f t="shared" si="72"/>
        <v>No information</v>
      </c>
      <c r="CM40" s="109" t="e">
        <f t="shared" ca="1" si="56"/>
        <v>#N/A</v>
      </c>
      <c r="CN40" s="109" t="e">
        <f t="shared" ca="1" si="20"/>
        <v>#N/A</v>
      </c>
      <c r="CO40" s="90" t="e">
        <f t="shared" ca="1" si="21"/>
        <v>#N/A</v>
      </c>
      <c r="CQ40" s="96" t="e">
        <f t="shared" ca="1" si="73"/>
        <v>#N/A</v>
      </c>
      <c r="CR40" s="100" t="e">
        <f t="shared" ref="CR40:CS40" ca="1" si="114">CR39</f>
        <v>#N/A</v>
      </c>
      <c r="CS40" s="120" t="e">
        <f t="shared" ca="1" si="114"/>
        <v>#N/A</v>
      </c>
      <c r="CT40" s="112" t="e">
        <f t="shared" ca="1" si="22"/>
        <v>#N/A</v>
      </c>
      <c r="CU40" s="112" t="e">
        <f t="shared" ca="1" si="74"/>
        <v>#N/A</v>
      </c>
      <c r="CV40" s="97" t="e">
        <f t="shared" ca="1" si="23"/>
        <v>#N/A</v>
      </c>
      <c r="CW40" s="100" cm="1">
        <f t="array" aca="1" ref="CW40" ca="1">IF(N40="vd",_xlfn.XLOOKUP(B40,INDIRECT("'"&amp;$A$1&amp;"'!"&amp;$AK$1&amp;"[pam_code]"),INDIRECT("'"&amp;$A$1&amp;"'!"&amp;$AK$1&amp;"[verdict_expense_balance]")),
IF(N40="sold",W40,0))</f>
        <v>0</v>
      </c>
      <c r="CX40" s="100" t="e">
        <f t="shared" ca="1" si="24"/>
        <v>#N/A</v>
      </c>
      <c r="CY40" s="96" t="e">
        <f t="shared" ca="1" si="99"/>
        <v>#N/A</v>
      </c>
      <c r="CZ40" s="100" t="e">
        <f t="shared" ca="1" si="25"/>
        <v>#N/A</v>
      </c>
      <c r="DA40" s="100">
        <f t="shared" si="26"/>
        <v>0</v>
      </c>
      <c r="DB40" s="100" t="e">
        <f t="shared" ca="1" si="27"/>
        <v>#N/A</v>
      </c>
      <c r="DC40" s="96" t="e">
        <f t="shared" ca="1" si="28"/>
        <v>#N/A</v>
      </c>
      <c r="DD40" s="100" t="e">
        <f t="shared" ca="1" si="29"/>
        <v>#N/A</v>
      </c>
      <c r="DE40" s="100" t="e">
        <f t="shared" ca="1" si="58"/>
        <v>#N/A</v>
      </c>
      <c r="DF40"/>
      <c r="DG40" s="252"/>
      <c r="DH40" s="252"/>
      <c r="DI40" s="234">
        <f t="shared" si="59"/>
        <v>0</v>
      </c>
      <c r="DJ40" s="234">
        <f t="shared" si="60"/>
        <v>0</v>
      </c>
      <c r="DK40" s="234">
        <f t="shared" si="61"/>
        <v>0</v>
      </c>
      <c r="DL40" s="234">
        <f t="shared" si="62"/>
        <v>0</v>
      </c>
      <c r="DM40" s="234">
        <f t="shared" si="63"/>
        <v>0</v>
      </c>
      <c r="DN40" s="235">
        <f t="shared" si="64"/>
        <v>0</v>
      </c>
      <c r="DO40" s="236">
        <f t="shared" si="32"/>
        <v>0</v>
      </c>
      <c r="DP40" s="245">
        <f t="shared" si="65"/>
        <v>0</v>
      </c>
      <c r="DQ40" s="235"/>
      <c r="DR40" s="237">
        <f t="shared" si="33"/>
        <v>0</v>
      </c>
      <c r="DS40" s="237" t="e">
        <f t="shared" ca="1" si="66"/>
        <v>#N/A</v>
      </c>
      <c r="DT40" s="237" t="e">
        <f t="shared" ca="1" si="67"/>
        <v>#N/A</v>
      </c>
      <c r="DU40" s="237" t="e">
        <f t="shared" ca="1" si="75"/>
        <v>#N/A</v>
      </c>
      <c r="DV40" s="237" t="e">
        <f t="shared" ca="1" si="76"/>
        <v>#N/A</v>
      </c>
      <c r="DW40" s="241" t="e">
        <f t="shared" ca="1" si="34"/>
        <v>#N/A</v>
      </c>
      <c r="DX40" s="238" t="e">
        <f t="shared" ca="1" si="35"/>
        <v>#N/A</v>
      </c>
      <c r="DY40" s="237" t="e" cm="1">
        <f t="array" aca="1" ref="DY40" ca="1">_xlfn.UNIQUE(IF(CI40=0,DZ39,IF(N40="repo",DZ39,IF(N40="sold",DT40,IF(ISERR(_xlfn._xlws.FILTER($N$7:N40,$N$7:N40="sold")),MIN(DT40*DW40,DZ39),0)))))</f>
        <v>#N/A</v>
      </c>
      <c r="DZ40" s="237" t="e" cm="1">
        <f t="array" aca="1" ref="DZ40" ca="1">_xlfn.UNIQUE(IF(N40="aq",DQ40,IF(N40="sold",_xlfn._xlws.FILTER($DY$7:DY40,$N$7:N40="repo"),IF(ISERR(_xlfn._xlws.FILTER($N$7:N40,$N$7:N40="sold")),DZ39-DY40,0))))</f>
        <v>#N/A</v>
      </c>
      <c r="EA40" s="237" t="e" cm="1">
        <f t="array" aca="1" ref="EA40" ca="1">IF(OR(N40="repo",IFERROR(_xlfn._xlws.FILTER($N$7:N40,$N$7:N40="sold")="sold",FALSE)),0,DP40*DZ39*(DX40/365))</f>
        <v>#N/A</v>
      </c>
      <c r="EB40" s="237" t="e">
        <f t="shared" ca="1" si="36"/>
        <v>#N/A</v>
      </c>
      <c r="EC40" s="237" t="e">
        <f t="shared" ca="1" si="68"/>
        <v>#N/A</v>
      </c>
      <c r="ED40" s="237" cm="1">
        <f t="array" aca="1" ref="ED40" ca="1">_xlfn.IFS(N40="repo",0,N40="sold",DY40-DZ40,N40&lt;&gt;"",DT40-DY40-EB40,N40="",0)</f>
        <v>0</v>
      </c>
      <c r="EE40" s="237" t="e">
        <f t="shared" ca="1" si="37"/>
        <v>#N/A</v>
      </c>
      <c r="EF40" s="237" t="e">
        <f t="shared" ca="1" si="69"/>
        <v>#N/A</v>
      </c>
      <c r="EG40" s="237" t="e">
        <f t="shared" ca="1" si="38"/>
        <v>#N/A</v>
      </c>
    </row>
    <row r="41" spans="2:137" x14ac:dyDescent="0.3">
      <c r="B41" s="83"/>
      <c r="C41" s="83"/>
      <c r="D41" s="84"/>
      <c r="E41" s="84"/>
      <c r="F41" s="84"/>
      <c r="G41" s="84"/>
      <c r="H41" s="84"/>
      <c r="I41" s="84"/>
      <c r="J41" s="85"/>
      <c r="K41" s="85"/>
      <c r="L41" s="113"/>
      <c r="M41" s="87"/>
      <c r="N41" s="191"/>
      <c r="O41" s="272"/>
      <c r="P41" s="184"/>
      <c r="Q41" s="124"/>
      <c r="R41" s="124"/>
      <c r="S41" s="114"/>
      <c r="T41" s="90"/>
      <c r="U41"/>
      <c r="V41" s="90"/>
      <c r="W41" s="260"/>
      <c r="X41" s="260"/>
      <c r="Y41" s="89"/>
      <c r="Z41" s="91"/>
      <c r="AA41" s="97" t="e" cm="1">
        <f t="array" aca="1" ref="AA41" ca="1">IF(N41="vd",_xlfn.XLOOKUP(B41,INDIRECT("'"&amp;$A$1&amp;"'!"&amp;$AK$1&amp;"[pam_code]"),INDIRECT("'"&amp;$A$1&amp;"'!"&amp;$AK$1&amp;"[int_rate]")),AA40)</f>
        <v>#N/A</v>
      </c>
      <c r="AB41" s="116" t="e" cm="1">
        <f t="array" aca="1" ref="AB41" ca="1">IF(N41="vd",_xlfn.XLOOKUP(B41,INDIRECT("'"&amp;$A$1&amp;"'!"&amp;$AK$1&amp;"[pam_code]"),INDIRECT("'"&amp;$A$1&amp;"'!"&amp;$AK$1&amp;"[eir_rate]")),AB40)</f>
        <v>#N/A</v>
      </c>
      <c r="AC41" s="117" t="e">
        <f t="shared" ca="1" si="39"/>
        <v>#N/A</v>
      </c>
      <c r="AD41" s="93" cm="1">
        <f t="array" aca="1" ref="AD41" ca="1">IFERROR(_xlfn.IFS(G40="jm_vat",(BT40+BW40+CC40)/CG40,G40="npl_vat",(BQ40+BZ40)/CG40,G40="cm_vat",(BT40+BW40+BZ40)/CG40,ISNUMBER(FIND("_all_vat",G41)),CF40/CG40,NOT(ISNUMBER(FIND("_vat",G41))),0,G40=0,0,AND(N41="sold",$DG$7="hp"),0),0)</f>
        <v>0</v>
      </c>
      <c r="AE41" s="94" t="e">
        <f t="shared" ca="1" si="0"/>
        <v>#N/A</v>
      </c>
      <c r="AF41" s="94" t="e">
        <f t="shared" ca="1" si="1"/>
        <v>#N/A</v>
      </c>
      <c r="AG41" s="95">
        <f t="shared" ca="1" si="2"/>
        <v>0</v>
      </c>
      <c r="AH41" s="95">
        <f t="shared" ca="1" si="3"/>
        <v>0</v>
      </c>
      <c r="AK41" s="100" cm="1">
        <f t="array" aca="1" ref="AK41" ca="1">IF(N41="vd",_xlfn.XLOOKUP($B$4,INDIRECT("'"&amp;$A$1&amp;"'!"&amp;$AK$1&amp;"[pam_code]"),INDIRECT("'"&amp;$A$1&amp;"'!"&amp;$AK$1&amp;"[verdict_expense_balance]")),
IF(N41="sold",W41,0))</f>
        <v>0</v>
      </c>
      <c r="AL41" s="96" t="e">
        <f t="shared" ca="1" si="4"/>
        <v>#N/A</v>
      </c>
      <c r="AM41" s="96" t="e">
        <f t="shared" ca="1" si="82"/>
        <v>#N/A</v>
      </c>
      <c r="AN41" s="97" t="e">
        <f t="shared" ca="1" si="40"/>
        <v>#N/A</v>
      </c>
      <c r="AO41" s="98">
        <f t="shared" si="5"/>
        <v>0</v>
      </c>
      <c r="AP41" s="99" t="e">
        <f t="shared" ca="1" si="83"/>
        <v>#N/A</v>
      </c>
      <c r="AQ41" s="96">
        <f t="shared" si="6"/>
        <v>0</v>
      </c>
      <c r="AR41" s="96" t="e">
        <f t="shared" ca="1" si="84"/>
        <v>#N/A</v>
      </c>
      <c r="AS41" s="100">
        <f t="shared" si="85"/>
        <v>0</v>
      </c>
      <c r="AT41" s="96" t="e">
        <f t="shared" ca="1" si="7"/>
        <v>#N/A</v>
      </c>
      <c r="AU41" s="96" t="e">
        <f t="shared" ca="1" si="86"/>
        <v>#N/A</v>
      </c>
      <c r="AV41" s="118"/>
      <c r="AW41" s="100" t="e">
        <f t="shared" ca="1" si="8"/>
        <v>#N/A</v>
      </c>
      <c r="AX41" s="118"/>
      <c r="AY41" s="100"/>
      <c r="BB41" s="100" cm="1">
        <f t="array" aca="1" ref="BB41" ca="1">IF(N41="vd",_xlfn.XLOOKUP(B41,INDIRECT("'"&amp;$A$1&amp;"'!"&amp;$AK$1&amp;"[pam_code]"),INDIRECT("'"&amp;$A$1&amp;"'!"&amp;$AK$1&amp;"[verdict_expense_balance]")),
IF(N41="sold",W41,0))</f>
        <v>0</v>
      </c>
      <c r="BC41" s="100" t="e">
        <f t="shared" ca="1" si="9"/>
        <v>#N/A</v>
      </c>
      <c r="BD41" s="96" t="e">
        <f t="shared" ca="1" si="87"/>
        <v>#N/A</v>
      </c>
      <c r="BE41" s="100" cm="1">
        <f t="array" aca="1" ref="BE41" ca="1">IF(N41="vd",_xlfn.XLOOKUP(B41,INDIRECT("'"&amp;$A$1&amp;"'!"&amp;$AK$1&amp;"[pam_code]"),INDIRECT("'"&amp;$A$1&amp;"'!"&amp;$AK$1&amp;"[verdict_outlay_balance]")),0)</f>
        <v>0</v>
      </c>
      <c r="BF41" s="100" t="e">
        <f t="shared" ca="1" si="10"/>
        <v>#N/A</v>
      </c>
      <c r="BG41" s="96" t="e">
        <f t="shared" ca="1" si="88"/>
        <v>#N/A</v>
      </c>
      <c r="BH41" s="100" cm="1">
        <f t="array" aca="1" ref="BH41" ca="1">IF(N41="vd",_xlfn.XLOOKUP(B41,INDIRECT("'"&amp;$A$1&amp;"'!"&amp;$AK$1&amp;"[pam_code]"),INDIRECT("'"&amp;$A$1&amp;"'!"&amp;$AK$1&amp;"[verdict_loss_balance]")),0)</f>
        <v>0</v>
      </c>
      <c r="BI41" s="100" t="e">
        <f t="shared" ca="1" si="11"/>
        <v>#N/A</v>
      </c>
      <c r="BJ41" s="96" t="e">
        <f t="shared" ca="1" si="89"/>
        <v>#N/A</v>
      </c>
      <c r="BK41" s="100" cm="1">
        <f t="array" aca="1" ref="BK41" ca="1">IF(N41="vd",_xlfn.XLOOKUP(B41,INDIRECT("'"&amp;$A$1&amp;"'!"&amp;$AK$1&amp;"[pam_code]"),INDIRECT("'"&amp;$A$1&amp;"'!"&amp;$AK$1&amp;"[verdict_penalty_balance]")),0)</f>
        <v>0</v>
      </c>
      <c r="BL41" s="100" t="e">
        <f t="shared" ca="1" si="12"/>
        <v>#N/A</v>
      </c>
      <c r="BM41" s="96" t="e">
        <f t="shared" ca="1" si="90"/>
        <v>#N/A</v>
      </c>
      <c r="BN41" s="102">
        <f t="shared" si="13"/>
        <v>0</v>
      </c>
      <c r="BO41" s="119" cm="1">
        <f t="array" aca="1" ref="BO41" ca="1">IF(N41="vd",_xlfn.XLOOKUP(B41,INDIRECT("'"&amp;$A$1&amp;"'!"&amp;$AK$1&amp;"[pam_code]"),INDIRECT("'"&amp;$A$1&amp;"'!"&amp;$AK$1&amp;"[verdict_oldinterest_balance]")),IF(N41="add",Z41,0))</f>
        <v>0</v>
      </c>
      <c r="BP41" s="104" t="e">
        <f t="shared" ca="1" si="14"/>
        <v>#N/A</v>
      </c>
      <c r="BQ41" s="105" t="e">
        <f t="shared" ca="1" si="91"/>
        <v>#N/A</v>
      </c>
      <c r="BR41" s="100" cm="1">
        <f t="array" aca="1" ref="BR41" ca="1">IF(N41="vd",_xlfn.XLOOKUP(B41,INDIRECT("'"&amp;$A$1&amp;"'!"&amp;$AK$1&amp;"[pam_code]"),INDIRECT("'"&amp;$A$1&amp;"'!"&amp;$AK$1&amp;"[verdict_opportunitycost_balance]")),0)</f>
        <v>0</v>
      </c>
      <c r="BS41" s="106" t="e">
        <f t="shared" ca="1" si="15"/>
        <v>#N/A</v>
      </c>
      <c r="BT41" s="96" t="e">
        <f t="shared" ca="1" si="92"/>
        <v>#N/A</v>
      </c>
      <c r="BU41" s="109" cm="1">
        <f t="array" aca="1" ref="BU41" ca="1">IF(N41="vd",_xlfn.XLOOKUP(B41,INDIRECT("'"&amp;$A$1&amp;"'!"&amp;$AK$1&amp;"[pam_code]"),INDIRECT("'"&amp;$A$1&amp;"'!"&amp;$AK$1&amp;"[verdict_oldcharge_balance]")),0)</f>
        <v>0</v>
      </c>
      <c r="BV41" s="108" t="e">
        <f t="shared" ca="1" si="16"/>
        <v>#N/A</v>
      </c>
      <c r="BW41" s="109" t="e">
        <f t="shared" ca="1" si="93"/>
        <v>#N/A</v>
      </c>
      <c r="BX41" s="109" cm="1">
        <f t="array" aca="1" ref="BX41" ca="1">IF(N41="vd",_xlfn.XLOOKUP(B41,INDIRECT("'"&amp;$A$1&amp;"'!"&amp;$AK$1&amp;"[pam_code]"),INDIRECT("'"&amp;$A$1&amp;"'!"&amp;$AK$1&amp;"[verdict_principal_balance]")),0)</f>
        <v>0</v>
      </c>
      <c r="BY41" s="109" t="e">
        <f t="shared" ca="1" si="17"/>
        <v>#N/A</v>
      </c>
      <c r="BZ41" s="109" t="e">
        <f t="shared" ca="1" si="94"/>
        <v>#N/A</v>
      </c>
      <c r="CA41" s="109" cm="1">
        <f t="array" aca="1" ref="CA41" ca="1">IF(N41="vd",_xlfn.XLOOKUP(B41,INDIRECT("'"&amp;$A$1&amp;"'!"&amp;$AK$1&amp;"[pam_code]"),INDIRECT("'"&amp;$A$1&amp;"'!"&amp;$AK$1&amp;"[verdict_replacement_balance]")),0)</f>
        <v>0</v>
      </c>
      <c r="CB41" s="108" t="e">
        <f t="shared" ca="1" si="18"/>
        <v>#N/A</v>
      </c>
      <c r="CC41" s="109" t="e">
        <f t="shared" ca="1" si="95"/>
        <v>#N/A</v>
      </c>
      <c r="CD41" s="109" cm="1">
        <f t="array" aca="1" ref="CD41" ca="1">IF(N41="vd",_xlfn.XLOOKUP(B41,INDIRECT("'"&amp;$A$1&amp;"'!"&amp;$AK$1&amp;"[pam_code]"),INDIRECT("'"&amp;$A$1&amp;"'!"&amp;$AK$1&amp;"[verdict_all_balance]")),0)</f>
        <v>0</v>
      </c>
      <c r="CE41" s="109" t="e">
        <f t="shared" ca="1" si="19"/>
        <v>#N/A</v>
      </c>
      <c r="CF41" s="109" t="e">
        <f t="shared" ca="1" si="96"/>
        <v>#N/A</v>
      </c>
      <c r="CG41" s="109" t="e">
        <f t="shared" ca="1" si="51"/>
        <v>#N/A</v>
      </c>
      <c r="CH41" s="109">
        <f t="shared" si="52"/>
        <v>0</v>
      </c>
      <c r="CI41" s="109" t="e">
        <f t="shared" ca="1" si="53"/>
        <v>#N/A</v>
      </c>
      <c r="CJ41" s="109">
        <f t="shared" si="97"/>
        <v>0</v>
      </c>
      <c r="CK41" s="109">
        <f t="shared" si="55"/>
        <v>0</v>
      </c>
      <c r="CL41" s="230" t="str">
        <f t="shared" si="72"/>
        <v>No information</v>
      </c>
      <c r="CM41" s="109" t="e">
        <f t="shared" ca="1" si="56"/>
        <v>#N/A</v>
      </c>
      <c r="CN41" s="109" t="e">
        <f t="shared" ca="1" si="20"/>
        <v>#N/A</v>
      </c>
      <c r="CO41" s="90" t="e">
        <f t="shared" ca="1" si="21"/>
        <v>#N/A</v>
      </c>
      <c r="CQ41" s="96" t="e">
        <f t="shared" ca="1" si="73"/>
        <v>#N/A</v>
      </c>
      <c r="CR41" s="100" t="e">
        <f t="shared" ref="CR41:CS41" ca="1" si="115">CR40</f>
        <v>#N/A</v>
      </c>
      <c r="CS41" s="120" t="e">
        <f t="shared" ca="1" si="115"/>
        <v>#N/A</v>
      </c>
      <c r="CT41" s="112" t="e">
        <f t="shared" ca="1" si="22"/>
        <v>#N/A</v>
      </c>
      <c r="CU41" s="112" t="e">
        <f t="shared" ca="1" si="74"/>
        <v>#N/A</v>
      </c>
      <c r="CV41" s="97" t="e">
        <f t="shared" ca="1" si="23"/>
        <v>#N/A</v>
      </c>
      <c r="CW41" s="100" cm="1">
        <f t="array" aca="1" ref="CW41" ca="1">IF(N41="vd",_xlfn.XLOOKUP(B41,INDIRECT("'"&amp;$A$1&amp;"'!"&amp;$AK$1&amp;"[pam_code]"),INDIRECT("'"&amp;$A$1&amp;"'!"&amp;$AK$1&amp;"[verdict_expense_balance]")),
IF(N41="sold",W41,0))</f>
        <v>0</v>
      </c>
      <c r="CX41" s="100" t="e">
        <f t="shared" ca="1" si="24"/>
        <v>#N/A</v>
      </c>
      <c r="CY41" s="96" t="e">
        <f t="shared" ca="1" si="99"/>
        <v>#N/A</v>
      </c>
      <c r="CZ41" s="100" t="e">
        <f t="shared" ca="1" si="25"/>
        <v>#N/A</v>
      </c>
      <c r="DA41" s="100">
        <f t="shared" si="26"/>
        <v>0</v>
      </c>
      <c r="DB41" s="100" t="e">
        <f t="shared" ca="1" si="27"/>
        <v>#N/A</v>
      </c>
      <c r="DC41" s="96" t="e">
        <f t="shared" ca="1" si="28"/>
        <v>#N/A</v>
      </c>
      <c r="DD41" s="100" t="e">
        <f t="shared" ca="1" si="29"/>
        <v>#N/A</v>
      </c>
      <c r="DE41" s="100" t="e">
        <f t="shared" ca="1" si="58"/>
        <v>#N/A</v>
      </c>
      <c r="DF41"/>
      <c r="DG41" s="252"/>
      <c r="DH41" s="252"/>
      <c r="DI41" s="234">
        <f t="shared" si="59"/>
        <v>0</v>
      </c>
      <c r="DJ41" s="234">
        <f t="shared" si="60"/>
        <v>0</v>
      </c>
      <c r="DK41" s="234">
        <f t="shared" si="61"/>
        <v>0</v>
      </c>
      <c r="DL41" s="234">
        <f t="shared" si="62"/>
        <v>0</v>
      </c>
      <c r="DM41" s="234">
        <f t="shared" si="63"/>
        <v>0</v>
      </c>
      <c r="DN41" s="235">
        <f t="shared" si="64"/>
        <v>0</v>
      </c>
      <c r="DO41" s="236">
        <f t="shared" si="32"/>
        <v>0</v>
      </c>
      <c r="DP41" s="245">
        <f t="shared" si="65"/>
        <v>0</v>
      </c>
      <c r="DQ41" s="235"/>
      <c r="DR41" s="237">
        <f t="shared" si="33"/>
        <v>0</v>
      </c>
      <c r="DS41" s="237" t="e">
        <f t="shared" ca="1" si="66"/>
        <v>#N/A</v>
      </c>
      <c r="DT41" s="237" t="e">
        <f t="shared" ca="1" si="67"/>
        <v>#N/A</v>
      </c>
      <c r="DU41" s="237" t="e">
        <f t="shared" ca="1" si="75"/>
        <v>#N/A</v>
      </c>
      <c r="DV41" s="237" t="e">
        <f t="shared" ca="1" si="76"/>
        <v>#N/A</v>
      </c>
      <c r="DW41" s="241" t="e">
        <f t="shared" ca="1" si="34"/>
        <v>#N/A</v>
      </c>
      <c r="DX41" s="238" t="e">
        <f t="shared" ca="1" si="35"/>
        <v>#N/A</v>
      </c>
      <c r="DY41" s="237" t="e" cm="1">
        <f t="array" aca="1" ref="DY41" ca="1">_xlfn.UNIQUE(IF(CI41=0,DZ40,IF(N41="repo",DZ40,IF(N41="sold",DT41,IF(ISERR(_xlfn._xlws.FILTER($N$7:N41,$N$7:N41="sold")),MIN(DT41*DW41,DZ40),0)))))</f>
        <v>#N/A</v>
      </c>
      <c r="DZ41" s="237" t="e" cm="1">
        <f t="array" aca="1" ref="DZ41" ca="1">_xlfn.UNIQUE(IF(N41="aq",DQ41,IF(N41="sold",_xlfn._xlws.FILTER($DY$7:DY41,$N$7:N41="repo"),IF(ISERR(_xlfn._xlws.FILTER($N$7:N41,$N$7:N41="sold")),DZ40-DY41,0))))</f>
        <v>#N/A</v>
      </c>
      <c r="EA41" s="237" t="e" cm="1">
        <f t="array" aca="1" ref="EA41" ca="1">IF(OR(N41="repo",IFERROR(_xlfn._xlws.FILTER($N$7:N41,$N$7:N41="sold")="sold",FALSE)),0,DP41*DZ40*(DX41/365))</f>
        <v>#N/A</v>
      </c>
      <c r="EB41" s="237" t="e">
        <f t="shared" ca="1" si="36"/>
        <v>#N/A</v>
      </c>
      <c r="EC41" s="237" t="e">
        <f t="shared" ca="1" si="68"/>
        <v>#N/A</v>
      </c>
      <c r="ED41" s="237" cm="1">
        <f t="array" aca="1" ref="ED41" ca="1">_xlfn.IFS(N41="repo",0,N41="sold",DY41-DZ41,N41&lt;&gt;"",DT41-DY41-EB41,N41="",0)</f>
        <v>0</v>
      </c>
      <c r="EE41" s="237" t="e">
        <f t="shared" ca="1" si="37"/>
        <v>#N/A</v>
      </c>
      <c r="EF41" s="237" t="e">
        <f t="shared" ca="1" si="69"/>
        <v>#N/A</v>
      </c>
      <c r="EG41" s="237" t="e">
        <f t="shared" ca="1" si="38"/>
        <v>#N/A</v>
      </c>
    </row>
    <row r="42" spans="2:137" x14ac:dyDescent="0.3">
      <c r="B42" s="83"/>
      <c r="C42" s="83"/>
      <c r="D42" s="84"/>
      <c r="E42" s="84"/>
      <c r="F42" s="84"/>
      <c r="G42" s="84"/>
      <c r="H42" s="84"/>
      <c r="I42" s="84"/>
      <c r="J42" s="85"/>
      <c r="K42" s="85"/>
      <c r="L42" s="113"/>
      <c r="M42" s="87"/>
      <c r="N42" s="191"/>
      <c r="O42" s="272"/>
      <c r="P42" s="184"/>
      <c r="Q42" s="124"/>
      <c r="R42" s="124"/>
      <c r="S42" s="114"/>
      <c r="T42" s="90"/>
      <c r="U42"/>
      <c r="V42" s="90"/>
      <c r="W42" s="260"/>
      <c r="X42" s="260"/>
      <c r="Y42" s="89"/>
      <c r="Z42" s="91"/>
      <c r="AA42" s="97" t="e" cm="1">
        <f t="array" aca="1" ref="AA42" ca="1">IF(N42="vd",_xlfn.XLOOKUP(B42,INDIRECT("'"&amp;$A$1&amp;"'!"&amp;$AK$1&amp;"[pam_code]"),INDIRECT("'"&amp;$A$1&amp;"'!"&amp;$AK$1&amp;"[int_rate]")),AA41)</f>
        <v>#N/A</v>
      </c>
      <c r="AB42" s="116" t="e" cm="1">
        <f t="array" aca="1" ref="AB42" ca="1">IF(N42="vd",_xlfn.XLOOKUP(B42,INDIRECT("'"&amp;$A$1&amp;"'!"&amp;$AK$1&amp;"[pam_code]"),INDIRECT("'"&amp;$A$1&amp;"'!"&amp;$AK$1&amp;"[eir_rate]")),AB41)</f>
        <v>#N/A</v>
      </c>
      <c r="AC42" s="117" t="e">
        <f t="shared" ca="1" si="39"/>
        <v>#N/A</v>
      </c>
      <c r="AD42" s="93" cm="1">
        <f t="array" aca="1" ref="AD42" ca="1">IFERROR(_xlfn.IFS(G41="jm_vat",(BT41+BW41+CC41)/CG41,G41="npl_vat",(BQ41+BZ41)/CG41,G41="cm_vat",(BT41+BW41+BZ41)/CG41,ISNUMBER(FIND("_all_vat",G42)),CF41/CG41,NOT(ISNUMBER(FIND("_vat",G42))),0,G41=0,0,AND(N42="sold",$DG$7="hp"),0),0)</f>
        <v>0</v>
      </c>
      <c r="AE42" s="94" t="e">
        <f t="shared" ca="1" si="0"/>
        <v>#N/A</v>
      </c>
      <c r="AF42" s="94" t="e">
        <f t="shared" ca="1" si="1"/>
        <v>#N/A</v>
      </c>
      <c r="AG42" s="95">
        <f t="shared" ca="1" si="2"/>
        <v>0</v>
      </c>
      <c r="AH42" s="95">
        <f t="shared" ca="1" si="3"/>
        <v>0</v>
      </c>
      <c r="AK42" s="100" cm="1">
        <f t="array" aca="1" ref="AK42" ca="1">IF(N42="vd",_xlfn.XLOOKUP($B$4,INDIRECT("'"&amp;$A$1&amp;"'!"&amp;$AK$1&amp;"[pam_code]"),INDIRECT("'"&amp;$A$1&amp;"'!"&amp;$AK$1&amp;"[verdict_expense_balance]")),
IF(N42="sold",W42,0))</f>
        <v>0</v>
      </c>
      <c r="AL42" s="96" t="e">
        <f t="shared" ca="1" si="4"/>
        <v>#N/A</v>
      </c>
      <c r="AM42" s="96" t="e">
        <f t="shared" ca="1" si="82"/>
        <v>#N/A</v>
      </c>
      <c r="AN42" s="97" t="e">
        <f t="shared" ca="1" si="40"/>
        <v>#N/A</v>
      </c>
      <c r="AO42" s="98">
        <f t="shared" si="5"/>
        <v>0</v>
      </c>
      <c r="AP42" s="99" t="e">
        <f t="shared" ca="1" si="83"/>
        <v>#N/A</v>
      </c>
      <c r="AQ42" s="96">
        <f t="shared" si="6"/>
        <v>0</v>
      </c>
      <c r="AR42" s="96" t="e">
        <f t="shared" ca="1" si="84"/>
        <v>#N/A</v>
      </c>
      <c r="AS42" s="100">
        <f t="shared" si="85"/>
        <v>0</v>
      </c>
      <c r="AT42" s="96" t="e">
        <f t="shared" ca="1" si="7"/>
        <v>#N/A</v>
      </c>
      <c r="AU42" s="96" t="e">
        <f t="shared" ca="1" si="86"/>
        <v>#N/A</v>
      </c>
      <c r="AV42" s="118"/>
      <c r="AW42" s="100" t="e">
        <f t="shared" ca="1" si="8"/>
        <v>#N/A</v>
      </c>
      <c r="AX42" s="118"/>
      <c r="AY42" s="100"/>
      <c r="BB42" s="100" cm="1">
        <f t="array" aca="1" ref="BB42" ca="1">IF(N42="vd",_xlfn.XLOOKUP(B42,INDIRECT("'"&amp;$A$1&amp;"'!"&amp;$AK$1&amp;"[pam_code]"),INDIRECT("'"&amp;$A$1&amp;"'!"&amp;$AK$1&amp;"[verdict_expense_balance]")),
IF(N42="sold",W42,0))</f>
        <v>0</v>
      </c>
      <c r="BC42" s="100" t="e">
        <f t="shared" ca="1" si="9"/>
        <v>#N/A</v>
      </c>
      <c r="BD42" s="96" t="e">
        <f t="shared" ca="1" si="87"/>
        <v>#N/A</v>
      </c>
      <c r="BE42" s="100" cm="1">
        <f t="array" aca="1" ref="BE42" ca="1">IF(N42="vd",_xlfn.XLOOKUP(B42,INDIRECT("'"&amp;$A$1&amp;"'!"&amp;$AK$1&amp;"[pam_code]"),INDIRECT("'"&amp;$A$1&amp;"'!"&amp;$AK$1&amp;"[verdict_outlay_balance]")),0)</f>
        <v>0</v>
      </c>
      <c r="BF42" s="100" t="e">
        <f t="shared" ca="1" si="10"/>
        <v>#N/A</v>
      </c>
      <c r="BG42" s="96" t="e">
        <f t="shared" ca="1" si="88"/>
        <v>#N/A</v>
      </c>
      <c r="BH42" s="100" cm="1">
        <f t="array" aca="1" ref="BH42" ca="1">IF(N42="vd",_xlfn.XLOOKUP(B42,INDIRECT("'"&amp;$A$1&amp;"'!"&amp;$AK$1&amp;"[pam_code]"),INDIRECT("'"&amp;$A$1&amp;"'!"&amp;$AK$1&amp;"[verdict_loss_balance]")),0)</f>
        <v>0</v>
      </c>
      <c r="BI42" s="100" t="e">
        <f t="shared" ca="1" si="11"/>
        <v>#N/A</v>
      </c>
      <c r="BJ42" s="96" t="e">
        <f t="shared" ca="1" si="89"/>
        <v>#N/A</v>
      </c>
      <c r="BK42" s="100" cm="1">
        <f t="array" aca="1" ref="BK42" ca="1">IF(N42="vd",_xlfn.XLOOKUP(B42,INDIRECT("'"&amp;$A$1&amp;"'!"&amp;$AK$1&amp;"[pam_code]"),INDIRECT("'"&amp;$A$1&amp;"'!"&amp;$AK$1&amp;"[verdict_penalty_balance]")),0)</f>
        <v>0</v>
      </c>
      <c r="BL42" s="100" t="e">
        <f t="shared" ca="1" si="12"/>
        <v>#N/A</v>
      </c>
      <c r="BM42" s="96" t="e">
        <f t="shared" ca="1" si="90"/>
        <v>#N/A</v>
      </c>
      <c r="BN42" s="102">
        <f t="shared" si="13"/>
        <v>0</v>
      </c>
      <c r="BO42" s="119" cm="1">
        <f t="array" aca="1" ref="BO42" ca="1">IF(N42="vd",_xlfn.XLOOKUP(B42,INDIRECT("'"&amp;$A$1&amp;"'!"&amp;$AK$1&amp;"[pam_code]"),INDIRECT("'"&amp;$A$1&amp;"'!"&amp;$AK$1&amp;"[verdict_oldinterest_balance]")),IF(N42="add",Z42,0))</f>
        <v>0</v>
      </c>
      <c r="BP42" s="104" t="e">
        <f t="shared" ca="1" si="14"/>
        <v>#N/A</v>
      </c>
      <c r="BQ42" s="105" t="e">
        <f t="shared" ca="1" si="91"/>
        <v>#N/A</v>
      </c>
      <c r="BR42" s="100" cm="1">
        <f t="array" aca="1" ref="BR42" ca="1">IF(N42="vd",_xlfn.XLOOKUP(B42,INDIRECT("'"&amp;$A$1&amp;"'!"&amp;$AK$1&amp;"[pam_code]"),INDIRECT("'"&amp;$A$1&amp;"'!"&amp;$AK$1&amp;"[verdict_opportunitycost_balance]")),0)</f>
        <v>0</v>
      </c>
      <c r="BS42" s="106" t="e">
        <f t="shared" ca="1" si="15"/>
        <v>#N/A</v>
      </c>
      <c r="BT42" s="96" t="e">
        <f t="shared" ca="1" si="92"/>
        <v>#N/A</v>
      </c>
      <c r="BU42" s="109" cm="1">
        <f t="array" aca="1" ref="BU42" ca="1">IF(N42="vd",_xlfn.XLOOKUP(B42,INDIRECT("'"&amp;$A$1&amp;"'!"&amp;$AK$1&amp;"[pam_code]"),INDIRECT("'"&amp;$A$1&amp;"'!"&amp;$AK$1&amp;"[verdict_oldcharge_balance]")),0)</f>
        <v>0</v>
      </c>
      <c r="BV42" s="108" t="e">
        <f t="shared" ca="1" si="16"/>
        <v>#N/A</v>
      </c>
      <c r="BW42" s="109" t="e">
        <f t="shared" ca="1" si="93"/>
        <v>#N/A</v>
      </c>
      <c r="BX42" s="109" cm="1">
        <f t="array" aca="1" ref="BX42" ca="1">IF(N42="vd",_xlfn.XLOOKUP(B42,INDIRECT("'"&amp;$A$1&amp;"'!"&amp;$AK$1&amp;"[pam_code]"),INDIRECT("'"&amp;$A$1&amp;"'!"&amp;$AK$1&amp;"[verdict_principal_balance]")),0)</f>
        <v>0</v>
      </c>
      <c r="BY42" s="109" t="e">
        <f t="shared" ca="1" si="17"/>
        <v>#N/A</v>
      </c>
      <c r="BZ42" s="109" t="e">
        <f t="shared" ca="1" si="94"/>
        <v>#N/A</v>
      </c>
      <c r="CA42" s="109" cm="1">
        <f t="array" aca="1" ref="CA42" ca="1">IF(N42="vd",_xlfn.XLOOKUP(B42,INDIRECT("'"&amp;$A$1&amp;"'!"&amp;$AK$1&amp;"[pam_code]"),INDIRECT("'"&amp;$A$1&amp;"'!"&amp;$AK$1&amp;"[verdict_replacement_balance]")),0)</f>
        <v>0</v>
      </c>
      <c r="CB42" s="108" t="e">
        <f t="shared" ca="1" si="18"/>
        <v>#N/A</v>
      </c>
      <c r="CC42" s="109" t="e">
        <f t="shared" ca="1" si="95"/>
        <v>#N/A</v>
      </c>
      <c r="CD42" s="109" cm="1">
        <f t="array" aca="1" ref="CD42" ca="1">IF(N42="vd",_xlfn.XLOOKUP(B42,INDIRECT("'"&amp;$A$1&amp;"'!"&amp;$AK$1&amp;"[pam_code]"),INDIRECT("'"&amp;$A$1&amp;"'!"&amp;$AK$1&amp;"[verdict_all_balance]")),0)</f>
        <v>0</v>
      </c>
      <c r="CE42" s="109" t="e">
        <f t="shared" ca="1" si="19"/>
        <v>#N/A</v>
      </c>
      <c r="CF42" s="109" t="e">
        <f t="shared" ca="1" si="96"/>
        <v>#N/A</v>
      </c>
      <c r="CG42" s="109" t="e">
        <f t="shared" ca="1" si="51"/>
        <v>#N/A</v>
      </c>
      <c r="CH42" s="109">
        <f t="shared" si="52"/>
        <v>0</v>
      </c>
      <c r="CI42" s="109" t="e">
        <f t="shared" ca="1" si="53"/>
        <v>#N/A</v>
      </c>
      <c r="CJ42" s="109">
        <f t="shared" si="97"/>
        <v>0</v>
      </c>
      <c r="CK42" s="109">
        <f t="shared" si="55"/>
        <v>0</v>
      </c>
      <c r="CL42" s="230" t="str">
        <f t="shared" si="72"/>
        <v>No information</v>
      </c>
      <c r="CM42" s="109" t="e">
        <f t="shared" ca="1" si="56"/>
        <v>#N/A</v>
      </c>
      <c r="CN42" s="109" t="e">
        <f t="shared" ca="1" si="20"/>
        <v>#N/A</v>
      </c>
      <c r="CO42" s="90" t="e">
        <f t="shared" ca="1" si="21"/>
        <v>#N/A</v>
      </c>
      <c r="CQ42" s="96" t="e">
        <f t="shared" ca="1" si="73"/>
        <v>#N/A</v>
      </c>
      <c r="CR42" s="100" t="e">
        <f t="shared" ref="CR42:CS42" ca="1" si="116">CR41</f>
        <v>#N/A</v>
      </c>
      <c r="CS42" s="120" t="e">
        <f t="shared" ca="1" si="116"/>
        <v>#N/A</v>
      </c>
      <c r="CT42" s="112" t="e">
        <f t="shared" ca="1" si="22"/>
        <v>#N/A</v>
      </c>
      <c r="CU42" s="112" t="e">
        <f t="shared" ca="1" si="74"/>
        <v>#N/A</v>
      </c>
      <c r="CV42" s="97" t="e">
        <f t="shared" ca="1" si="23"/>
        <v>#N/A</v>
      </c>
      <c r="CW42" s="100" cm="1">
        <f t="array" aca="1" ref="CW42" ca="1">IF(N42="vd",_xlfn.XLOOKUP(B42,INDIRECT("'"&amp;$A$1&amp;"'!"&amp;$AK$1&amp;"[pam_code]"),INDIRECT("'"&amp;$A$1&amp;"'!"&amp;$AK$1&amp;"[verdict_expense_balance]")),
IF(N42="sold",W42,0))</f>
        <v>0</v>
      </c>
      <c r="CX42" s="100" t="e">
        <f t="shared" ca="1" si="24"/>
        <v>#N/A</v>
      </c>
      <c r="CY42" s="96" t="e">
        <f t="shared" ca="1" si="99"/>
        <v>#N/A</v>
      </c>
      <c r="CZ42" s="100" t="e">
        <f t="shared" ca="1" si="25"/>
        <v>#N/A</v>
      </c>
      <c r="DA42" s="100">
        <f t="shared" si="26"/>
        <v>0</v>
      </c>
      <c r="DB42" s="100" t="e">
        <f t="shared" ca="1" si="27"/>
        <v>#N/A</v>
      </c>
      <c r="DC42" s="96" t="e">
        <f t="shared" ca="1" si="28"/>
        <v>#N/A</v>
      </c>
      <c r="DD42" s="100" t="e">
        <f t="shared" ca="1" si="29"/>
        <v>#N/A</v>
      </c>
      <c r="DE42" s="100" t="e">
        <f t="shared" ca="1" si="58"/>
        <v>#N/A</v>
      </c>
      <c r="DF42"/>
      <c r="DG42" s="252"/>
      <c r="DH42" s="252"/>
      <c r="DI42" s="234">
        <f t="shared" si="59"/>
        <v>0</v>
      </c>
      <c r="DJ42" s="234">
        <f t="shared" si="60"/>
        <v>0</v>
      </c>
      <c r="DK42" s="234">
        <f t="shared" si="61"/>
        <v>0</v>
      </c>
      <c r="DL42" s="234">
        <f t="shared" si="62"/>
        <v>0</v>
      </c>
      <c r="DM42" s="234">
        <f t="shared" si="63"/>
        <v>0</v>
      </c>
      <c r="DN42" s="235">
        <f t="shared" si="64"/>
        <v>0</v>
      </c>
      <c r="DO42" s="236">
        <f t="shared" si="32"/>
        <v>0</v>
      </c>
      <c r="DP42" s="245">
        <f t="shared" si="65"/>
        <v>0</v>
      </c>
      <c r="DQ42" s="235"/>
      <c r="DR42" s="237">
        <f t="shared" si="33"/>
        <v>0</v>
      </c>
      <c r="DS42" s="237" t="e">
        <f t="shared" ca="1" si="66"/>
        <v>#N/A</v>
      </c>
      <c r="DT42" s="237" t="e">
        <f t="shared" ca="1" si="67"/>
        <v>#N/A</v>
      </c>
      <c r="DU42" s="237" t="e">
        <f t="shared" ca="1" si="75"/>
        <v>#N/A</v>
      </c>
      <c r="DV42" s="237" t="e">
        <f t="shared" ca="1" si="76"/>
        <v>#N/A</v>
      </c>
      <c r="DW42" s="241" t="e">
        <f t="shared" ca="1" si="34"/>
        <v>#N/A</v>
      </c>
      <c r="DX42" s="238" t="e">
        <f t="shared" ca="1" si="35"/>
        <v>#N/A</v>
      </c>
      <c r="DY42" s="237" t="e" cm="1">
        <f t="array" aca="1" ref="DY42" ca="1">_xlfn.UNIQUE(IF(CI42=0,DZ41,IF(N42="repo",DZ41,IF(N42="sold",DT42,IF(ISERR(_xlfn._xlws.FILTER($N$7:N42,$N$7:N42="sold")),MIN(DT42*DW42,DZ41),0)))))</f>
        <v>#N/A</v>
      </c>
      <c r="DZ42" s="237" t="e" cm="1">
        <f t="array" aca="1" ref="DZ42" ca="1">_xlfn.UNIQUE(IF(N42="aq",DQ42,IF(N42="sold",_xlfn._xlws.FILTER($DY$7:DY42,$N$7:N42="repo"),IF(ISERR(_xlfn._xlws.FILTER($N$7:N42,$N$7:N42="sold")),DZ41-DY42,0))))</f>
        <v>#N/A</v>
      </c>
      <c r="EA42" s="237" t="e" cm="1">
        <f t="array" aca="1" ref="EA42" ca="1">IF(OR(N42="repo",IFERROR(_xlfn._xlws.FILTER($N$7:N42,$N$7:N42="sold")="sold",FALSE)),0,DP42*DZ41*(DX42/365))</f>
        <v>#N/A</v>
      </c>
      <c r="EB42" s="237" t="e">
        <f t="shared" ca="1" si="36"/>
        <v>#N/A</v>
      </c>
      <c r="EC42" s="237" t="e">
        <f t="shared" ca="1" si="68"/>
        <v>#N/A</v>
      </c>
      <c r="ED42" s="237" cm="1">
        <f t="array" aca="1" ref="ED42" ca="1">_xlfn.IFS(N42="repo",0,N42="sold",DY42-DZ42,N42&lt;&gt;"",DT42-DY42-EB42,N42="",0)</f>
        <v>0</v>
      </c>
      <c r="EE42" s="237" t="e">
        <f t="shared" ca="1" si="37"/>
        <v>#N/A</v>
      </c>
      <c r="EF42" s="237" t="e">
        <f t="shared" ca="1" si="69"/>
        <v>#N/A</v>
      </c>
      <c r="EG42" s="237" t="e">
        <f t="shared" ca="1" si="38"/>
        <v>#N/A</v>
      </c>
    </row>
    <row r="43" spans="2:137" x14ac:dyDescent="0.3">
      <c r="B43" s="83"/>
      <c r="C43" s="83"/>
      <c r="D43" s="84"/>
      <c r="E43" s="84"/>
      <c r="F43" s="84"/>
      <c r="G43" s="84"/>
      <c r="H43" s="84"/>
      <c r="I43" s="84"/>
      <c r="J43" s="85"/>
      <c r="K43" s="85"/>
      <c r="L43" s="113"/>
      <c r="M43" s="87"/>
      <c r="N43" s="191"/>
      <c r="O43" s="272"/>
      <c r="P43" s="184"/>
      <c r="Q43" s="124"/>
      <c r="R43" s="124"/>
      <c r="S43" s="114"/>
      <c r="T43" s="90"/>
      <c r="U43"/>
      <c r="V43" s="90"/>
      <c r="W43" s="260"/>
      <c r="X43" s="260"/>
      <c r="Y43" s="89"/>
      <c r="Z43" s="91"/>
      <c r="AA43" s="97" t="e" cm="1">
        <f t="array" aca="1" ref="AA43" ca="1">IF(N43="vd",_xlfn.XLOOKUP(B43,INDIRECT("'"&amp;$A$1&amp;"'!"&amp;$AK$1&amp;"[pam_code]"),INDIRECT("'"&amp;$A$1&amp;"'!"&amp;$AK$1&amp;"[int_rate]")),AA42)</f>
        <v>#N/A</v>
      </c>
      <c r="AB43" s="116" t="e" cm="1">
        <f t="array" aca="1" ref="AB43" ca="1">IF(N43="vd",_xlfn.XLOOKUP(B43,INDIRECT("'"&amp;$A$1&amp;"'!"&amp;$AK$1&amp;"[pam_code]"),INDIRECT("'"&amp;$A$1&amp;"'!"&amp;$AK$1&amp;"[eir_rate]")),AB42)</f>
        <v>#N/A</v>
      </c>
      <c r="AC43" s="117" t="e">
        <f t="shared" ca="1" si="39"/>
        <v>#N/A</v>
      </c>
      <c r="AD43" s="93" cm="1">
        <f t="array" aca="1" ref="AD43" ca="1">IFERROR(_xlfn.IFS(G42="jm_vat",(BT42+BW42+CC42)/CG42,G42="npl_vat",(BQ42+BZ42)/CG42,G42="cm_vat",(BT42+BW42+BZ42)/CG42,ISNUMBER(FIND("_all_vat",G43)),CF42/CG42,NOT(ISNUMBER(FIND("_vat",G43))),0,G42=0,0,AND(N43="sold",$DG$7="hp"),0),0)</f>
        <v>0</v>
      </c>
      <c r="AE43" s="94" t="e">
        <f t="shared" ca="1" si="0"/>
        <v>#N/A</v>
      </c>
      <c r="AF43" s="94" t="e">
        <f t="shared" ca="1" si="1"/>
        <v>#N/A</v>
      </c>
      <c r="AG43" s="95">
        <f t="shared" ca="1" si="2"/>
        <v>0</v>
      </c>
      <c r="AH43" s="95">
        <f t="shared" ca="1" si="3"/>
        <v>0</v>
      </c>
      <c r="AK43" s="100" cm="1">
        <f t="array" aca="1" ref="AK43" ca="1">IF(N43="vd",_xlfn.XLOOKUP($B$4,INDIRECT("'"&amp;$A$1&amp;"'!"&amp;$AK$1&amp;"[pam_code]"),INDIRECT("'"&amp;$A$1&amp;"'!"&amp;$AK$1&amp;"[verdict_expense_balance]")),
IF(N43="sold",W43,0))</f>
        <v>0</v>
      </c>
      <c r="AL43" s="96" t="e">
        <f t="shared" ca="1" si="4"/>
        <v>#N/A</v>
      </c>
      <c r="AM43" s="96" t="e">
        <f t="shared" ca="1" si="82"/>
        <v>#N/A</v>
      </c>
      <c r="AN43" s="97" t="e">
        <f t="shared" ca="1" si="40"/>
        <v>#N/A</v>
      </c>
      <c r="AO43" s="98">
        <f t="shared" si="5"/>
        <v>0</v>
      </c>
      <c r="AP43" s="99" t="e">
        <f t="shared" ca="1" si="83"/>
        <v>#N/A</v>
      </c>
      <c r="AQ43" s="96">
        <f t="shared" si="6"/>
        <v>0</v>
      </c>
      <c r="AR43" s="96" t="e">
        <f t="shared" ca="1" si="84"/>
        <v>#N/A</v>
      </c>
      <c r="AS43" s="100">
        <f t="shared" si="85"/>
        <v>0</v>
      </c>
      <c r="AT43" s="96" t="e">
        <f t="shared" ca="1" si="7"/>
        <v>#N/A</v>
      </c>
      <c r="AU43" s="96" t="e">
        <f t="shared" ca="1" si="86"/>
        <v>#N/A</v>
      </c>
      <c r="AV43" s="118"/>
      <c r="AW43" s="100" t="e">
        <f t="shared" ca="1" si="8"/>
        <v>#N/A</v>
      </c>
      <c r="AX43" s="118"/>
      <c r="AY43" s="100"/>
      <c r="BB43" s="100" cm="1">
        <f t="array" aca="1" ref="BB43" ca="1">IF(N43="vd",_xlfn.XLOOKUP(B43,INDIRECT("'"&amp;$A$1&amp;"'!"&amp;$AK$1&amp;"[pam_code]"),INDIRECT("'"&amp;$A$1&amp;"'!"&amp;$AK$1&amp;"[verdict_expense_balance]")),
IF(N43="sold",W43,0))</f>
        <v>0</v>
      </c>
      <c r="BC43" s="100" t="e">
        <f t="shared" ca="1" si="9"/>
        <v>#N/A</v>
      </c>
      <c r="BD43" s="96" t="e">
        <f t="shared" ca="1" si="87"/>
        <v>#N/A</v>
      </c>
      <c r="BE43" s="100" cm="1">
        <f t="array" aca="1" ref="BE43" ca="1">IF(N43="vd",_xlfn.XLOOKUP(B43,INDIRECT("'"&amp;$A$1&amp;"'!"&amp;$AK$1&amp;"[pam_code]"),INDIRECT("'"&amp;$A$1&amp;"'!"&amp;$AK$1&amp;"[verdict_outlay_balance]")),0)</f>
        <v>0</v>
      </c>
      <c r="BF43" s="100" t="e">
        <f t="shared" ca="1" si="10"/>
        <v>#N/A</v>
      </c>
      <c r="BG43" s="96" t="e">
        <f t="shared" ca="1" si="88"/>
        <v>#N/A</v>
      </c>
      <c r="BH43" s="100" cm="1">
        <f t="array" aca="1" ref="BH43" ca="1">IF(N43="vd",_xlfn.XLOOKUP(B43,INDIRECT("'"&amp;$A$1&amp;"'!"&amp;$AK$1&amp;"[pam_code]"),INDIRECT("'"&amp;$A$1&amp;"'!"&amp;$AK$1&amp;"[verdict_loss_balance]")),0)</f>
        <v>0</v>
      </c>
      <c r="BI43" s="100" t="e">
        <f t="shared" ca="1" si="11"/>
        <v>#N/A</v>
      </c>
      <c r="BJ43" s="96" t="e">
        <f t="shared" ca="1" si="89"/>
        <v>#N/A</v>
      </c>
      <c r="BK43" s="100" cm="1">
        <f t="array" aca="1" ref="BK43" ca="1">IF(N43="vd",_xlfn.XLOOKUP(B43,INDIRECT("'"&amp;$A$1&amp;"'!"&amp;$AK$1&amp;"[pam_code]"),INDIRECT("'"&amp;$A$1&amp;"'!"&amp;$AK$1&amp;"[verdict_penalty_balance]")),0)</f>
        <v>0</v>
      </c>
      <c r="BL43" s="100" t="e">
        <f t="shared" ca="1" si="12"/>
        <v>#N/A</v>
      </c>
      <c r="BM43" s="96" t="e">
        <f t="shared" ca="1" si="90"/>
        <v>#N/A</v>
      </c>
      <c r="BN43" s="102">
        <f t="shared" si="13"/>
        <v>0</v>
      </c>
      <c r="BO43" s="119" cm="1">
        <f t="array" aca="1" ref="BO43" ca="1">IF(N43="vd",_xlfn.XLOOKUP(B43,INDIRECT("'"&amp;$A$1&amp;"'!"&amp;$AK$1&amp;"[pam_code]"),INDIRECT("'"&amp;$A$1&amp;"'!"&amp;$AK$1&amp;"[verdict_oldinterest_balance]")),IF(N43="add",Z43,0))</f>
        <v>0</v>
      </c>
      <c r="BP43" s="104" t="e">
        <f t="shared" ca="1" si="14"/>
        <v>#N/A</v>
      </c>
      <c r="BQ43" s="105" t="e">
        <f t="shared" ca="1" si="91"/>
        <v>#N/A</v>
      </c>
      <c r="BR43" s="100" cm="1">
        <f t="array" aca="1" ref="BR43" ca="1">IF(N43="vd",_xlfn.XLOOKUP(B43,INDIRECT("'"&amp;$A$1&amp;"'!"&amp;$AK$1&amp;"[pam_code]"),INDIRECT("'"&amp;$A$1&amp;"'!"&amp;$AK$1&amp;"[verdict_opportunitycost_balance]")),0)</f>
        <v>0</v>
      </c>
      <c r="BS43" s="106" t="e">
        <f t="shared" ca="1" si="15"/>
        <v>#N/A</v>
      </c>
      <c r="BT43" s="96" t="e">
        <f t="shared" ca="1" si="92"/>
        <v>#N/A</v>
      </c>
      <c r="BU43" s="109" cm="1">
        <f t="array" aca="1" ref="BU43" ca="1">IF(N43="vd",_xlfn.XLOOKUP(B43,INDIRECT("'"&amp;$A$1&amp;"'!"&amp;$AK$1&amp;"[pam_code]"),INDIRECT("'"&amp;$A$1&amp;"'!"&amp;$AK$1&amp;"[verdict_oldcharge_balance]")),0)</f>
        <v>0</v>
      </c>
      <c r="BV43" s="108" t="e">
        <f t="shared" ca="1" si="16"/>
        <v>#N/A</v>
      </c>
      <c r="BW43" s="109" t="e">
        <f t="shared" ca="1" si="93"/>
        <v>#N/A</v>
      </c>
      <c r="BX43" s="109" cm="1">
        <f t="array" aca="1" ref="BX43" ca="1">IF(N43="vd",_xlfn.XLOOKUP(B43,INDIRECT("'"&amp;$A$1&amp;"'!"&amp;$AK$1&amp;"[pam_code]"),INDIRECT("'"&amp;$A$1&amp;"'!"&amp;$AK$1&amp;"[verdict_principal_balance]")),0)</f>
        <v>0</v>
      </c>
      <c r="BY43" s="109" t="e">
        <f t="shared" ca="1" si="17"/>
        <v>#N/A</v>
      </c>
      <c r="BZ43" s="109" t="e">
        <f t="shared" ca="1" si="94"/>
        <v>#N/A</v>
      </c>
      <c r="CA43" s="109" cm="1">
        <f t="array" aca="1" ref="CA43" ca="1">IF(N43="vd",_xlfn.XLOOKUP(B43,INDIRECT("'"&amp;$A$1&amp;"'!"&amp;$AK$1&amp;"[pam_code]"),INDIRECT("'"&amp;$A$1&amp;"'!"&amp;$AK$1&amp;"[verdict_replacement_balance]")),0)</f>
        <v>0</v>
      </c>
      <c r="CB43" s="108" t="e">
        <f t="shared" ca="1" si="18"/>
        <v>#N/A</v>
      </c>
      <c r="CC43" s="109" t="e">
        <f t="shared" ca="1" si="95"/>
        <v>#N/A</v>
      </c>
      <c r="CD43" s="109" cm="1">
        <f t="array" aca="1" ref="CD43" ca="1">IF(N43="vd",_xlfn.XLOOKUP(B43,INDIRECT("'"&amp;$A$1&amp;"'!"&amp;$AK$1&amp;"[pam_code]"),INDIRECT("'"&amp;$A$1&amp;"'!"&amp;$AK$1&amp;"[verdict_all_balance]")),0)</f>
        <v>0</v>
      </c>
      <c r="CE43" s="109" t="e">
        <f t="shared" ca="1" si="19"/>
        <v>#N/A</v>
      </c>
      <c r="CF43" s="109" t="e">
        <f t="shared" ca="1" si="96"/>
        <v>#N/A</v>
      </c>
      <c r="CG43" s="109" t="e">
        <f t="shared" ca="1" si="51"/>
        <v>#N/A</v>
      </c>
      <c r="CH43" s="109">
        <f t="shared" si="52"/>
        <v>0</v>
      </c>
      <c r="CI43" s="109" t="e">
        <f t="shared" ca="1" si="53"/>
        <v>#N/A</v>
      </c>
      <c r="CJ43" s="109">
        <f t="shared" si="97"/>
        <v>0</v>
      </c>
      <c r="CK43" s="109">
        <f t="shared" si="55"/>
        <v>0</v>
      </c>
      <c r="CL43" s="230" t="str">
        <f t="shared" si="72"/>
        <v>No information</v>
      </c>
      <c r="CM43" s="109" t="e">
        <f t="shared" ca="1" si="56"/>
        <v>#N/A</v>
      </c>
      <c r="CN43" s="109" t="e">
        <f t="shared" ca="1" si="20"/>
        <v>#N/A</v>
      </c>
      <c r="CO43" s="90" t="e">
        <f t="shared" ca="1" si="21"/>
        <v>#N/A</v>
      </c>
      <c r="CQ43" s="96" t="e">
        <f t="shared" ca="1" si="73"/>
        <v>#N/A</v>
      </c>
      <c r="CR43" s="100" t="e">
        <f t="shared" ref="CR43:CS43" ca="1" si="117">CR42</f>
        <v>#N/A</v>
      </c>
      <c r="CS43" s="120" t="e">
        <f t="shared" ca="1" si="117"/>
        <v>#N/A</v>
      </c>
      <c r="CT43" s="112" t="e">
        <f t="shared" ca="1" si="22"/>
        <v>#N/A</v>
      </c>
      <c r="CU43" s="112" t="e">
        <f t="shared" ca="1" si="74"/>
        <v>#N/A</v>
      </c>
      <c r="CV43" s="97" t="e">
        <f t="shared" ca="1" si="23"/>
        <v>#N/A</v>
      </c>
      <c r="CW43" s="100" cm="1">
        <f t="array" aca="1" ref="CW43" ca="1">IF(N43="vd",_xlfn.XLOOKUP(B43,INDIRECT("'"&amp;$A$1&amp;"'!"&amp;$AK$1&amp;"[pam_code]"),INDIRECT("'"&amp;$A$1&amp;"'!"&amp;$AK$1&amp;"[verdict_expense_balance]")),
IF(N43="sold",W43,0))</f>
        <v>0</v>
      </c>
      <c r="CX43" s="100" t="e">
        <f t="shared" ca="1" si="24"/>
        <v>#N/A</v>
      </c>
      <c r="CY43" s="96" t="e">
        <f t="shared" ca="1" si="99"/>
        <v>#N/A</v>
      </c>
      <c r="CZ43" s="100" t="e">
        <f t="shared" ca="1" si="25"/>
        <v>#N/A</v>
      </c>
      <c r="DA43" s="100">
        <f t="shared" si="26"/>
        <v>0</v>
      </c>
      <c r="DB43" s="100" t="e">
        <f t="shared" ca="1" si="27"/>
        <v>#N/A</v>
      </c>
      <c r="DC43" s="96" t="e">
        <f t="shared" ca="1" si="28"/>
        <v>#N/A</v>
      </c>
      <c r="DD43" s="100" t="e">
        <f t="shared" ca="1" si="29"/>
        <v>#N/A</v>
      </c>
      <c r="DE43" s="100" t="e">
        <f t="shared" ca="1" si="58"/>
        <v>#N/A</v>
      </c>
      <c r="DF43"/>
      <c r="DG43" s="252"/>
      <c r="DH43" s="252"/>
      <c r="DI43" s="234">
        <f t="shared" si="59"/>
        <v>0</v>
      </c>
      <c r="DJ43" s="234">
        <f t="shared" si="60"/>
        <v>0</v>
      </c>
      <c r="DK43" s="234">
        <f t="shared" si="61"/>
        <v>0</v>
      </c>
      <c r="DL43" s="234">
        <f t="shared" si="62"/>
        <v>0</v>
      </c>
      <c r="DM43" s="234">
        <f t="shared" si="63"/>
        <v>0</v>
      </c>
      <c r="DN43" s="235">
        <f t="shared" si="64"/>
        <v>0</v>
      </c>
      <c r="DO43" s="236">
        <f t="shared" si="32"/>
        <v>0</v>
      </c>
      <c r="DP43" s="245">
        <f t="shared" si="65"/>
        <v>0</v>
      </c>
      <c r="DQ43" s="235"/>
      <c r="DR43" s="237">
        <f t="shared" si="33"/>
        <v>0</v>
      </c>
      <c r="DS43" s="237" t="e">
        <f t="shared" ca="1" si="66"/>
        <v>#N/A</v>
      </c>
      <c r="DT43" s="237" t="e">
        <f t="shared" ca="1" si="67"/>
        <v>#N/A</v>
      </c>
      <c r="DU43" s="237" t="e">
        <f t="shared" ca="1" si="75"/>
        <v>#N/A</v>
      </c>
      <c r="DV43" s="237" t="e">
        <f t="shared" ca="1" si="76"/>
        <v>#N/A</v>
      </c>
      <c r="DW43" s="241" t="e">
        <f t="shared" ca="1" si="34"/>
        <v>#N/A</v>
      </c>
      <c r="DX43" s="238" t="e">
        <f t="shared" ca="1" si="35"/>
        <v>#N/A</v>
      </c>
      <c r="DY43" s="237" t="e" cm="1">
        <f t="array" aca="1" ref="DY43" ca="1">_xlfn.UNIQUE(IF(CI43=0,DZ42,IF(N43="repo",DZ42,IF(N43="sold",DT43,IF(ISERR(_xlfn._xlws.FILTER($N$7:N43,$N$7:N43="sold")),MIN(DT43*DW43,DZ42),0)))))</f>
        <v>#N/A</v>
      </c>
      <c r="DZ43" s="237" t="e" cm="1">
        <f t="array" aca="1" ref="DZ43" ca="1">_xlfn.UNIQUE(IF(N43="aq",DQ43,IF(N43="sold",_xlfn._xlws.FILTER($DY$7:DY43,$N$7:N43="repo"),IF(ISERR(_xlfn._xlws.FILTER($N$7:N43,$N$7:N43="sold")),DZ42-DY43,0))))</f>
        <v>#N/A</v>
      </c>
      <c r="EA43" s="237" t="e" cm="1">
        <f t="array" aca="1" ref="EA43" ca="1">IF(OR(N43="repo",IFERROR(_xlfn._xlws.FILTER($N$7:N43,$N$7:N43="sold")="sold",FALSE)),0,DP43*DZ42*(DX43/365))</f>
        <v>#N/A</v>
      </c>
      <c r="EB43" s="237" t="e">
        <f t="shared" ca="1" si="36"/>
        <v>#N/A</v>
      </c>
      <c r="EC43" s="237" t="e">
        <f t="shared" ca="1" si="68"/>
        <v>#N/A</v>
      </c>
      <c r="ED43" s="237" cm="1">
        <f t="array" aca="1" ref="ED43" ca="1">_xlfn.IFS(N43="repo",0,N43="sold",DY43-DZ43,N43&lt;&gt;"",DT43-DY43-EB43,N43="",0)</f>
        <v>0</v>
      </c>
      <c r="EE43" s="237" t="e">
        <f t="shared" ca="1" si="37"/>
        <v>#N/A</v>
      </c>
      <c r="EF43" s="237" t="e">
        <f t="shared" ca="1" si="69"/>
        <v>#N/A</v>
      </c>
      <c r="EG43" s="237" t="e">
        <f t="shared" ca="1" si="38"/>
        <v>#N/A</v>
      </c>
    </row>
    <row r="44" spans="2:137" x14ac:dyDescent="0.3">
      <c r="B44" s="83"/>
      <c r="C44" s="83"/>
      <c r="D44" s="84"/>
      <c r="E44" s="84"/>
      <c r="F44" s="84"/>
      <c r="G44" s="84"/>
      <c r="H44" s="84"/>
      <c r="I44" s="84"/>
      <c r="J44" s="85"/>
      <c r="K44" s="85"/>
      <c r="L44" s="113"/>
      <c r="M44" s="87"/>
      <c r="N44" s="191"/>
      <c r="O44" s="272"/>
      <c r="P44" s="184"/>
      <c r="Q44" s="124"/>
      <c r="R44" s="124"/>
      <c r="S44" s="114"/>
      <c r="T44" s="90"/>
      <c r="U44"/>
      <c r="V44" s="90"/>
      <c r="W44" s="260"/>
      <c r="X44" s="260"/>
      <c r="Y44" s="89"/>
      <c r="Z44" s="91"/>
      <c r="AA44" s="97" t="e" cm="1">
        <f t="array" aca="1" ref="AA44" ca="1">IF(N44="vd",_xlfn.XLOOKUP(B44,INDIRECT("'"&amp;$A$1&amp;"'!"&amp;$AK$1&amp;"[pam_code]"),INDIRECT("'"&amp;$A$1&amp;"'!"&amp;$AK$1&amp;"[int_rate]")),AA43)</f>
        <v>#N/A</v>
      </c>
      <c r="AB44" s="116" t="e" cm="1">
        <f t="array" aca="1" ref="AB44" ca="1">IF(N44="vd",_xlfn.XLOOKUP(B44,INDIRECT("'"&amp;$A$1&amp;"'!"&amp;$AK$1&amp;"[pam_code]"),INDIRECT("'"&amp;$A$1&amp;"'!"&amp;$AK$1&amp;"[eir_rate]")),AB43)</f>
        <v>#N/A</v>
      </c>
      <c r="AC44" s="117" t="e">
        <f t="shared" ca="1" si="39"/>
        <v>#N/A</v>
      </c>
      <c r="AD44" s="93" cm="1">
        <f t="array" aca="1" ref="AD44" ca="1">IFERROR(_xlfn.IFS(G43="jm_vat",(BT43+BW43+CC43)/CG43,G43="npl_vat",(BQ43+BZ43)/CG43,G43="cm_vat",(BT43+BW43+BZ43)/CG43,ISNUMBER(FIND("_all_vat",G44)),CF43/CG43,NOT(ISNUMBER(FIND("_vat",G44))),0,G43=0,0,AND(N44="sold",$DG$7="hp"),0),0)</f>
        <v>0</v>
      </c>
      <c r="AE44" s="94" t="e">
        <f t="shared" ca="1" si="0"/>
        <v>#N/A</v>
      </c>
      <c r="AF44" s="94" t="e">
        <f t="shared" ca="1" si="1"/>
        <v>#N/A</v>
      </c>
      <c r="AG44" s="95">
        <f t="shared" ca="1" si="2"/>
        <v>0</v>
      </c>
      <c r="AH44" s="95">
        <f t="shared" ca="1" si="3"/>
        <v>0</v>
      </c>
      <c r="AK44" s="100" cm="1">
        <f t="array" aca="1" ref="AK44" ca="1">IF(N44="vd",_xlfn.XLOOKUP($B$4,INDIRECT("'"&amp;$A$1&amp;"'!"&amp;$AK$1&amp;"[pam_code]"),INDIRECT("'"&amp;$A$1&amp;"'!"&amp;$AK$1&amp;"[verdict_expense_balance]")),
IF(N44="sold",W44,0))</f>
        <v>0</v>
      </c>
      <c r="AL44" s="96" t="e">
        <f t="shared" ca="1" si="4"/>
        <v>#N/A</v>
      </c>
      <c r="AM44" s="96" t="e">
        <f ca="1">AM24+AK44-AL44</f>
        <v>#N/A</v>
      </c>
      <c r="AN44" s="97" t="e">
        <f t="shared" ca="1" si="40"/>
        <v>#N/A</v>
      </c>
      <c r="AO44" s="98">
        <f t="shared" si="5"/>
        <v>0</v>
      </c>
      <c r="AP44" s="99" t="e">
        <f ca="1">((AU24+AM24)*(AN44/365)*AO44)</f>
        <v>#N/A</v>
      </c>
      <c r="AQ44" s="96">
        <f t="shared" si="6"/>
        <v>0</v>
      </c>
      <c r="AR44" s="96" t="e">
        <f ca="1">AR24+AP44-AQ44</f>
        <v>#N/A</v>
      </c>
      <c r="AS44" s="100">
        <f t="shared" si="41"/>
        <v>0</v>
      </c>
      <c r="AT44" s="96" t="e">
        <f t="shared" ca="1" si="7"/>
        <v>#N/A</v>
      </c>
      <c r="AU44" s="96" t="e">
        <f ca="1">AU24+AS44-AT44</f>
        <v>#N/A</v>
      </c>
      <c r="AV44" s="118"/>
      <c r="AW44" s="100" t="e">
        <f t="shared" ca="1" si="8"/>
        <v>#N/A</v>
      </c>
      <c r="AX44" s="118"/>
      <c r="AY44" s="100"/>
      <c r="BB44" s="100" cm="1">
        <f t="array" aca="1" ref="BB44" ca="1">IF(N44="vd",_xlfn.XLOOKUP(B44,INDIRECT("'"&amp;$A$1&amp;"'!"&amp;$AK$1&amp;"[pam_code]"),INDIRECT("'"&amp;$A$1&amp;"'!"&amp;$AK$1&amp;"[verdict_expense_balance]")),
IF(N44="sold",W44,0))</f>
        <v>0</v>
      </c>
      <c r="BC44" s="100" t="e">
        <f t="shared" ca="1" si="9"/>
        <v>#N/A</v>
      </c>
      <c r="BD44" s="96" t="e">
        <f ca="1">BD24+BB44-BC44</f>
        <v>#N/A</v>
      </c>
      <c r="BE44" s="100" cm="1">
        <f t="array" aca="1" ref="BE44" ca="1">IF(N44="vd",_xlfn.XLOOKUP(B44,INDIRECT("'"&amp;$A$1&amp;"'!"&amp;$AK$1&amp;"[pam_code]"),INDIRECT("'"&amp;$A$1&amp;"'!"&amp;$AK$1&amp;"[verdict_outlay_balance]")),0)</f>
        <v>0</v>
      </c>
      <c r="BF44" s="100" t="e">
        <f t="shared" ca="1" si="10"/>
        <v>#N/A</v>
      </c>
      <c r="BG44" s="96" t="e">
        <f ca="1">BG24+BE44-BF44</f>
        <v>#N/A</v>
      </c>
      <c r="BH44" s="100" cm="1">
        <f t="array" aca="1" ref="BH44" ca="1">IF(N44="vd",_xlfn.XLOOKUP(B44,INDIRECT("'"&amp;$A$1&amp;"'!"&amp;$AK$1&amp;"[pam_code]"),INDIRECT("'"&amp;$A$1&amp;"'!"&amp;$AK$1&amp;"[verdict_loss_balance]")),0)</f>
        <v>0</v>
      </c>
      <c r="BI44" s="100" t="e">
        <f t="shared" ca="1" si="11"/>
        <v>#N/A</v>
      </c>
      <c r="BJ44" s="96" t="e">
        <f ca="1">BJ24+BH44-BI44</f>
        <v>#N/A</v>
      </c>
      <c r="BK44" s="100" cm="1">
        <f t="array" aca="1" ref="BK44" ca="1">IF(N44="vd",_xlfn.XLOOKUP(B44,INDIRECT("'"&amp;$A$1&amp;"'!"&amp;$AK$1&amp;"[pam_code]"),INDIRECT("'"&amp;$A$1&amp;"'!"&amp;$AK$1&amp;"[verdict_penalty_balance]")),0)</f>
        <v>0</v>
      </c>
      <c r="BL44" s="100" t="e">
        <f t="shared" ca="1" si="12"/>
        <v>#N/A</v>
      </c>
      <c r="BM44" s="96" t="e">
        <f ca="1">BM24+BK44-BL44</f>
        <v>#N/A</v>
      </c>
      <c r="BN44" s="102">
        <f t="shared" si="13"/>
        <v>0</v>
      </c>
      <c r="BO44" s="119" cm="1">
        <f t="array" aca="1" ref="BO44" ca="1">IF(N44="vd",_xlfn.XLOOKUP(B44,INDIRECT("'"&amp;$A$1&amp;"'!"&amp;$AK$1&amp;"[pam_code]"),INDIRECT("'"&amp;$A$1&amp;"'!"&amp;$AK$1&amp;"[verdict_oldinterest_balance]")),IF(N44="add",Z44,0))</f>
        <v>0</v>
      </c>
      <c r="BP44" s="104" t="e">
        <f t="shared" ca="1" si="14"/>
        <v>#N/A</v>
      </c>
      <c r="BQ44" s="105" t="e">
        <f ca="1">BQ24+BO44-BP44</f>
        <v>#N/A</v>
      </c>
      <c r="BR44" s="100" cm="1">
        <f t="array" aca="1" ref="BR44" ca="1">IF(N44="vd",_xlfn.XLOOKUP(B44,INDIRECT("'"&amp;$A$1&amp;"'!"&amp;$AK$1&amp;"[pam_code]"),INDIRECT("'"&amp;$A$1&amp;"'!"&amp;$AK$1&amp;"[verdict_opportunitycost_balance]")),0)</f>
        <v>0</v>
      </c>
      <c r="BS44" s="106" t="e">
        <f t="shared" ca="1" si="15"/>
        <v>#N/A</v>
      </c>
      <c r="BT44" s="96" t="e">
        <f ca="1">BT24+BR44-BS44</f>
        <v>#N/A</v>
      </c>
      <c r="BU44" s="109" cm="1">
        <f t="array" aca="1" ref="BU44" ca="1">IF(N44="vd",_xlfn.XLOOKUP(B44,INDIRECT("'"&amp;$A$1&amp;"'!"&amp;$AK$1&amp;"[pam_code]"),INDIRECT("'"&amp;$A$1&amp;"'!"&amp;$AK$1&amp;"[verdict_oldcharge_balance]")),0)</f>
        <v>0</v>
      </c>
      <c r="BV44" s="108" t="e">
        <f t="shared" ca="1" si="16"/>
        <v>#N/A</v>
      </c>
      <c r="BW44" s="109" t="e">
        <f ca="1">BW24+BU44-BV44</f>
        <v>#N/A</v>
      </c>
      <c r="BX44" s="109" cm="1">
        <f t="array" aca="1" ref="BX44" ca="1">IF(N44="vd",_xlfn.XLOOKUP(B44,INDIRECT("'"&amp;$A$1&amp;"'!"&amp;$AK$1&amp;"[pam_code]"),INDIRECT("'"&amp;$A$1&amp;"'!"&amp;$AK$1&amp;"[verdict_principal_balance]")),0)</f>
        <v>0</v>
      </c>
      <c r="BY44" s="109" t="e">
        <f t="shared" ca="1" si="17"/>
        <v>#N/A</v>
      </c>
      <c r="BZ44" s="109" t="e">
        <f ca="1">BZ24+BX44-BY44</f>
        <v>#N/A</v>
      </c>
      <c r="CA44" s="109" cm="1">
        <f t="array" aca="1" ref="CA44" ca="1">IF(N44="vd",_xlfn.XLOOKUP(B44,INDIRECT("'"&amp;$A$1&amp;"'!"&amp;$AK$1&amp;"[pam_code]"),INDIRECT("'"&amp;$A$1&amp;"'!"&amp;$AK$1&amp;"[verdict_replacement_balance]")),0)</f>
        <v>0</v>
      </c>
      <c r="CB44" s="108" t="e">
        <f t="shared" ca="1" si="18"/>
        <v>#N/A</v>
      </c>
      <c r="CC44" s="109" t="e">
        <f ca="1">CC24+CA44-CB44</f>
        <v>#N/A</v>
      </c>
      <c r="CD44" s="109" cm="1">
        <f t="array" aca="1" ref="CD44" ca="1">IF(N44="vd",_xlfn.XLOOKUP(B44,INDIRECT("'"&amp;$A$1&amp;"'!"&amp;$AK$1&amp;"[pam_code]"),INDIRECT("'"&amp;$A$1&amp;"'!"&amp;$AK$1&amp;"[verdict_all_balance]")),0)</f>
        <v>0</v>
      </c>
      <c r="CE44" s="109" t="e">
        <f t="shared" ca="1" si="19"/>
        <v>#N/A</v>
      </c>
      <c r="CF44" s="109" t="e">
        <f ca="1">CF24+CD44-CE44</f>
        <v>#N/A</v>
      </c>
      <c r="CG44" s="109" t="e">
        <f t="shared" ca="1" si="51"/>
        <v>#N/A</v>
      </c>
      <c r="CH44" s="109">
        <f t="shared" si="52"/>
        <v>0</v>
      </c>
      <c r="CI44" s="109" t="e">
        <f t="shared" ca="1" si="53"/>
        <v>#N/A</v>
      </c>
      <c r="CJ44" s="109">
        <f t="shared" si="54"/>
        <v>0</v>
      </c>
      <c r="CK44" s="109">
        <f t="shared" si="55"/>
        <v>0</v>
      </c>
      <c r="CL44" s="230" t="str">
        <f t="shared" si="72"/>
        <v>No information</v>
      </c>
      <c r="CM44" s="109" t="e">
        <f t="shared" ca="1" si="56"/>
        <v>#N/A</v>
      </c>
      <c r="CN44" s="109" t="e">
        <f t="shared" ca="1" si="20"/>
        <v>#N/A</v>
      </c>
      <c r="CO44" s="90" t="e">
        <f t="shared" ca="1" si="21"/>
        <v>#N/A</v>
      </c>
      <c r="CQ44" s="96" t="e">
        <f ca="1">CQ43</f>
        <v>#N/A</v>
      </c>
      <c r="CR44" s="100" t="e">
        <f ca="1">CR24</f>
        <v>#N/A</v>
      </c>
      <c r="CS44" s="120" t="e">
        <f ca="1">CS24</f>
        <v>#N/A</v>
      </c>
      <c r="CT44" s="112" t="e">
        <f t="shared" ca="1" si="22"/>
        <v>#N/A</v>
      </c>
      <c r="CU44" s="112" t="e">
        <f t="shared" ca="1" si="74"/>
        <v>#N/A</v>
      </c>
      <c r="CV44" s="97" t="e">
        <f t="shared" ca="1" si="23"/>
        <v>#N/A</v>
      </c>
      <c r="CW44" s="100" cm="1">
        <f t="array" aca="1" ref="CW44" ca="1">IF(N44="vd",_xlfn.XLOOKUP(B44,INDIRECT("'"&amp;$A$1&amp;"'!"&amp;$AK$1&amp;"[pam_code]"),INDIRECT("'"&amp;$A$1&amp;"'!"&amp;$AK$1&amp;"[verdict_expense_balance]")),
IF(N44="sold",W44,0))</f>
        <v>0</v>
      </c>
      <c r="CX44" s="100" t="e">
        <f t="shared" ca="1" si="24"/>
        <v>#N/A</v>
      </c>
      <c r="CY44" s="96" t="e">
        <f ca="1">CY24+CW44-CX44</f>
        <v>#N/A</v>
      </c>
      <c r="CZ44" s="100" t="e">
        <f t="shared" ca="1" si="25"/>
        <v>#N/A</v>
      </c>
      <c r="DA44" s="100">
        <f t="shared" si="26"/>
        <v>0</v>
      </c>
      <c r="DB44" s="100" t="e">
        <f t="shared" ca="1" si="27"/>
        <v>#N/A</v>
      </c>
      <c r="DC44" s="96" t="e">
        <f ca="1">DC24+DA44-DB44</f>
        <v>#N/A</v>
      </c>
      <c r="DD44" s="100" t="e">
        <f t="shared" ca="1" si="29"/>
        <v>#N/A</v>
      </c>
      <c r="DE44" s="100" t="e">
        <f t="shared" ca="1" si="58"/>
        <v>#N/A</v>
      </c>
      <c r="DF44"/>
      <c r="DG44" s="252"/>
      <c r="DH44" s="252"/>
      <c r="DI44" s="234">
        <f t="shared" si="59"/>
        <v>0</v>
      </c>
      <c r="DJ44" s="234">
        <f t="shared" si="60"/>
        <v>0</v>
      </c>
      <c r="DK44" s="234">
        <f t="shared" si="61"/>
        <v>0</v>
      </c>
      <c r="DL44" s="234">
        <f t="shared" si="62"/>
        <v>0</v>
      </c>
      <c r="DM44" s="234">
        <f t="shared" si="63"/>
        <v>0</v>
      </c>
      <c r="DN44" s="235">
        <f t="shared" si="64"/>
        <v>0</v>
      </c>
      <c r="DO44" s="236">
        <f t="shared" si="32"/>
        <v>0</v>
      </c>
      <c r="DP44" s="245">
        <f t="shared" si="65"/>
        <v>0</v>
      </c>
      <c r="DQ44" s="235"/>
      <c r="DR44" s="237">
        <f t="shared" si="33"/>
        <v>0</v>
      </c>
      <c r="DS44" s="237" t="e">
        <f t="shared" ca="1" si="66"/>
        <v>#N/A</v>
      </c>
      <c r="DT44" s="237" t="e">
        <f t="shared" ca="1" si="67"/>
        <v>#N/A</v>
      </c>
      <c r="DU44" s="237" t="e">
        <f t="shared" ca="1" si="75"/>
        <v>#N/A</v>
      </c>
      <c r="DV44" s="237" t="e">
        <f t="shared" ca="1" si="76"/>
        <v>#N/A</v>
      </c>
      <c r="DW44" s="241" t="e">
        <f t="shared" ca="1" si="34"/>
        <v>#N/A</v>
      </c>
      <c r="DX44" s="238" t="e">
        <f t="shared" ca="1" si="35"/>
        <v>#N/A</v>
      </c>
      <c r="DY44" s="237" t="e" cm="1">
        <f t="array" aca="1" ref="DY44" ca="1">_xlfn.UNIQUE(IF(CI44=0,DZ43,IF(N44="repo",DZ43,IF(N44="sold",DT44,IF(ISERR(_xlfn._xlws.FILTER($N$7:N44,$N$7:N44="sold")),MIN(DT44*DW44,DZ43),0)))))</f>
        <v>#N/A</v>
      </c>
      <c r="DZ44" s="237" t="e" cm="1">
        <f t="array" aca="1" ref="DZ44" ca="1">_xlfn.UNIQUE(IF(N44="aq",DQ44,IF(N44="sold",_xlfn._xlws.FILTER($DY$7:DY44,$N$7:N44="repo"),IF(ISERR(_xlfn._xlws.FILTER($N$7:N44,$N$7:N44="sold")),DZ43-DY44,0))))</f>
        <v>#N/A</v>
      </c>
      <c r="EA44" s="237" t="e" cm="1">
        <f t="array" aca="1" ref="EA44" ca="1">IF(OR(N44="repo",IFERROR(_xlfn._xlws.FILTER($N$7:N44,$N$7:N44="sold")="sold",FALSE)),0,DP44*DZ43*(DX44/365))</f>
        <v>#N/A</v>
      </c>
      <c r="EB44" s="237" t="e">
        <f t="shared" ca="1" si="36"/>
        <v>#N/A</v>
      </c>
      <c r="EC44" s="237" t="e">
        <f t="shared" ca="1" si="68"/>
        <v>#N/A</v>
      </c>
      <c r="ED44" s="237" cm="1">
        <f t="array" aca="1" ref="ED44" ca="1">_xlfn.IFS(N44="repo",0,N44="sold",DY44-DZ44,N44&lt;&gt;"",DT44-DY44-EB44,N44="",0)</f>
        <v>0</v>
      </c>
      <c r="EE44" s="237" t="e">
        <f t="shared" ca="1" si="37"/>
        <v>#N/A</v>
      </c>
      <c r="EF44" s="237" t="e">
        <f t="shared" ca="1" si="69"/>
        <v>#N/A</v>
      </c>
      <c r="EG44" s="237" t="e">
        <f t="shared" ca="1" si="38"/>
        <v>#N/A</v>
      </c>
    </row>
    <row r="45" spans="2:137" x14ac:dyDescent="0.3">
      <c r="B45" s="206"/>
      <c r="C45" s="206"/>
      <c r="D45" s="207"/>
      <c r="E45" s="207"/>
      <c r="F45" s="207"/>
      <c r="G45" s="207"/>
      <c r="H45" s="207"/>
      <c r="I45" s="207"/>
      <c r="J45" s="208"/>
      <c r="K45" s="208"/>
      <c r="L45" s="209"/>
      <c r="M45" s="210"/>
      <c r="P45" s="211"/>
      <c r="Q45" s="212"/>
      <c r="R45" s="212"/>
      <c r="S45" s="107"/>
      <c r="T45" s="90"/>
      <c r="U45"/>
      <c r="V45"/>
      <c r="W45"/>
      <c r="X45"/>
      <c r="Y45" s="107"/>
      <c r="Z45" s="213"/>
      <c r="AA45" s="214"/>
      <c r="AB45" s="215"/>
      <c r="AC45" s="216"/>
      <c r="AD45" s="217"/>
      <c r="AE45" s="218"/>
      <c r="AF45" s="218"/>
      <c r="AG45" s="95"/>
      <c r="AH45" s="95"/>
      <c r="AK45" s="109"/>
      <c r="AL45" s="109"/>
      <c r="AM45" s="109"/>
      <c r="AN45" s="214"/>
      <c r="AO45" s="219"/>
      <c r="AP45" s="108"/>
      <c r="AQ45" s="109"/>
      <c r="AR45" s="109"/>
      <c r="AS45" s="109"/>
      <c r="AT45" s="109"/>
      <c r="AU45" s="109"/>
      <c r="AV45" s="220"/>
      <c r="AW45" s="109"/>
      <c r="AX45" s="220"/>
      <c r="AY45" s="109"/>
      <c r="BB45" s="109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M45" s="109"/>
      <c r="BN45" s="221"/>
      <c r="BO45" s="109"/>
      <c r="BP45" s="109"/>
      <c r="BQ45" s="109"/>
      <c r="BR45" s="109"/>
      <c r="BS45" s="108"/>
      <c r="BT45" s="109"/>
      <c r="BU45" s="109"/>
      <c r="BV45" s="108"/>
      <c r="BW45" s="109"/>
      <c r="BX45" s="109"/>
      <c r="BY45" s="109"/>
      <c r="BZ45" s="109"/>
      <c r="CA45" s="109"/>
      <c r="CB45" s="108"/>
      <c r="CC45" s="109"/>
      <c r="CD45" s="109"/>
      <c r="CE45" s="109"/>
      <c r="CF45" s="109"/>
      <c r="CG45" s="109"/>
      <c r="CH45" s="109"/>
      <c r="CI45" s="109"/>
      <c r="CJ45" s="109"/>
      <c r="CK45" s="109"/>
      <c r="CL45" s="109"/>
      <c r="CM45" s="109"/>
      <c r="CN45" s="109"/>
      <c r="CO45" s="109"/>
      <c r="CQ45" s="109"/>
      <c r="CR45" s="109"/>
      <c r="CS45" s="222"/>
      <c r="CT45" s="223"/>
      <c r="CU45" s="223"/>
      <c r="CV45" s="214"/>
      <c r="CW45" s="109"/>
      <c r="CX45" s="109"/>
      <c r="CY45" s="109"/>
      <c r="CZ45" s="109"/>
      <c r="DA45" s="109"/>
      <c r="DB45" s="109"/>
      <c r="DC45" s="109"/>
      <c r="DD45" s="109"/>
      <c r="DE45" s="109"/>
      <c r="DF45"/>
    </row>
    <row r="46" spans="2:137" s="128" customFormat="1" ht="15" thickBot="1" x14ac:dyDescent="0.35">
      <c r="B46" s="125" t="s">
        <v>121</v>
      </c>
      <c r="C46" s="125" t="s">
        <v>122</v>
      </c>
      <c r="D46" s="126" t="s">
        <v>123</v>
      </c>
      <c r="E46" s="126" t="s">
        <v>123</v>
      </c>
      <c r="F46" s="126" t="s">
        <v>123</v>
      </c>
      <c r="G46" s="126" t="s">
        <v>123</v>
      </c>
      <c r="H46" s="126"/>
      <c r="I46" s="126"/>
      <c r="J46" s="126" t="s">
        <v>123</v>
      </c>
      <c r="K46" s="126" t="s">
        <v>123</v>
      </c>
      <c r="L46" s="126" t="s">
        <v>123</v>
      </c>
      <c r="M46" s="126" t="s">
        <v>123</v>
      </c>
      <c r="N46" s="192" t="s">
        <v>124</v>
      </c>
      <c r="O46" s="192"/>
      <c r="P46" s="127" t="s">
        <v>123</v>
      </c>
      <c r="Q46" s="128" t="s">
        <v>123</v>
      </c>
      <c r="S46" s="128" t="s">
        <v>123</v>
      </c>
      <c r="T46" s="128" t="s">
        <v>123</v>
      </c>
      <c r="V46" s="128" t="s">
        <v>123</v>
      </c>
      <c r="Y46" s="128" t="s">
        <v>123</v>
      </c>
      <c r="Z46" s="128" t="s">
        <v>123</v>
      </c>
      <c r="AA46" s="128" t="s">
        <v>123</v>
      </c>
      <c r="AB46" s="128" t="s">
        <v>123</v>
      </c>
      <c r="AC46" s="128" t="s">
        <v>123</v>
      </c>
      <c r="AD46" s="128" t="s">
        <v>123</v>
      </c>
      <c r="AE46" s="128" t="s">
        <v>123</v>
      </c>
      <c r="AF46" s="128" t="s">
        <v>123</v>
      </c>
      <c r="AG46" s="128" t="s">
        <v>123</v>
      </c>
      <c r="AH46" s="128" t="s">
        <v>123</v>
      </c>
      <c r="AI46"/>
      <c r="AJ46"/>
      <c r="AK46" s="129"/>
      <c r="AL46" s="129"/>
      <c r="AM46" s="129"/>
      <c r="AN46" s="130"/>
      <c r="AO46" s="131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32"/>
      <c r="BA46" s="132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31"/>
      <c r="BO46" s="129"/>
      <c r="BP46" s="129"/>
      <c r="BQ46" s="129"/>
      <c r="BR46" s="129"/>
      <c r="BS46" s="129"/>
      <c r="BT46" s="129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/>
      <c r="CQ46" s="129"/>
      <c r="CR46" s="129"/>
      <c r="CS46" s="129"/>
      <c r="CT46" s="129"/>
      <c r="CU46" s="129"/>
      <c r="CV46" s="129"/>
      <c r="CW46" s="129"/>
      <c r="CX46" s="129"/>
      <c r="CY46" s="129"/>
      <c r="CZ46" s="134" t="e">
        <f ca="1">SUM(CZ7:CZ44)</f>
        <v>#N/A</v>
      </c>
      <c r="DA46" s="129" t="e">
        <f ca="1">SUM(DA7:DA44)</f>
        <v>#N/A</v>
      </c>
      <c r="DB46" s="129" t="e">
        <f ca="1">SUM(DB7:DB44)</f>
        <v>#N/A</v>
      </c>
      <c r="DC46" s="129"/>
      <c r="DD46" s="129" t="e">
        <f ca="1">SUM(DD7:DD44)</f>
        <v>#N/A</v>
      </c>
      <c r="DE46" s="129" t="e">
        <f ca="1">SUM(DE7:DE44)</f>
        <v>#N/A</v>
      </c>
      <c r="DP46" s="246"/>
      <c r="DR46" s="253">
        <f ca="1">SUM(DR7:DR44)</f>
        <v>0</v>
      </c>
      <c r="DS46" s="253" t="e">
        <f ca="1">SUM(DS7:DS45)</f>
        <v>#N/A</v>
      </c>
      <c r="DT46" s="253" t="e">
        <f ca="1">SUM(DT7:DT45)</f>
        <v>#N/A</v>
      </c>
      <c r="DU46" s="253"/>
      <c r="DV46" s="253"/>
      <c r="DW46" s="253"/>
      <c r="DX46" s="253"/>
      <c r="DY46" s="253" t="e">
        <f ca="1">SUM(DY7:DY44)</f>
        <v>#N/A</v>
      </c>
      <c r="DZ46" s="253"/>
      <c r="EA46" s="253" t="e">
        <f ca="1">SUM(EA7:EA44)</f>
        <v>#N/A</v>
      </c>
      <c r="EB46" s="253" t="e">
        <f ca="1">SUM(EB7:EB44)</f>
        <v>#N/A</v>
      </c>
      <c r="EC46" s="253"/>
      <c r="ED46" s="253" t="e">
        <f ca="1">SUM(ED7:ED44)</f>
        <v>#N/A</v>
      </c>
      <c r="EE46" s="253" t="e">
        <f ca="1">SUM(EE7:EE44)</f>
        <v>#N/A</v>
      </c>
      <c r="EF46" s="253" t="e">
        <f ca="1">SUM(EF7:EF44)</f>
        <v>#N/A</v>
      </c>
    </row>
    <row r="47" spans="2:137" customFormat="1" ht="15" thickTop="1" x14ac:dyDescent="0.3">
      <c r="N47" s="186"/>
      <c r="O47" s="186"/>
      <c r="CO47" s="90"/>
      <c r="DP47" s="242"/>
    </row>
    <row r="48" spans="2:137" customFormat="1" x14ac:dyDescent="0.3">
      <c r="N48" s="186"/>
      <c r="O48" s="186"/>
      <c r="CO48" s="90"/>
      <c r="DP48" s="242"/>
    </row>
    <row r="49" spans="2:120" customFormat="1" x14ac:dyDescent="0.3">
      <c r="N49" s="186"/>
      <c r="O49" s="186"/>
      <c r="CO49" s="90"/>
      <c r="DP49" s="242"/>
    </row>
    <row r="50" spans="2:120" customFormat="1" x14ac:dyDescent="0.3">
      <c r="N50" s="186"/>
      <c r="O50" s="186"/>
      <c r="CO50" s="90"/>
      <c r="DP50" s="242"/>
    </row>
    <row r="51" spans="2:120" ht="15" thickBot="1" x14ac:dyDescent="0.35">
      <c r="E51" s="1" t="s" cm="1">
        <v>125</v>
      </c>
      <c r="F51" s="1" t="s" cm="1">
        <v>126</v>
      </c>
      <c r="G51" s="1" t="s" cm="1">
        <v>127</v>
      </c>
      <c r="J51" s="1" cm="1">
        <v>0</v>
      </c>
      <c r="K51" s="1" cm="1">
        <v>0</v>
      </c>
      <c r="P51"/>
      <c r="Q51" cm="1">
        <v>44927</v>
      </c>
      <c r="R51"/>
      <c r="S51" cm="1">
        <v>20.000000000000004</v>
      </c>
      <c r="V51" s="6" t="s">
        <v>128</v>
      </c>
      <c r="W51" s="6"/>
      <c r="X51" s="6"/>
      <c r="Y51" t="s">
        <v>129</v>
      </c>
      <c r="Z51" t="s">
        <v>129</v>
      </c>
      <c r="AA51" cm="1">
        <v>0</v>
      </c>
      <c r="AB51" cm="1">
        <v>0</v>
      </c>
      <c r="AC51" cm="1">
        <v>7.0000000000000007E-2</v>
      </c>
      <c r="AD51"/>
      <c r="AE51"/>
      <c r="AF51"/>
      <c r="AG51"/>
      <c r="AH51"/>
      <c r="AK51" t="s">
        <v>130</v>
      </c>
      <c r="AL51"/>
      <c r="AP51"/>
      <c r="AT51" s="135"/>
      <c r="AY51" s="1" t="s">
        <v>131</v>
      </c>
      <c r="BB51" s="1" cm="1">
        <v>0</v>
      </c>
      <c r="BE51" s="1" cm="1">
        <v>0</v>
      </c>
      <c r="BH51" s="1" cm="1">
        <v>0</v>
      </c>
      <c r="BK51" s="1" cm="1">
        <v>0</v>
      </c>
      <c r="BM51" s="135"/>
      <c r="BO51" s="1" cm="1">
        <v>0</v>
      </c>
      <c r="BR51" s="1" cm="1">
        <v>0</v>
      </c>
      <c r="BU51" s="1" cm="1">
        <v>0</v>
      </c>
      <c r="BX51" s="1" cm="1">
        <v>0</v>
      </c>
      <c r="CA51" s="1" cm="1">
        <v>0</v>
      </c>
      <c r="CH51" s="13" t="s">
        <v>132</v>
      </c>
    </row>
    <row r="52" spans="2:120" ht="15" thickBot="1" x14ac:dyDescent="0.35">
      <c r="P52"/>
      <c r="Q52"/>
      <c r="R52"/>
      <c r="S52"/>
      <c r="V52" s="6"/>
      <c r="W52" s="6"/>
      <c r="X52" s="6"/>
      <c r="Y52"/>
      <c r="Z52"/>
      <c r="AA52"/>
      <c r="AB52"/>
      <c r="AC52"/>
      <c r="AD52"/>
      <c r="AE52" s="9"/>
      <c r="AF52" s="9"/>
      <c r="AG52" s="9"/>
      <c r="AH52" s="9"/>
      <c r="AK52"/>
      <c r="AL52" s="9"/>
      <c r="AX52" s="136" t="s">
        <v>133</v>
      </c>
      <c r="BB52" s="13" t="s">
        <v>134</v>
      </c>
      <c r="CW52" s="13" t="s">
        <v>134</v>
      </c>
      <c r="DC52" s="11"/>
    </row>
    <row r="53" spans="2:120" x14ac:dyDescent="0.3">
      <c r="B53" s="137" t="s">
        <v>135</v>
      </c>
      <c r="F53"/>
      <c r="Q53"/>
      <c r="R53"/>
      <c r="S53"/>
      <c r="T53" s="6" t="s">
        <v>136</v>
      </c>
      <c r="U53" s="6"/>
      <c r="V53"/>
      <c r="W53"/>
      <c r="X53"/>
      <c r="Y53"/>
      <c r="Z53"/>
      <c r="AA53"/>
      <c r="AB53"/>
      <c r="AC53"/>
      <c r="AD53"/>
      <c r="AE53" s="9"/>
      <c r="AF53"/>
      <c r="AG53" s="9"/>
      <c r="AH53"/>
      <c r="AK53"/>
      <c r="AL53"/>
      <c r="AM53" s="135"/>
      <c r="AX53" s="1" t="s">
        <v>137</v>
      </c>
      <c r="BA53"/>
      <c r="BB53"/>
      <c r="BC53"/>
      <c r="BD53"/>
      <c r="BE53"/>
      <c r="BF53"/>
      <c r="BG53"/>
      <c r="BH53"/>
      <c r="BI53"/>
      <c r="CG53" s="135"/>
      <c r="CR53"/>
    </row>
    <row r="54" spans="2:120" x14ac:dyDescent="0.3">
      <c r="B54" s="138" t="s">
        <v>50</v>
      </c>
      <c r="C54" s="139" t="s">
        <v>51</v>
      </c>
      <c r="F54"/>
      <c r="G54" s="138"/>
      <c r="H54" s="138"/>
      <c r="I54" s="138"/>
      <c r="J54" s="138"/>
      <c r="N54" s="193" t="s">
        <v>138</v>
      </c>
      <c r="O54" s="193"/>
      <c r="P54" s="17"/>
      <c r="Q54" s="2"/>
      <c r="R54" s="2"/>
      <c r="S54"/>
      <c r="T54" s="6" t="s">
        <v>139</v>
      </c>
      <c r="U54" s="6"/>
      <c r="V54"/>
      <c r="W54"/>
      <c r="X54"/>
      <c r="Y54"/>
      <c r="Z54"/>
      <c r="AA54"/>
      <c r="AB54"/>
      <c r="AC54"/>
      <c r="AD54"/>
      <c r="AE54" s="9"/>
      <c r="AF54" s="9"/>
      <c r="AG54" s="9"/>
      <c r="AH54" s="9"/>
      <c r="AK54"/>
      <c r="AL54" s="140"/>
      <c r="AM54" s="141"/>
      <c r="AN54" s="135"/>
      <c r="AO54" s="142"/>
      <c r="AX54" s="1" t="s">
        <v>140</v>
      </c>
      <c r="BA54"/>
      <c r="BB54"/>
      <c r="BC54"/>
      <c r="BD54"/>
      <c r="BE54"/>
      <c r="BF54"/>
      <c r="BG54"/>
      <c r="BH54"/>
      <c r="BI54"/>
      <c r="CJ54"/>
      <c r="CK54"/>
      <c r="CL54"/>
      <c r="CM54"/>
      <c r="CN54"/>
      <c r="CO54" s="90"/>
      <c r="CV54"/>
    </row>
    <row r="55" spans="2:120" x14ac:dyDescent="0.3">
      <c r="B55" s="1" t="s">
        <v>141</v>
      </c>
      <c r="C55" s="1" t="s">
        <v>142</v>
      </c>
      <c r="D55" s="1" t="s">
        <v>143</v>
      </c>
      <c r="F55"/>
      <c r="N55" s="187" t="s">
        <v>119</v>
      </c>
      <c r="P55" s="1" t="s">
        <v>144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K55"/>
      <c r="AL55"/>
      <c r="AN55" s="135"/>
      <c r="AX55" s="123"/>
      <c r="BC55" s="143" t="s">
        <v>52</v>
      </c>
      <c r="BD55" s="143" t="s">
        <v>145</v>
      </c>
      <c r="BE55" s="143" t="s">
        <v>145</v>
      </c>
      <c r="BH55"/>
      <c r="BI55"/>
      <c r="BJ55" s="144" t="s">
        <v>45</v>
      </c>
      <c r="BK55" s="144" t="s">
        <v>145</v>
      </c>
      <c r="CJ55"/>
      <c r="CK55"/>
      <c r="CL55"/>
      <c r="CM55"/>
      <c r="CN55"/>
      <c r="CO55" s="90"/>
      <c r="CQ55" s="135"/>
      <c r="CV55"/>
    </row>
    <row r="56" spans="2:120" ht="15" thickBot="1" x14ac:dyDescent="0.35">
      <c r="B56" s="1" t="s">
        <v>146</v>
      </c>
      <c r="C56" s="13" t="s">
        <v>147</v>
      </c>
      <c r="D56" s="13" t="s">
        <v>148</v>
      </c>
      <c r="E56" s="13"/>
      <c r="J56" s="261">
        <v>3206645610</v>
      </c>
      <c r="N56" s="187" t="s">
        <v>120</v>
      </c>
      <c r="P56" s="1" t="s">
        <v>149</v>
      </c>
      <c r="Q56" s="1" t="s">
        <v>150</v>
      </c>
      <c r="AC56" s="123"/>
      <c r="AD56" s="123"/>
      <c r="AE56" s="135"/>
      <c r="AF56" s="135"/>
      <c r="AG56" s="135"/>
      <c r="AH56" s="135"/>
      <c r="AK56"/>
      <c r="AL56"/>
      <c r="AN56" s="135"/>
      <c r="AX56" s="123"/>
      <c r="BB56" s="1">
        <v>1</v>
      </c>
      <c r="BC56" s="145" t="s">
        <v>151</v>
      </c>
      <c r="BD56" s="145" t="s">
        <v>24</v>
      </c>
      <c r="BE56" s="145" t="s">
        <v>152</v>
      </c>
      <c r="BH56"/>
      <c r="BI56"/>
      <c r="BJ56" s="146" t="s">
        <v>153</v>
      </c>
      <c r="BK56" s="146" t="s">
        <v>154</v>
      </c>
      <c r="BN56"/>
      <c r="BO56"/>
      <c r="BP56"/>
      <c r="CJ56"/>
      <c r="CK56"/>
      <c r="CL56"/>
      <c r="CM56"/>
      <c r="CN56"/>
      <c r="CO56" s="90"/>
      <c r="CR56"/>
      <c r="CS56" s="136" t="s">
        <v>133</v>
      </c>
    </row>
    <row r="57" spans="2:120" ht="15" thickBot="1" x14ac:dyDescent="0.35">
      <c r="B57" s="1" t="s">
        <v>155</v>
      </c>
      <c r="C57" s="1" t="s">
        <v>24</v>
      </c>
      <c r="D57" s="1" t="s">
        <v>156</v>
      </c>
      <c r="AE57" s="135"/>
      <c r="AF57" s="135"/>
      <c r="AG57" s="135"/>
      <c r="AH57" s="135"/>
      <c r="AK57"/>
      <c r="AL57"/>
      <c r="BB57" s="1">
        <v>2</v>
      </c>
      <c r="BC57" s="145" t="s">
        <v>157</v>
      </c>
      <c r="BD57" s="145" t="s">
        <v>29</v>
      </c>
      <c r="BE57" s="145" t="s">
        <v>158</v>
      </c>
      <c r="BJ57" s="147" t="s">
        <v>159</v>
      </c>
      <c r="BK57" s="147" t="s">
        <v>160</v>
      </c>
      <c r="BN57"/>
      <c r="BO57"/>
      <c r="BP57"/>
      <c r="CJ57"/>
      <c r="CK57"/>
      <c r="CL57"/>
      <c r="CM57"/>
      <c r="CN57"/>
      <c r="CO57" s="90"/>
      <c r="CR57" s="11"/>
      <c r="CS57" s="1" t="s">
        <v>161</v>
      </c>
      <c r="DB57" s="148" t="s">
        <v>162</v>
      </c>
      <c r="DC57" s="149"/>
      <c r="DD57" s="149"/>
      <c r="DE57" s="150"/>
      <c r="DI57" s="1" t="s">
        <v>45</v>
      </c>
      <c r="DJ57" s="1" t="s">
        <v>370</v>
      </c>
    </row>
    <row r="58" spans="2:120" x14ac:dyDescent="0.3">
      <c r="B58" s="1" t="s">
        <v>163</v>
      </c>
      <c r="C58" s="1" t="s">
        <v>164</v>
      </c>
      <c r="D58" s="1" t="s">
        <v>165</v>
      </c>
      <c r="J58" s="261">
        <v>481883520</v>
      </c>
      <c r="N58" s="187" t="s">
        <v>166</v>
      </c>
      <c r="P58" s="1" t="s">
        <v>167</v>
      </c>
      <c r="Q58" s="1" t="s">
        <v>168</v>
      </c>
      <c r="AK58"/>
      <c r="AL58"/>
      <c r="BA58" s="135"/>
      <c r="BB58" s="1">
        <v>3</v>
      </c>
      <c r="BC58" s="145" t="s">
        <v>169</v>
      </c>
      <c r="BD58" s="145" t="s">
        <v>30</v>
      </c>
      <c r="BE58" s="145" t="s">
        <v>170</v>
      </c>
      <c r="BJ58" s="146" t="s">
        <v>171</v>
      </c>
      <c r="BK58" s="146" t="s">
        <v>172</v>
      </c>
      <c r="CJ58"/>
      <c r="CK58"/>
      <c r="CL58"/>
      <c r="CM58"/>
      <c r="CN58"/>
      <c r="CO58" s="90"/>
      <c r="CR58"/>
      <c r="CS58" s="1" t="s">
        <v>173</v>
      </c>
      <c r="DB58" s="151">
        <v>44651</v>
      </c>
      <c r="DE58" s="152"/>
      <c r="DI58" s="1" t="s">
        <v>180</v>
      </c>
      <c r="DJ58" s="1" t="s">
        <v>387</v>
      </c>
    </row>
    <row r="59" spans="2:120" x14ac:dyDescent="0.3">
      <c r="B59" s="1" t="s">
        <v>174</v>
      </c>
      <c r="C59" s="1" t="s">
        <v>175</v>
      </c>
      <c r="D59" s="1" t="s">
        <v>176</v>
      </c>
      <c r="N59" s="187" t="s">
        <v>177</v>
      </c>
      <c r="P59" s="1" t="s">
        <v>177</v>
      </c>
      <c r="Q59" s="1" t="s">
        <v>168</v>
      </c>
      <c r="AC59" s="135"/>
      <c r="AD59" s="135"/>
      <c r="AE59" s="135"/>
      <c r="AF59" s="135"/>
      <c r="AG59" s="135"/>
      <c r="AH59" s="135"/>
      <c r="AK59"/>
      <c r="AL59"/>
      <c r="AN59" s="135"/>
      <c r="AZ59" s="135"/>
      <c r="BA59" s="9"/>
      <c r="BB59" s="1">
        <v>4</v>
      </c>
      <c r="BC59" s="145" t="s">
        <v>178</v>
      </c>
      <c r="BD59" s="153" t="s">
        <v>31</v>
      </c>
      <c r="BE59" s="145" t="s">
        <v>179</v>
      </c>
      <c r="BF59"/>
      <c r="BJ59" s="147" t="s">
        <v>180</v>
      </c>
      <c r="BK59" s="147" t="s">
        <v>181</v>
      </c>
      <c r="CJ59"/>
      <c r="CK59"/>
      <c r="CL59"/>
      <c r="CM59"/>
      <c r="CN59"/>
      <c r="CO59" s="90"/>
      <c r="CR59"/>
      <c r="CS59" s="154" t="s">
        <v>182</v>
      </c>
      <c r="DB59" s="155"/>
      <c r="DC59" s="1" t="s">
        <v>183</v>
      </c>
      <c r="DE59" s="156" t="s">
        <v>184</v>
      </c>
      <c r="DF59" s="13" t="s">
        <v>185</v>
      </c>
      <c r="DI59" s="1" t="s">
        <v>207</v>
      </c>
      <c r="DJ59" s="1" t="s">
        <v>387</v>
      </c>
    </row>
    <row r="60" spans="2:120" x14ac:dyDescent="0.3">
      <c r="B60" s="1" t="s">
        <v>186</v>
      </c>
      <c r="C60" s="1" t="s">
        <v>187</v>
      </c>
      <c r="D60" s="1" t="s">
        <v>188</v>
      </c>
      <c r="AK60"/>
      <c r="AL60"/>
      <c r="AZ60" s="135"/>
      <c r="BB60" s="1">
        <v>5</v>
      </c>
      <c r="BC60" s="145" t="s">
        <v>189</v>
      </c>
      <c r="BD60" s="145" t="s">
        <v>25</v>
      </c>
      <c r="BE60" s="145" t="s">
        <v>190</v>
      </c>
      <c r="BJ60" s="146" t="s">
        <v>191</v>
      </c>
      <c r="BK60" s="146" t="s">
        <v>192</v>
      </c>
      <c r="CJ60"/>
      <c r="CK60"/>
      <c r="CL60"/>
      <c r="CM60"/>
      <c r="CN60"/>
      <c r="CO60" s="90"/>
      <c r="DB60" s="155"/>
      <c r="DC60" s="157" t="s">
        <v>193</v>
      </c>
      <c r="DE60" s="158" t="e">
        <f ca="1">SUM(AQ7:AQ10,AW7:AW10)</f>
        <v>#N/A</v>
      </c>
      <c r="DI60" s="1" t="s">
        <v>211</v>
      </c>
      <c r="DJ60" s="1" t="s">
        <v>387</v>
      </c>
    </row>
    <row r="61" spans="2:120" x14ac:dyDescent="0.3">
      <c r="J61" s="1">
        <f>J58/J56</f>
        <v>0.15027651278246493</v>
      </c>
      <c r="N61" s="187" t="s">
        <v>194</v>
      </c>
      <c r="P61" s="1" t="s">
        <v>195</v>
      </c>
      <c r="Q61" s="1" t="s">
        <v>196</v>
      </c>
      <c r="AK61"/>
      <c r="AL61"/>
      <c r="AO61" s="135"/>
      <c r="BB61" s="1">
        <v>6</v>
      </c>
      <c r="BC61" s="145" t="s">
        <v>197</v>
      </c>
      <c r="BD61" s="145" t="s">
        <v>32</v>
      </c>
      <c r="BE61" s="145" t="s">
        <v>198</v>
      </c>
      <c r="BJ61" s="159" t="s">
        <v>199</v>
      </c>
      <c r="BK61" s="159" t="s">
        <v>200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J61"/>
      <c r="CK61"/>
      <c r="CL61"/>
      <c r="CM61"/>
      <c r="CN61"/>
      <c r="CO61" s="90"/>
      <c r="DB61" s="155"/>
      <c r="DC61" s="157" t="s">
        <v>201</v>
      </c>
      <c r="DE61" s="160" t="e">
        <f ca="1">SUM(DE7:DE10)</f>
        <v>#N/A</v>
      </c>
      <c r="DI61" s="1" t="s">
        <v>171</v>
      </c>
      <c r="DJ61" s="1" t="s">
        <v>387</v>
      </c>
    </row>
    <row r="62" spans="2:120" x14ac:dyDescent="0.3">
      <c r="B62" s="13"/>
      <c r="C62" s="13"/>
      <c r="D62" s="13"/>
      <c r="E62" s="13"/>
      <c r="G62" s="13"/>
      <c r="H62" s="13"/>
      <c r="I62" s="13"/>
      <c r="J62" s="13"/>
      <c r="N62" s="187" t="s">
        <v>202</v>
      </c>
      <c r="P62" s="1" t="s">
        <v>203</v>
      </c>
      <c r="Q62" s="1" t="s">
        <v>204</v>
      </c>
      <c r="AC62" s="161"/>
      <c r="AD62" s="161"/>
      <c r="AK62"/>
      <c r="AL62"/>
      <c r="BB62" s="1">
        <v>7</v>
      </c>
      <c r="BC62" s="145" t="s">
        <v>205</v>
      </c>
      <c r="BD62" s="145" t="s">
        <v>33</v>
      </c>
      <c r="BE62" s="145" t="s">
        <v>206</v>
      </c>
      <c r="BJ62" s="146" t="s">
        <v>207</v>
      </c>
      <c r="BK62" s="146" t="s">
        <v>208</v>
      </c>
      <c r="BL62"/>
      <c r="BM62"/>
      <c r="BP62"/>
      <c r="BQ62"/>
      <c r="BR62"/>
      <c r="BS62"/>
      <c r="BT62"/>
      <c r="BU62"/>
      <c r="BV62"/>
      <c r="BW62"/>
      <c r="BX62"/>
      <c r="BY62"/>
      <c r="BZ62"/>
      <c r="CA62"/>
      <c r="CB62"/>
      <c r="CJ62"/>
      <c r="CK62"/>
      <c r="CL62"/>
      <c r="CM62"/>
      <c r="CN62"/>
      <c r="CO62" s="90"/>
      <c r="DB62" s="151">
        <v>44681</v>
      </c>
      <c r="DE62" s="152"/>
      <c r="DI62" s="1" t="s">
        <v>227</v>
      </c>
      <c r="DJ62" s="1" t="s">
        <v>393</v>
      </c>
    </row>
    <row r="63" spans="2:120" x14ac:dyDescent="0.3">
      <c r="B63" s="13"/>
      <c r="C63" s="13"/>
      <c r="D63" s="13"/>
      <c r="E63" s="13"/>
      <c r="G63" s="13"/>
      <c r="H63" s="13"/>
      <c r="I63" s="13"/>
      <c r="J63" s="13"/>
      <c r="AK63"/>
      <c r="AL63"/>
      <c r="BB63" s="1">
        <v>8</v>
      </c>
      <c r="BC63" s="145" t="s">
        <v>209</v>
      </c>
      <c r="BD63" s="145" t="s">
        <v>34</v>
      </c>
      <c r="BE63" s="145" t="s">
        <v>210</v>
      </c>
      <c r="BJ63" s="147" t="s">
        <v>211</v>
      </c>
      <c r="BK63" s="147" t="s">
        <v>212</v>
      </c>
      <c r="BL63"/>
      <c r="BM63"/>
      <c r="BP63"/>
      <c r="BQ63"/>
      <c r="BR63"/>
      <c r="BS63"/>
      <c r="BT63"/>
      <c r="BU63"/>
      <c r="BV63"/>
      <c r="BW63"/>
      <c r="BX63"/>
      <c r="BY63"/>
      <c r="BZ63"/>
      <c r="CA63"/>
      <c r="CB63"/>
      <c r="CJ63"/>
      <c r="CK63"/>
      <c r="CL63"/>
      <c r="CM63"/>
      <c r="CN63"/>
      <c r="CO63" s="90"/>
      <c r="DB63" s="155"/>
      <c r="DC63" s="1" t="s">
        <v>183</v>
      </c>
      <c r="DE63" s="156" t="s">
        <v>184</v>
      </c>
      <c r="DI63" s="1" t="s">
        <v>388</v>
      </c>
      <c r="DJ63" s="1" t="s">
        <v>387</v>
      </c>
    </row>
    <row r="64" spans="2:120" x14ac:dyDescent="0.3">
      <c r="N64" s="187" t="s">
        <v>213</v>
      </c>
      <c r="P64" s="1" t="s">
        <v>214</v>
      </c>
      <c r="Q64" s="1" t="s">
        <v>215</v>
      </c>
      <c r="Y64" s="1" t="s">
        <v>216</v>
      </c>
      <c r="AK64"/>
      <c r="AL64"/>
      <c r="AQ64"/>
      <c r="AR64"/>
      <c r="AS64"/>
      <c r="AT64"/>
      <c r="AU64"/>
      <c r="AV64"/>
      <c r="BB64" s="1">
        <v>9</v>
      </c>
      <c r="BC64" s="145" t="s">
        <v>217</v>
      </c>
      <c r="BD64" s="145" t="s">
        <v>35</v>
      </c>
      <c r="BE64" s="145" t="s">
        <v>218</v>
      </c>
      <c r="BJ64" s="162" t="s">
        <v>125</v>
      </c>
      <c r="BK64" s="146" t="s">
        <v>219</v>
      </c>
      <c r="BL64"/>
      <c r="BM64"/>
      <c r="BP64"/>
      <c r="BQ64"/>
      <c r="BR64"/>
      <c r="BS64"/>
      <c r="BT64"/>
      <c r="BU64"/>
      <c r="BV64"/>
      <c r="BW64"/>
      <c r="BX64"/>
      <c r="BY64"/>
      <c r="BZ64"/>
      <c r="CA64"/>
      <c r="CB64"/>
      <c r="CJ64"/>
      <c r="CK64"/>
      <c r="CL64"/>
      <c r="CM64"/>
      <c r="CN64"/>
      <c r="CO64" s="90"/>
      <c r="DB64" s="155"/>
      <c r="DC64" s="157" t="s">
        <v>193</v>
      </c>
      <c r="DE64" s="158" t="e">
        <f ca="1">-SUM(AQ7:AQ11,AW7:AW11)</f>
        <v>#N/A</v>
      </c>
      <c r="DI64" s="1" t="s">
        <v>125</v>
      </c>
      <c r="DJ64" s="1" t="s">
        <v>393</v>
      </c>
    </row>
    <row r="65" spans="1:120" x14ac:dyDescent="0.3">
      <c r="N65" s="187" t="s">
        <v>220</v>
      </c>
      <c r="P65" s="1" t="s">
        <v>221</v>
      </c>
      <c r="Q65" s="1" t="s">
        <v>222</v>
      </c>
      <c r="Y65" s="1" t="s">
        <v>223</v>
      </c>
      <c r="AK65"/>
      <c r="AL65"/>
      <c r="AQ65"/>
      <c r="AR65"/>
      <c r="AS65"/>
      <c r="AT65"/>
      <c r="AU65"/>
      <c r="AV65"/>
      <c r="BB65" s="82">
        <v>10</v>
      </c>
      <c r="BC65" s="163" t="s">
        <v>224</v>
      </c>
      <c r="BD65" s="164" t="s">
        <v>225</v>
      </c>
      <c r="BE65" s="164" t="s">
        <v>226</v>
      </c>
      <c r="BJ65" s="162" t="s">
        <v>227</v>
      </c>
      <c r="BK65" s="147" t="s">
        <v>228</v>
      </c>
      <c r="BL65"/>
      <c r="BM65"/>
      <c r="BP65"/>
      <c r="BQ65"/>
      <c r="BR65"/>
      <c r="BS65"/>
      <c r="BT65"/>
      <c r="BU65"/>
      <c r="BV65"/>
      <c r="BW65"/>
      <c r="BX65"/>
      <c r="BY65"/>
      <c r="BZ65"/>
      <c r="CA65"/>
      <c r="CB65"/>
      <c r="CJ65"/>
      <c r="CK65"/>
      <c r="CL65"/>
      <c r="CM65"/>
      <c r="CN65"/>
      <c r="CO65" s="90"/>
      <c r="DB65" s="155"/>
      <c r="DC65" s="157" t="s">
        <v>201</v>
      </c>
      <c r="DE65" s="160" t="e">
        <f ca="1">SUM(DE7:DE11)</f>
        <v>#N/A</v>
      </c>
      <c r="DI65" s="1" t="s">
        <v>230</v>
      </c>
      <c r="DJ65" s="1" t="s">
        <v>393</v>
      </c>
    </row>
    <row r="66" spans="1:120" x14ac:dyDescent="0.3">
      <c r="Y66" s="1" t="s">
        <v>229</v>
      </c>
      <c r="AK66"/>
      <c r="AL66"/>
      <c r="AQ66"/>
      <c r="AR66"/>
      <c r="AS66"/>
      <c r="AT66"/>
      <c r="AU66"/>
      <c r="AV66"/>
      <c r="BI66"/>
      <c r="BJ66" s="162" t="s">
        <v>230</v>
      </c>
      <c r="BK66" s="146" t="s">
        <v>231</v>
      </c>
      <c r="BL66"/>
      <c r="BM66"/>
      <c r="CJ66"/>
      <c r="CK66"/>
      <c r="CL66"/>
      <c r="CM66"/>
      <c r="CN66"/>
      <c r="CO66" s="90"/>
      <c r="DB66" s="151">
        <v>44712</v>
      </c>
      <c r="DE66" s="152"/>
      <c r="DI66" s="1" t="s">
        <v>244</v>
      </c>
      <c r="DJ66" s="1" t="s">
        <v>392</v>
      </c>
    </row>
    <row r="67" spans="1:120" x14ac:dyDescent="0.3">
      <c r="Y67" s="1" t="s">
        <v>232</v>
      </c>
      <c r="AK67"/>
      <c r="AL67"/>
      <c r="AQ67"/>
      <c r="AR67"/>
      <c r="AS67"/>
      <c r="AT67"/>
      <c r="AU67"/>
      <c r="AV67"/>
      <c r="BI67"/>
      <c r="BJ67" s="159" t="s">
        <v>233</v>
      </c>
      <c r="BK67" s="159" t="s">
        <v>234</v>
      </c>
      <c r="BT67" s="135"/>
      <c r="BU67" s="135"/>
      <c r="BV67" s="135"/>
      <c r="BW67" s="135"/>
      <c r="BX67" s="135"/>
      <c r="BY67" s="135"/>
      <c r="BZ67" s="135"/>
      <c r="CA67" s="135"/>
      <c r="CB67" s="135"/>
      <c r="CJ67"/>
      <c r="CK67"/>
      <c r="CL67"/>
      <c r="CM67"/>
      <c r="CN67"/>
      <c r="CO67" s="90"/>
      <c r="DB67" s="155"/>
      <c r="DC67" s="1" t="s">
        <v>183</v>
      </c>
      <c r="DE67" s="156" t="s">
        <v>184</v>
      </c>
      <c r="DI67" s="1" t="s">
        <v>389</v>
      </c>
      <c r="DJ67" s="1" t="s">
        <v>387</v>
      </c>
    </row>
    <row r="68" spans="1:120" x14ac:dyDescent="0.3">
      <c r="B68" s="13" t="s">
        <v>235</v>
      </c>
      <c r="C68" s="13" t="s">
        <v>236</v>
      </c>
      <c r="D68" s="13" t="s">
        <v>237</v>
      </c>
      <c r="E68" s="13"/>
      <c r="G68" s="13"/>
      <c r="H68" s="13"/>
      <c r="I68" s="13"/>
      <c r="J68" s="13"/>
      <c r="AK68"/>
      <c r="AL68"/>
      <c r="AQ68"/>
      <c r="AR68"/>
      <c r="AS68"/>
      <c r="AT68"/>
      <c r="AU68"/>
      <c r="AV68"/>
      <c r="BJ68" s="162" t="s">
        <v>238</v>
      </c>
      <c r="BK68" s="146" t="s">
        <v>239</v>
      </c>
      <c r="BL68" s="135"/>
      <c r="BM68" s="135"/>
      <c r="CJ68"/>
      <c r="CK68"/>
      <c r="CL68"/>
      <c r="CM68"/>
      <c r="CN68"/>
      <c r="CO68" s="90"/>
      <c r="DB68" s="155"/>
      <c r="DC68" s="157" t="s">
        <v>193</v>
      </c>
      <c r="DE68" s="158" t="e">
        <f ca="1">-SUM(AQ7:AQ12,AW7:AW12)</f>
        <v>#N/A</v>
      </c>
      <c r="DI68" s="1" t="s">
        <v>390</v>
      </c>
      <c r="DJ68" s="1" t="s">
        <v>393</v>
      </c>
    </row>
    <row r="69" spans="1:120" ht="15" thickBot="1" x14ac:dyDescent="0.35">
      <c r="B69" s="13" t="s">
        <v>240</v>
      </c>
      <c r="C69" s="13" t="s">
        <v>241</v>
      </c>
      <c r="D69" s="13" t="s">
        <v>242</v>
      </c>
      <c r="E69" s="13"/>
      <c r="G69" s="13"/>
      <c r="H69" s="13"/>
      <c r="I69" s="13"/>
      <c r="J69" s="13"/>
      <c r="Y69" s="1" t="s">
        <v>243</v>
      </c>
      <c r="AK69"/>
      <c r="AL69"/>
      <c r="AQ69"/>
      <c r="AR69"/>
      <c r="AS69"/>
      <c r="AT69"/>
      <c r="AU69"/>
      <c r="AV69"/>
      <c r="BJ69" s="162" t="s">
        <v>244</v>
      </c>
      <c r="BK69" s="147" t="s">
        <v>245</v>
      </c>
      <c r="CJ69"/>
      <c r="CK69"/>
      <c r="CL69"/>
      <c r="CM69"/>
      <c r="CN69"/>
      <c r="CO69" s="90"/>
      <c r="DB69" s="165"/>
      <c r="DC69" s="166" t="s">
        <v>201</v>
      </c>
      <c r="DD69" s="167"/>
      <c r="DE69" s="168" t="e">
        <f ca="1">SUM(DE7:DE12)</f>
        <v>#N/A</v>
      </c>
      <c r="DI69" s="1" t="s">
        <v>391</v>
      </c>
      <c r="DJ69" s="1" t="s">
        <v>387</v>
      </c>
    </row>
    <row r="70" spans="1:120" x14ac:dyDescent="0.3">
      <c r="B70" s="13" t="s">
        <v>246</v>
      </c>
      <c r="C70" s="13" t="s">
        <v>247</v>
      </c>
      <c r="D70" s="13" t="s">
        <v>248</v>
      </c>
      <c r="G70" s="13"/>
      <c r="H70" s="13"/>
      <c r="I70" s="13"/>
      <c r="J70" s="13"/>
      <c r="Y70" s="1" t="s">
        <v>249</v>
      </c>
      <c r="AK70"/>
      <c r="AL70"/>
      <c r="AQ70"/>
      <c r="AR70"/>
      <c r="AS70"/>
      <c r="AT70"/>
      <c r="AU70"/>
      <c r="AV70"/>
      <c r="BJ70" s="146" t="s">
        <v>250</v>
      </c>
      <c r="BK70" s="146" t="s">
        <v>251</v>
      </c>
      <c r="DI70" s="1" t="s">
        <v>238</v>
      </c>
      <c r="DJ70" s="1" t="s">
        <v>392</v>
      </c>
    </row>
    <row r="71" spans="1:120" x14ac:dyDescent="0.3">
      <c r="AB71" s="169"/>
      <c r="AK71"/>
      <c r="AL71"/>
      <c r="AQ71"/>
      <c r="AR71"/>
      <c r="AS71"/>
      <c r="AT71"/>
      <c r="AU71"/>
      <c r="AV71"/>
      <c r="CJ71"/>
      <c r="CK71"/>
      <c r="CL71"/>
      <c r="CM71"/>
      <c r="CN71"/>
      <c r="CO71" s="90"/>
    </row>
    <row r="72" spans="1:120" x14ac:dyDescent="0.3">
      <c r="AK72"/>
      <c r="AL72"/>
      <c r="AQ72"/>
      <c r="AR72"/>
      <c r="AS72"/>
      <c r="AT72"/>
      <c r="AU72"/>
      <c r="AV72"/>
      <c r="BJ72" s="170" t="s">
        <v>252</v>
      </c>
      <c r="BK72"/>
      <c r="CJ72"/>
      <c r="CK72"/>
      <c r="CL72"/>
      <c r="CM72"/>
      <c r="CN72"/>
      <c r="CO72" s="90"/>
    </row>
    <row r="73" spans="1:120" customFormat="1" x14ac:dyDescent="0.3">
      <c r="A73" s="1"/>
      <c r="B73" s="13" t="s">
        <v>253</v>
      </c>
      <c r="C73" s="13" t="s">
        <v>254</v>
      </c>
      <c r="D73" s="13" t="s">
        <v>255</v>
      </c>
      <c r="E73" s="13" t="s">
        <v>256</v>
      </c>
      <c r="F73" s="1"/>
      <c r="G73" s="13"/>
      <c r="H73" s="13"/>
      <c r="I73" s="13"/>
      <c r="J73" s="13"/>
      <c r="K73" s="1"/>
      <c r="L73" s="1"/>
      <c r="M73" s="1"/>
      <c r="N73" s="187"/>
      <c r="O73" s="187"/>
      <c r="P73" s="1"/>
      <c r="Q73" s="1"/>
      <c r="R73" s="1"/>
      <c r="S73" s="1"/>
      <c r="T73" s="1"/>
      <c r="U73" s="1"/>
      <c r="V73" s="1"/>
      <c r="W73" s="1"/>
      <c r="X73" s="1"/>
      <c r="Y73" s="1" t="s">
        <v>257</v>
      </c>
      <c r="Z73" s="1"/>
      <c r="AA73" s="1" t="s">
        <v>258</v>
      </c>
      <c r="AB73" s="1"/>
      <c r="AC73" s="1"/>
      <c r="AD73" s="1"/>
      <c r="AE73" s="1"/>
      <c r="AF73" s="1"/>
      <c r="AG73" s="1"/>
      <c r="AH73" s="1"/>
      <c r="AM73" s="1"/>
      <c r="AN73" s="1"/>
      <c r="AO73" s="1"/>
      <c r="AP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71" t="s">
        <v>259</v>
      </c>
      <c r="BK73" t="s">
        <v>260</v>
      </c>
      <c r="BL73" s="1"/>
      <c r="BM73" s="13" t="s">
        <v>261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O73" s="90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P73" s="242"/>
    </row>
    <row r="74" spans="1:120" customFormat="1" x14ac:dyDescent="0.3">
      <c r="A74" s="1"/>
      <c r="B74" s="1" t="s">
        <v>262</v>
      </c>
      <c r="C74" s="1" t="s">
        <v>263</v>
      </c>
      <c r="D74" s="1" t="s">
        <v>264</v>
      </c>
      <c r="E74" s="1"/>
      <c r="F74" s="1"/>
      <c r="G74" s="1"/>
      <c r="H74" s="1"/>
      <c r="I74" s="1"/>
      <c r="J74" s="1"/>
      <c r="K74" s="1"/>
      <c r="L74" s="1"/>
      <c r="M74" s="1"/>
      <c r="N74" s="187"/>
      <c r="O74" s="187"/>
      <c r="P74" s="1"/>
      <c r="Q74" s="1"/>
      <c r="R74" s="1"/>
      <c r="S74" s="1"/>
      <c r="T74" s="1"/>
      <c r="U74" s="1"/>
      <c r="V74" s="1"/>
      <c r="W74" s="1"/>
      <c r="X74" s="1"/>
      <c r="Y74" s="1" t="s">
        <v>265</v>
      </c>
      <c r="Z74" s="1"/>
      <c r="AA74" s="1" t="s">
        <v>266</v>
      </c>
      <c r="AB74" s="1"/>
      <c r="AC74" s="1"/>
      <c r="AD74" s="1"/>
      <c r="AE74" s="1"/>
      <c r="AF74" s="1"/>
      <c r="AG74" s="1"/>
      <c r="AH74" s="1"/>
      <c r="AK74" s="1"/>
      <c r="AL74" s="1"/>
      <c r="AM74" s="1"/>
      <c r="AN74" s="1"/>
      <c r="AO74" s="1"/>
      <c r="AP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71" t="s">
        <v>127</v>
      </c>
      <c r="BK74" t="s">
        <v>267</v>
      </c>
      <c r="BL74" s="1"/>
      <c r="BM74" s="13" t="s">
        <v>268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O74" s="90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P74" s="242"/>
    </row>
    <row r="75" spans="1:120" customFormat="1" x14ac:dyDescent="0.3">
      <c r="A75" s="1"/>
      <c r="B75" s="1" t="s">
        <v>269</v>
      </c>
      <c r="C75" s="1" t="s">
        <v>270</v>
      </c>
      <c r="D75" s="1" t="s">
        <v>271</v>
      </c>
      <c r="E75" s="1"/>
      <c r="F75" s="1"/>
      <c r="G75" s="1"/>
      <c r="H75" s="1"/>
      <c r="I75" s="1"/>
      <c r="J75" s="1"/>
      <c r="K75" s="1"/>
      <c r="L75" s="1"/>
      <c r="M75" s="1"/>
      <c r="N75" s="187"/>
      <c r="O75" s="187"/>
      <c r="P75" s="1"/>
      <c r="Q75" s="1"/>
      <c r="R75" s="1"/>
      <c r="S75" s="1"/>
      <c r="T75" s="1"/>
      <c r="U75" s="1"/>
      <c r="V75" s="1"/>
      <c r="W75" s="1"/>
      <c r="X75" s="1"/>
      <c r="Y75" s="1" t="s">
        <v>272</v>
      </c>
      <c r="Z75" s="1"/>
      <c r="AA75" s="1" t="s">
        <v>273</v>
      </c>
      <c r="AB75" s="1"/>
      <c r="AC75" s="1"/>
      <c r="AD75" s="1"/>
      <c r="AE75" s="1"/>
      <c r="AF75" s="1"/>
      <c r="AG75" s="1"/>
      <c r="AH75" s="1"/>
      <c r="AK75" s="1"/>
      <c r="AL75" s="1"/>
      <c r="AM75" s="1"/>
      <c r="AN75" s="1"/>
      <c r="AO75" s="1"/>
      <c r="AP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71" t="s">
        <v>126</v>
      </c>
      <c r="BK75" t="s">
        <v>274</v>
      </c>
      <c r="BL75" s="1"/>
      <c r="BM75" s="13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O75" s="90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P75" s="242"/>
    </row>
    <row r="76" spans="1:120" customFormat="1" x14ac:dyDescent="0.3">
      <c r="A76" s="1"/>
      <c r="B76" s="1" t="s">
        <v>275</v>
      </c>
      <c r="C76" s="1" t="s">
        <v>276</v>
      </c>
      <c r="D76" s="1" t="s">
        <v>277</v>
      </c>
      <c r="E76" s="1"/>
      <c r="F76" s="1"/>
      <c r="G76" s="1"/>
      <c r="H76" s="1"/>
      <c r="I76" s="1"/>
      <c r="J76" s="1"/>
      <c r="K76" s="1"/>
      <c r="L76" s="1"/>
      <c r="M76" s="1"/>
      <c r="N76" s="187"/>
      <c r="O76" s="187"/>
      <c r="P76" s="1"/>
      <c r="Q76" s="1"/>
      <c r="R76" s="1"/>
      <c r="S76" s="1"/>
      <c r="T76" s="1"/>
      <c r="U76" s="1"/>
      <c r="V76" s="1"/>
      <c r="W76" s="1"/>
      <c r="X76" s="1"/>
      <c r="Y76" s="1" t="s">
        <v>278</v>
      </c>
      <c r="Z76" s="1"/>
      <c r="AA76" s="1" t="s">
        <v>279</v>
      </c>
      <c r="AB76" s="1"/>
      <c r="AC76" s="1"/>
      <c r="AD76" s="1"/>
      <c r="AE76" s="1"/>
      <c r="AF76" s="1"/>
      <c r="AG76" s="1"/>
      <c r="AH76" s="1"/>
      <c r="AK76" s="1"/>
      <c r="AL76" s="1"/>
      <c r="AM76" s="1"/>
      <c r="AN76" s="1"/>
      <c r="AO76" s="1"/>
      <c r="AP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3"/>
      <c r="BJ76" s="171" t="s">
        <v>280</v>
      </c>
      <c r="BK76" t="s">
        <v>281</v>
      </c>
      <c r="BL76" s="1"/>
      <c r="BM76" s="13" t="s">
        <v>282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O76" s="90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P76" s="242"/>
    </row>
    <row r="77" spans="1:120" customFormat="1" x14ac:dyDescent="0.3">
      <c r="A77" s="1"/>
      <c r="B77" s="1" t="s">
        <v>283</v>
      </c>
      <c r="C77" s="1" t="s">
        <v>284</v>
      </c>
      <c r="D77" s="1" t="s">
        <v>285</v>
      </c>
      <c r="E77" s="1"/>
      <c r="F77" s="1"/>
      <c r="G77" s="1"/>
      <c r="H77" s="1"/>
      <c r="I77" s="1"/>
      <c r="J77" s="1"/>
      <c r="K77" s="1"/>
      <c r="L77" s="1"/>
      <c r="M77" s="1"/>
      <c r="N77" s="187"/>
      <c r="O77" s="187"/>
      <c r="P77" s="1"/>
      <c r="Q77" s="1"/>
      <c r="R77" s="1"/>
      <c r="S77" s="1"/>
      <c r="T77" s="1"/>
      <c r="U77" s="1"/>
      <c r="V77" s="1"/>
      <c r="W77" s="1"/>
      <c r="X77" s="1"/>
      <c r="Y77" s="1" t="s">
        <v>286</v>
      </c>
      <c r="Z77" s="1"/>
      <c r="AA77" s="1" t="s">
        <v>287</v>
      </c>
      <c r="AB77" s="1"/>
      <c r="AC77" s="1"/>
      <c r="AD77" s="1"/>
      <c r="AE77" s="1"/>
      <c r="AF77" s="1"/>
      <c r="AG77" s="1"/>
      <c r="AH77" s="1"/>
      <c r="AK77" s="1"/>
      <c r="AL77" s="1"/>
      <c r="AM77" s="1"/>
      <c r="AN77" s="1"/>
      <c r="AO77" s="1"/>
      <c r="AP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71" t="s">
        <v>288</v>
      </c>
      <c r="BK77" t="s">
        <v>267</v>
      </c>
      <c r="BL77" s="1"/>
      <c r="BM77" s="13" t="s">
        <v>268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O77" s="90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P77" s="242"/>
    </row>
    <row r="78" spans="1:120" customFormat="1" x14ac:dyDescent="0.3">
      <c r="A78" s="1"/>
      <c r="B78" s="1" t="s">
        <v>289</v>
      </c>
      <c r="C78" s="1" t="s">
        <v>290</v>
      </c>
      <c r="D78" s="1" t="s">
        <v>291</v>
      </c>
      <c r="E78" s="1"/>
      <c r="F78" s="1"/>
      <c r="G78" s="1"/>
      <c r="H78" s="1"/>
      <c r="I78" s="1"/>
      <c r="J78" s="1"/>
      <c r="K78" s="1"/>
      <c r="L78" s="1"/>
      <c r="M78" s="1"/>
      <c r="N78" s="187"/>
      <c r="O78" s="187"/>
      <c r="P78" s="1"/>
      <c r="Q78" s="1"/>
      <c r="R78" s="1"/>
      <c r="S78" s="1"/>
      <c r="T78" s="1"/>
      <c r="U78" s="1"/>
      <c r="V78" s="1"/>
      <c r="W78" s="1"/>
      <c r="X78" s="1"/>
      <c r="Y78" s="1" t="s">
        <v>292</v>
      </c>
      <c r="Z78" s="1"/>
      <c r="AA78" s="1" t="s">
        <v>293</v>
      </c>
      <c r="AB78" s="1"/>
      <c r="AC78" s="1"/>
      <c r="AD78" s="1"/>
      <c r="AE78" s="1"/>
      <c r="AF78" s="1"/>
      <c r="AG78" s="1"/>
      <c r="AH78" s="1"/>
      <c r="AK78" s="1"/>
      <c r="AL78" s="1"/>
      <c r="AM78" s="1"/>
      <c r="AN78" s="1"/>
      <c r="AO78" s="1"/>
      <c r="AP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71" t="s">
        <v>294</v>
      </c>
      <c r="BK78" t="s">
        <v>274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23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P78" s="242"/>
    </row>
    <row r="79" spans="1:120" customFormat="1" x14ac:dyDescent="0.3">
      <c r="A79" s="1"/>
      <c r="B79" s="1" t="s">
        <v>295</v>
      </c>
      <c r="C79" s="1" t="s">
        <v>296</v>
      </c>
      <c r="D79" s="1" t="s">
        <v>297</v>
      </c>
      <c r="E79" s="1"/>
      <c r="F79" s="1"/>
      <c r="G79" s="1"/>
      <c r="H79" s="1"/>
      <c r="I79" s="1"/>
      <c r="J79" s="1"/>
      <c r="K79" s="1"/>
      <c r="L79" s="1"/>
      <c r="M79" s="1"/>
      <c r="N79" s="187"/>
      <c r="O79" s="18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K79" s="1"/>
      <c r="AL79" s="1"/>
      <c r="AM79" s="1"/>
      <c r="AN79" s="1"/>
      <c r="AO79" s="1"/>
      <c r="AP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O79" s="90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P79" s="242"/>
    </row>
    <row r="80" spans="1:120" customForma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87"/>
      <c r="O80" s="18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K80" s="1"/>
      <c r="AL80" s="1"/>
      <c r="AM80" s="1"/>
      <c r="AN80" s="1"/>
      <c r="AO80" s="1"/>
      <c r="AP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72" t="s">
        <v>298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O80" s="90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P80" s="242"/>
    </row>
    <row r="81" spans="1:120" customForma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87"/>
      <c r="O81" s="18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K81" s="1"/>
      <c r="AL81" s="1"/>
      <c r="AM81" s="1"/>
      <c r="AN81" s="1"/>
      <c r="AO81" s="1"/>
      <c r="AP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73" t="s">
        <v>294</v>
      </c>
      <c r="BK81" t="s">
        <v>299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O81" s="90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P81" s="242"/>
    </row>
    <row r="82" spans="1:120" customForma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87"/>
      <c r="O82" s="18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K82" s="1"/>
      <c r="AL82" s="1"/>
      <c r="AM82" s="1"/>
      <c r="AN82" s="1"/>
      <c r="AO82" s="1"/>
      <c r="AP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73" t="s">
        <v>300</v>
      </c>
      <c r="BK82" t="s">
        <v>301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O82" s="90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P82" s="242"/>
    </row>
    <row r="83" spans="1:120" customForma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87"/>
      <c r="O83" s="18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K83" s="1"/>
      <c r="AL83" s="1"/>
      <c r="AM83" s="1"/>
      <c r="AN83" s="1"/>
      <c r="AO83" s="1"/>
      <c r="AP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73" t="s">
        <v>302</v>
      </c>
      <c r="BK83" t="s">
        <v>303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O83" s="90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P83" s="242"/>
    </row>
    <row r="84" spans="1:120" customForma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87"/>
      <c r="O84" s="18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73" t="s">
        <v>304</v>
      </c>
      <c r="BK84" t="s">
        <v>305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O84" s="90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P84" s="242"/>
    </row>
    <row r="85" spans="1:120" customForma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87"/>
      <c r="O85" s="18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73" t="s">
        <v>306</v>
      </c>
      <c r="BK85" t="s">
        <v>307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O85" s="90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P85" s="242"/>
    </row>
    <row r="86" spans="1:120" customForma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87"/>
      <c r="O86" s="18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73" t="s">
        <v>308</v>
      </c>
      <c r="BK86" t="s">
        <v>309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O86" s="90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P86" s="242"/>
    </row>
    <row r="87" spans="1:120" customForma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87"/>
      <c r="O87" s="18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73" t="s">
        <v>177</v>
      </c>
      <c r="BK87" t="s">
        <v>310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O87" s="90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P87" s="242"/>
    </row>
    <row r="88" spans="1:120" customForma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87"/>
      <c r="O88" s="18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73" t="s">
        <v>126</v>
      </c>
      <c r="BK88" t="s">
        <v>311</v>
      </c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O88" s="90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P88" s="242"/>
    </row>
    <row r="89" spans="1:120" customForma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87"/>
      <c r="O89" s="18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73" t="s">
        <v>312</v>
      </c>
      <c r="BK89" t="s">
        <v>313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O89" s="90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P89" s="242"/>
    </row>
    <row r="90" spans="1:120" customForma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87"/>
      <c r="O90" s="18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73" t="s">
        <v>314</v>
      </c>
      <c r="BK90" t="s">
        <v>315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O90" s="90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P90" s="242"/>
    </row>
    <row r="91" spans="1:120" customFormat="1" x14ac:dyDescent="0.3">
      <c r="A91" s="1"/>
      <c r="M91" s="1"/>
      <c r="N91" s="187"/>
      <c r="O91" s="18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73" t="s">
        <v>316</v>
      </c>
      <c r="BK91" t="s">
        <v>317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O91" s="90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P91" s="242"/>
    </row>
    <row r="92" spans="1:120" customFormat="1" x14ac:dyDescent="0.3">
      <c r="A92" s="1"/>
      <c r="M92" s="1"/>
      <c r="N92" s="187"/>
      <c r="O92" s="18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73" t="s">
        <v>318</v>
      </c>
      <c r="BK92" t="s">
        <v>319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O92" s="90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P92" s="242"/>
    </row>
    <row r="93" spans="1:120" customFormat="1" x14ac:dyDescent="0.3">
      <c r="A93" s="1"/>
      <c r="M93" s="1"/>
      <c r="N93" s="187"/>
      <c r="O93" s="18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2" t="s">
        <v>320</v>
      </c>
      <c r="BK93" t="s">
        <v>321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O93" s="90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P93" s="242"/>
    </row>
    <row r="94" spans="1:120" customFormat="1" ht="15" thickBot="1" x14ac:dyDescent="0.35">
      <c r="A94" s="1"/>
      <c r="M94" s="1"/>
      <c r="N94" s="187"/>
      <c r="O94" s="18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73" t="s">
        <v>322</v>
      </c>
      <c r="BK94" t="s">
        <v>323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O94" s="90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P94" s="242"/>
    </row>
    <row r="95" spans="1:120" customFormat="1" x14ac:dyDescent="0.3">
      <c r="A95" s="1"/>
      <c r="M95" s="1"/>
      <c r="N95" s="187"/>
      <c r="O95" s="18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K95" s="148" t="s">
        <v>324</v>
      </c>
      <c r="AL95" s="149"/>
      <c r="AM95" s="149"/>
      <c r="AN95" s="150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73" t="s">
        <v>325</v>
      </c>
      <c r="BK95" t="s">
        <v>326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O95" s="90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P95" s="242"/>
    </row>
    <row r="96" spans="1:120" customFormat="1" x14ac:dyDescent="0.3">
      <c r="A96" s="1"/>
      <c r="M96" s="1"/>
      <c r="N96" s="187"/>
      <c r="O96" s="18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K96" s="151">
        <v>44562</v>
      </c>
      <c r="AL96" s="174" t="s">
        <v>142</v>
      </c>
      <c r="AM96" s="1"/>
      <c r="AN96" s="152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73" t="s">
        <v>327</v>
      </c>
      <c r="BK96" t="s">
        <v>328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O96" s="90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P96" s="242"/>
    </row>
    <row r="97" spans="1:120" customFormat="1" x14ac:dyDescent="0.3">
      <c r="A97" s="1"/>
      <c r="M97" s="1"/>
      <c r="N97" s="187"/>
      <c r="O97" s="18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K97" s="155"/>
      <c r="AL97" s="1" t="s">
        <v>329</v>
      </c>
      <c r="AM97" s="175">
        <v>100</v>
      </c>
      <c r="AN97" s="158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73" t="s">
        <v>330</v>
      </c>
      <c r="BK97" t="s">
        <v>331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O97" s="90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P97" s="242"/>
    </row>
    <row r="98" spans="1:120" customFormat="1" x14ac:dyDescent="0.3">
      <c r="A98" s="1"/>
      <c r="M98" s="1"/>
      <c r="N98" s="187"/>
      <c r="O98" s="18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K98" s="155"/>
      <c r="AL98" s="1" t="s">
        <v>332</v>
      </c>
      <c r="AM98" s="175"/>
      <c r="AN98" s="158">
        <v>100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73" t="s">
        <v>333</v>
      </c>
      <c r="BK98" t="s">
        <v>334</v>
      </c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O98" s="90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P98" s="242"/>
    </row>
    <row r="99" spans="1:120" customFormat="1" x14ac:dyDescent="0.3">
      <c r="A99" s="1"/>
      <c r="M99" s="1"/>
      <c r="N99" s="187"/>
      <c r="O99" s="18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K99" s="176">
        <v>44607</v>
      </c>
      <c r="AL99" s="177" t="s">
        <v>147</v>
      </c>
      <c r="AM99" s="178"/>
      <c r="AN99" s="179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2" t="s">
        <v>335</v>
      </c>
      <c r="BK99" t="s">
        <v>336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O99" s="90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P99" s="242"/>
    </row>
    <row r="100" spans="1:120" customForma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87"/>
      <c r="O100" s="18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K100" s="180"/>
      <c r="AL100" s="82" t="s">
        <v>337</v>
      </c>
      <c r="AM100" s="178">
        <v>0</v>
      </c>
      <c r="AN100" s="179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81" t="s">
        <v>338</v>
      </c>
      <c r="BK100" t="s">
        <v>339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O100" s="90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P100" s="242"/>
    </row>
    <row r="101" spans="1:120" customForma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87"/>
      <c r="O101" s="18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K101" s="180"/>
      <c r="AL101" s="82" t="s">
        <v>340</v>
      </c>
      <c r="AM101" s="178"/>
      <c r="AN101" s="179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81" t="s">
        <v>341</v>
      </c>
      <c r="BK101" t="s">
        <v>339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O101" s="90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P101" s="242"/>
    </row>
    <row r="102" spans="1:120" customForma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87"/>
      <c r="O102" s="18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K102" s="151">
        <v>44621</v>
      </c>
      <c r="AL102" s="174" t="s">
        <v>24</v>
      </c>
      <c r="AM102" s="175"/>
      <c r="AN102" s="158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81" t="s">
        <v>342</v>
      </c>
      <c r="BK102" t="s">
        <v>339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O102" s="90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P102" s="242"/>
    </row>
    <row r="103" spans="1:120" customForma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87"/>
      <c r="O103" s="18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K103" s="155"/>
      <c r="AL103" s="1" t="s">
        <v>343</v>
      </c>
      <c r="AM103" s="175">
        <v>10</v>
      </c>
      <c r="AN103" s="158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5" t="s">
        <v>344</v>
      </c>
      <c r="BK103" t="s">
        <v>345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O103" s="90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P103" s="242"/>
    </row>
    <row r="104" spans="1:120" customForma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87"/>
      <c r="O104" s="18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K104" s="155"/>
      <c r="AL104" s="1" t="s">
        <v>332</v>
      </c>
      <c r="AM104" s="175"/>
      <c r="AN104" s="158">
        <v>10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5" t="s">
        <v>346</v>
      </c>
      <c r="BK104" t="s">
        <v>345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O104" s="90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P104" s="242"/>
    </row>
    <row r="105" spans="1:120" x14ac:dyDescent="0.3">
      <c r="AK105" s="151">
        <v>44651</v>
      </c>
      <c r="AL105" s="174" t="s">
        <v>164</v>
      </c>
      <c r="AM105" s="175"/>
      <c r="AN105" s="158"/>
      <c r="BJ105" s="5" t="s">
        <v>347</v>
      </c>
      <c r="BK105" t="s">
        <v>345</v>
      </c>
    </row>
    <row r="106" spans="1:120" x14ac:dyDescent="0.3">
      <c r="AK106" s="155"/>
      <c r="AL106" s="1" t="s">
        <v>348</v>
      </c>
      <c r="AM106" s="175">
        <v>50</v>
      </c>
      <c r="AN106" s="158"/>
    </row>
    <row r="107" spans="1:120" x14ac:dyDescent="0.3">
      <c r="B107"/>
      <c r="C107"/>
      <c r="D107"/>
      <c r="E107"/>
      <c r="F107"/>
      <c r="G107"/>
      <c r="H107"/>
      <c r="I107"/>
      <c r="J107"/>
      <c r="K107"/>
      <c r="L107"/>
      <c r="P107" s="13"/>
      <c r="Q107" s="13"/>
      <c r="R107" s="13"/>
      <c r="S107" s="13"/>
      <c r="AK107" s="155"/>
      <c r="AL107" s="1" t="s">
        <v>349</v>
      </c>
      <c r="AM107" s="175"/>
      <c r="AN107" s="158">
        <v>10</v>
      </c>
    </row>
    <row r="108" spans="1:120" x14ac:dyDescent="0.3">
      <c r="B108"/>
      <c r="C108"/>
      <c r="D108"/>
      <c r="E108"/>
      <c r="F108"/>
      <c r="G108"/>
      <c r="H108"/>
      <c r="I108"/>
      <c r="J108"/>
      <c r="K108"/>
      <c r="L108"/>
      <c r="AK108" s="155"/>
      <c r="AL108" s="1" t="s">
        <v>350</v>
      </c>
      <c r="AM108" s="175"/>
      <c r="AN108" s="158">
        <v>0.27</v>
      </c>
    </row>
    <row r="109" spans="1:120" x14ac:dyDescent="0.3">
      <c r="B109"/>
      <c r="C109"/>
      <c r="D109"/>
      <c r="E109"/>
      <c r="F109"/>
      <c r="G109"/>
      <c r="H109"/>
      <c r="I109"/>
      <c r="J109"/>
      <c r="K109"/>
      <c r="L109"/>
      <c r="AK109" s="155"/>
      <c r="AL109" s="1" t="s">
        <v>351</v>
      </c>
      <c r="AM109" s="175"/>
      <c r="AN109" s="158">
        <v>39.729999999999997</v>
      </c>
    </row>
    <row r="110" spans="1:120" x14ac:dyDescent="0.3">
      <c r="B110"/>
      <c r="C110"/>
      <c r="D110"/>
      <c r="E110"/>
      <c r="F110"/>
      <c r="G110"/>
      <c r="H110"/>
      <c r="I110"/>
      <c r="J110"/>
      <c r="K110"/>
      <c r="L110"/>
      <c r="AK110" s="151">
        <v>44681</v>
      </c>
      <c r="AL110" s="174" t="s">
        <v>164</v>
      </c>
      <c r="AM110" s="175"/>
      <c r="AN110" s="158"/>
    </row>
    <row r="111" spans="1:120" x14ac:dyDescent="0.3">
      <c r="B111"/>
      <c r="C111"/>
      <c r="D111"/>
      <c r="E111"/>
      <c r="F111"/>
      <c r="G111"/>
      <c r="H111"/>
      <c r="I111"/>
      <c r="J111"/>
      <c r="K111"/>
      <c r="L111"/>
      <c r="AK111" s="155"/>
      <c r="AL111" s="1" t="s">
        <v>348</v>
      </c>
      <c r="AM111" s="175">
        <v>70</v>
      </c>
      <c r="AN111" s="158"/>
    </row>
    <row r="112" spans="1:120" x14ac:dyDescent="0.3">
      <c r="B112"/>
      <c r="C112"/>
      <c r="D112"/>
      <c r="E112"/>
      <c r="F112"/>
      <c r="G112"/>
      <c r="H112"/>
      <c r="I112"/>
      <c r="J112"/>
      <c r="K112"/>
      <c r="L112"/>
      <c r="AK112" s="155"/>
      <c r="AL112" s="1" t="s">
        <v>350</v>
      </c>
      <c r="AM112" s="175"/>
      <c r="AN112" s="158">
        <v>0.1</v>
      </c>
    </row>
    <row r="113" spans="1:120" x14ac:dyDescent="0.3">
      <c r="B113"/>
      <c r="C113"/>
      <c r="D113"/>
      <c r="E113"/>
      <c r="F113"/>
      <c r="G113"/>
      <c r="H113"/>
      <c r="I113"/>
      <c r="J113"/>
      <c r="K113"/>
      <c r="L113"/>
      <c r="AK113" s="155"/>
      <c r="AL113" s="1" t="s">
        <v>351</v>
      </c>
      <c r="AM113" s="175"/>
      <c r="AN113" s="158">
        <v>60.27</v>
      </c>
    </row>
    <row r="114" spans="1:120" x14ac:dyDescent="0.3">
      <c r="B114"/>
      <c r="C114"/>
      <c r="D114"/>
      <c r="E114"/>
      <c r="F114"/>
      <c r="G114"/>
      <c r="H114"/>
      <c r="I114"/>
      <c r="J114"/>
      <c r="K114"/>
      <c r="L114"/>
      <c r="AK114" s="155"/>
      <c r="AL114" s="1" t="s">
        <v>352</v>
      </c>
      <c r="AM114" s="175"/>
      <c r="AN114" s="158">
        <v>9.6300000000000008</v>
      </c>
    </row>
    <row r="115" spans="1:120" x14ac:dyDescent="0.3">
      <c r="B115"/>
      <c r="C115"/>
      <c r="D115"/>
      <c r="E115"/>
      <c r="F115"/>
      <c r="G115"/>
      <c r="H115"/>
      <c r="I115"/>
      <c r="J115"/>
      <c r="K115"/>
      <c r="L115"/>
      <c r="AK115" s="151">
        <v>44712</v>
      </c>
      <c r="AL115" s="174" t="s">
        <v>164</v>
      </c>
      <c r="AM115" s="175"/>
      <c r="AN115" s="158"/>
    </row>
    <row r="116" spans="1:120" x14ac:dyDescent="0.3">
      <c r="B116"/>
      <c r="C116"/>
      <c r="D116"/>
      <c r="E116"/>
      <c r="F116"/>
      <c r="G116"/>
      <c r="H116"/>
      <c r="I116"/>
      <c r="J116"/>
      <c r="K116"/>
      <c r="L116"/>
      <c r="AK116" s="155"/>
      <c r="AL116" s="1" t="s">
        <v>348</v>
      </c>
      <c r="AM116" s="175">
        <v>10</v>
      </c>
      <c r="AN116" s="158"/>
    </row>
    <row r="117" spans="1:120" ht="15" thickBot="1" x14ac:dyDescent="0.35">
      <c r="B117"/>
      <c r="C117"/>
      <c r="D117"/>
      <c r="E117"/>
      <c r="F117"/>
      <c r="G117"/>
      <c r="H117"/>
      <c r="I117"/>
      <c r="J117"/>
      <c r="K117"/>
      <c r="L117"/>
      <c r="AK117" s="165"/>
      <c r="AL117" s="167" t="s">
        <v>352</v>
      </c>
      <c r="AM117" s="182"/>
      <c r="AN117" s="183">
        <v>10</v>
      </c>
    </row>
    <row r="118" spans="1:120" x14ac:dyDescent="0.3">
      <c r="B118"/>
      <c r="C118"/>
      <c r="D118"/>
      <c r="E118"/>
      <c r="F118"/>
      <c r="G118"/>
      <c r="H118"/>
      <c r="I118"/>
      <c r="J118"/>
      <c r="K118"/>
      <c r="L118"/>
    </row>
    <row r="119" spans="1:120" x14ac:dyDescent="0.3">
      <c r="B119"/>
      <c r="C119"/>
      <c r="D119"/>
      <c r="E119"/>
      <c r="F119"/>
      <c r="G119"/>
      <c r="H119"/>
      <c r="I119"/>
      <c r="J119"/>
      <c r="K119"/>
      <c r="L119"/>
    </row>
    <row r="120" spans="1:120" x14ac:dyDescent="0.3">
      <c r="B120"/>
      <c r="C120"/>
      <c r="D120"/>
      <c r="E120"/>
      <c r="F120"/>
      <c r="G120"/>
      <c r="H120"/>
      <c r="I120"/>
      <c r="J120"/>
      <c r="K120"/>
      <c r="L120"/>
    </row>
    <row r="126" spans="1:120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86"/>
      <c r="O126" s="186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23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P126" s="242"/>
    </row>
    <row r="127" spans="1:120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86"/>
      <c r="O127" s="186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23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P127" s="242"/>
    </row>
    <row r="128" spans="1:120" customForma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86"/>
      <c r="O128" s="186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23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P128" s="242"/>
    </row>
    <row r="129" spans="1:120" customForma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86"/>
      <c r="O129" s="186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23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P129" s="242"/>
    </row>
    <row r="130" spans="1:120" customForma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86"/>
      <c r="O130" s="186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23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P130" s="242"/>
    </row>
    <row r="131" spans="1:120" customForma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86"/>
      <c r="O131" s="186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23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P131" s="242"/>
    </row>
    <row r="132" spans="1:120" customForma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86"/>
      <c r="O132" s="186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23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P132" s="242"/>
    </row>
    <row r="133" spans="1:120" customForma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86"/>
      <c r="O133" s="186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23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P133" s="242"/>
    </row>
    <row r="134" spans="1:120" customForma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86"/>
      <c r="O134" s="186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23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P134" s="242"/>
    </row>
    <row r="135" spans="1:120" customForma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86"/>
      <c r="O135" s="186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23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P135" s="242"/>
    </row>
    <row r="136" spans="1:120" customForma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86"/>
      <c r="O136" s="186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23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P136" s="242"/>
    </row>
  </sheetData>
  <dataConsolidate/>
  <mergeCells count="8">
    <mergeCell ref="DA4:DC4"/>
    <mergeCell ref="AK4:AM4"/>
    <mergeCell ref="AN4:AR4"/>
    <mergeCell ref="AS4:AU4"/>
    <mergeCell ref="AV4:AW4"/>
    <mergeCell ref="AX4:AY4"/>
    <mergeCell ref="CW4:CY4"/>
    <mergeCell ref="CL4:CL5"/>
  </mergeCells>
  <phoneticPr fontId="18" type="noConversion"/>
  <hyperlinks>
    <hyperlink ref="CS59" r:id="rId1" xr:uid="{99D02654-3E8D-49A3-B409-A2225BF4BB4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997-D499-4E1F-9330-603D44735C69}">
  <sheetPr codeName="Sheet1">
    <tabColor rgb="FFFFFF00"/>
  </sheetPr>
  <dimension ref="A1:AC3"/>
  <sheetViews>
    <sheetView workbookViewId="0">
      <selection activeCell="A4" sqref="A4:Z27"/>
    </sheetView>
  </sheetViews>
  <sheetFormatPr defaultRowHeight="14.4" x14ac:dyDescent="0.3"/>
  <cols>
    <col min="2" max="2" width="10.5546875" customWidth="1"/>
    <col min="3" max="3" width="10.33203125" customWidth="1"/>
    <col min="10" max="10" width="12.33203125" customWidth="1"/>
    <col min="11" max="11" width="12.109375" customWidth="1"/>
    <col min="12" max="12" width="9.44140625" customWidth="1"/>
    <col min="13" max="13" width="10.109375" style="267" customWidth="1"/>
    <col min="16" max="16" width="11.88671875" style="269" bestFit="1" customWidth="1"/>
    <col min="17" max="17" width="11.88671875" style="269" customWidth="1"/>
    <col min="18" max="18" width="12.6640625" style="269" bestFit="1" customWidth="1"/>
    <col min="19" max="19" width="13.21875" style="90" customWidth="1"/>
    <col min="20" max="20" width="12.6640625" style="90" customWidth="1"/>
    <col min="21" max="21" width="10.109375" style="90" customWidth="1"/>
    <col min="22" max="22" width="12.5546875" style="90" customWidth="1"/>
    <col min="23" max="23" width="16.6640625" style="90" customWidth="1"/>
    <col min="24" max="24" width="13.33203125" style="90" customWidth="1"/>
    <col min="25" max="25" width="10.109375" style="90" customWidth="1"/>
    <col min="26" max="26" width="9.77734375" style="90" customWidth="1"/>
  </cols>
  <sheetData>
    <row r="1" spans="1:29" ht="27.6" x14ac:dyDescent="0.3">
      <c r="A1" s="263" t="s">
        <v>402</v>
      </c>
      <c r="B1" s="3" t="s">
        <v>43</v>
      </c>
      <c r="C1" s="3" t="s">
        <v>1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403</v>
      </c>
      <c r="I1" s="3" t="s">
        <v>404</v>
      </c>
      <c r="J1" s="40" t="s">
        <v>48</v>
      </c>
      <c r="K1" s="40" t="s">
        <v>49</v>
      </c>
      <c r="L1" s="264" t="s">
        <v>50</v>
      </c>
      <c r="M1" s="265" t="s">
        <v>51</v>
      </c>
      <c r="N1" s="266" t="s">
        <v>52</v>
      </c>
      <c r="O1" s="266" t="s">
        <v>405</v>
      </c>
      <c r="P1" s="268" t="s">
        <v>53</v>
      </c>
      <c r="Q1" s="268" t="s">
        <v>406</v>
      </c>
      <c r="R1" s="268" t="s">
        <v>54</v>
      </c>
      <c r="S1" s="42" t="s">
        <v>55</v>
      </c>
      <c r="T1" s="42" t="s">
        <v>56</v>
      </c>
      <c r="U1" s="42" t="s">
        <v>57</v>
      </c>
      <c r="V1" s="42" t="s">
        <v>58</v>
      </c>
      <c r="W1" s="42" t="s">
        <v>400</v>
      </c>
      <c r="X1" s="42" t="s">
        <v>401</v>
      </c>
      <c r="Y1" s="42" t="s">
        <v>59</v>
      </c>
      <c r="Z1" s="42" t="s">
        <v>60</v>
      </c>
    </row>
    <row r="2" spans="1:29" x14ac:dyDescent="0.3">
      <c r="A2">
        <f t="shared" ref="A2:A3" si="0">ROW()-1</f>
        <v>1</v>
      </c>
      <c r="M2" s="267" t="e" cm="1">
        <f t="array" ref="M2">_xlfn.IFS(
N2="aq","acquisition",
N2="pm","payment",N2="dis","discount",N2="add","addition",
N2="repo","repossession",N2="sold","asset_sold",
N2="esue","early_sue",N2="sue","sue_black_no",N2="vd","verdict"
)</f>
        <v>#N/A</v>
      </c>
      <c r="W2" s="90">
        <v>0</v>
      </c>
      <c r="AB2" s="198" t="s">
        <v>354</v>
      </c>
      <c r="AC2" s="198">
        <f>COUNTA(Transaction[code])</f>
        <v>0</v>
      </c>
    </row>
    <row r="3" spans="1:29" x14ac:dyDescent="0.3">
      <c r="A3">
        <f t="shared" si="0"/>
        <v>2</v>
      </c>
      <c r="M3" s="267" t="e" cm="1">
        <f t="array" ref="M3">_xlfn.IFS(
N3="aq","acquisition",
N3="pm","payment",N3="dis","discount",N3="add","addition",
N3="repo","repossession",N3="sold","asset_sold",
N3="esue","early_sue",N3="sue","sue_black_no",N3="vd","verdict"
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BA821E6177342AE3FEDDCA7472D1D" ma:contentTypeVersion="13" ma:contentTypeDescription="Create a new document." ma:contentTypeScope="" ma:versionID="b85f3f90b7aeb49236c028ea01d71abc">
  <xsd:schema xmlns:xsd="http://www.w3.org/2001/XMLSchema" xmlns:xs="http://www.w3.org/2001/XMLSchema" xmlns:p="http://schemas.microsoft.com/office/2006/metadata/properties" xmlns:ns2="2c5ab490-1a36-4d9c-8992-30f807ad9390" xmlns:ns3="04ed9c88-758a-4367-bd57-2a266bd2731e" targetNamespace="http://schemas.microsoft.com/office/2006/metadata/properties" ma:root="true" ma:fieldsID="87e68df7fbf7e85c152101247cad0cba" ns2:_="" ns3:_="">
    <xsd:import namespace="2c5ab490-1a36-4d9c-8992-30f807ad9390"/>
    <xsd:import namespace="04ed9c88-758a-4367-bd57-2a266bd273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ab490-1a36-4d9c-8992-30f807ad93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914539f-5d38-4907-ba87-8adf5123f9c5}" ma:internalName="TaxCatchAll" ma:showField="CatchAllData" ma:web="2c5ab490-1a36-4d9c-8992-30f807ad9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d9c88-758a-4367-bd57-2a266bd27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ddf046-e145-483a-8997-7451acac24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5ab490-1a36-4d9c-8992-30f807ad9390" xsi:nil="true"/>
    <lcf76f155ced4ddcb4097134ff3c332f xmlns="04ed9c88-758a-4367-bd57-2a266bd2731e">
      <Terms xmlns="http://schemas.microsoft.com/office/infopath/2007/PartnerControls"/>
    </lcf76f155ced4ddcb4097134ff3c332f>
    <_Flow_SignoffStatus xmlns="04ed9c88-758a-4367-bd57-2a266bd27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0547C-3D47-4BFD-BA68-E9F4CEF0D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ab490-1a36-4d9c-8992-30f807ad9390"/>
    <ds:schemaRef ds:uri="04ed9c88-758a-4367-bd57-2a266bd27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34A20B-26A8-4FEC-AF5D-24FB9867FF17}">
  <ds:schemaRefs>
    <ds:schemaRef ds:uri="http://schemas.microsoft.com/office/2006/metadata/properties"/>
    <ds:schemaRef ds:uri="http://schemas.microsoft.com/office/infopath/2007/PartnerControls"/>
    <ds:schemaRef ds:uri="2c5ab490-1a36-4d9c-8992-30f807ad9390"/>
    <ds:schemaRef ds:uri="04ed9c88-758a-4367-bd57-2a266bd2731e"/>
  </ds:schemaRefs>
</ds:datastoreItem>
</file>

<file path=customXml/itemProps3.xml><?xml version="1.0" encoding="utf-8"?>
<ds:datastoreItem xmlns:ds="http://schemas.openxmlformats.org/officeDocument/2006/customXml" ds:itemID="{D92DEEC6-0B9C-410E-97FB-0974ACB86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Term History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Paramut Chanthakan (Alpha)</dc:creator>
  <cp:lastModifiedBy>Paramut Chanthakan (Alpha)</cp:lastModifiedBy>
  <cp:lastPrinted>2024-02-06T04:58:57Z</cp:lastPrinted>
  <dcterms:created xsi:type="dcterms:W3CDTF">2024-01-25T09:01:58Z</dcterms:created>
  <dcterms:modified xsi:type="dcterms:W3CDTF">2025-07-04T08:49:08Z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0x01010057CBA821E6177342AE3FEDDCA7472D1D</vt:lpwstr>
  </property>
  <property fmtid="{D5CDD505-2E9C-101B-9397-08002B2CF9AE}" pid="3" name="MediaServiceImageTags">
    <vt:lpwstr/>
  </property>
</Properties>
</file>