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CA9571CA-DDC1-3347-BF1C-FF6ABB968F2B}"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5" i="1" l="1"/>
  <c r="K64" i="1"/>
  <c r="K63" i="1"/>
  <c r="K62" i="1"/>
  <c r="K61" i="1"/>
  <c r="K60" i="1"/>
  <c r="K59" i="1"/>
  <c r="K58" i="1"/>
  <c r="K158" i="1"/>
  <c r="K157" i="1"/>
  <c r="K156" i="1"/>
  <c r="K155" i="1"/>
  <c r="K131" i="1"/>
  <c r="K130" i="1"/>
  <c r="K129" i="1"/>
  <c r="K128" i="1"/>
  <c r="K127" i="1"/>
  <c r="K126" i="1"/>
  <c r="K125" i="1"/>
  <c r="K124" i="1"/>
  <c r="K123" i="1"/>
  <c r="K122" i="1"/>
  <c r="K120" i="1"/>
  <c r="K121"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2" i="1"/>
  <c r="J123" i="1"/>
  <c r="J122" i="1"/>
  <c r="J121" i="1"/>
  <c r="J120" i="1"/>
  <c r="J119" i="1"/>
  <c r="J118" i="1"/>
  <c r="J117" i="1"/>
  <c r="J116" i="1"/>
  <c r="J115" i="1"/>
  <c r="J114" i="1"/>
  <c r="J113" i="1"/>
  <c r="J112" i="1"/>
  <c r="J111" i="1"/>
  <c r="J110" i="1"/>
  <c r="J109" i="1"/>
  <c r="J108" i="1"/>
  <c r="J107" i="1"/>
  <c r="J106" i="1"/>
  <c r="J105" i="1"/>
  <c r="J104" i="1"/>
  <c r="J103" i="1"/>
  <c r="J102" i="1"/>
  <c r="J101" i="1"/>
  <c r="J100" i="1"/>
  <c r="J88" i="1"/>
  <c r="J87" i="1"/>
  <c r="J86" i="1"/>
  <c r="J76" i="1"/>
  <c r="J75" i="1"/>
  <c r="J74"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<sst xmlns="http://schemas.openxmlformats.org/spreadsheetml/2006/main" count="1275" uniqueCount="240">
  <si>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</si>
  <si>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</si>
  <si>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</si>
  <si>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</si>
  <si>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</si>
  <si>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</si>
  <si>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</si>
  <si>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</si>
  <si>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</si>
  <si>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</si>
  <si>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</si>
  <si>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</si>
  <si>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</si>
  <si>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</si>
  <si>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</si>
  <si>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</si>
  <si>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</si>
  <si>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</si>
  <si>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</si>
  <si>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</si>
  <si>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</si>
  <si>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</si>
  <si>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</si>
  <si>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</si>
  <si>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</si>
  <si>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</si>
  <si>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</si>
  <si>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</si>
  <si>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</si>
  <si>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</si>
  <si>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</si>
  <si>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</si>
  <si>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</si>
  <si>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</si>
  <si>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</si>
  <si>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</si>
  <si>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</si>
  <si>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</si>
  <si>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</si>
  <si>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</si>
  <si>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</si>
  <si>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</si>
  <si>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</si>
  <si>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</si>
  <si>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</si>
  <si>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</si>
  <si>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</si>
  <si>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</si>
  <si>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</si>
  <si>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</si>
  <si>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</si>
  <si>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</si>
  <si>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</si>
  <si>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</si>
  <si>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</si>
  <si>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</si>
  <si>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</si>
  <si>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</si>
  <si>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</si>
  <si>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</si>
  <si>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</si>
  <si>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</si>
  <si>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</si>
  <si>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</si>
  <si>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</si>
  <si>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</si>
  <si>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</si>
  <si>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</si>
  <si>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</si>
  <si>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</si>
  <si>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</si>
  <si>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</si>
  <si>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</si>
  <si>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</si>
  <si>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</si>
  <si>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</si>
  <si>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</si>
  <si>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</si>
  <si>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</si>
  <si>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</si>
  <si>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</si>
  <si>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</si>
  <si>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</si>
  <si>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</si>
  <si>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</si>
  <si>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</si>
  <si>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</si>
  <si>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</si>
  <si>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</si>
  <si>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</si>
  <si>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</si>
  <si>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</si>
  <si>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</si>
  <si>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</si>
  <si>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</si>
  <si>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</si>
  <si>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</si>
  <si>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</si>
  <si>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</si>
  <si>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</si>
  <si>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</si>
  <si>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</si>
  <si>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</si>
  <si>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</si>
  <si>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</si>
  <si>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</si>
  <si>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t>
  </si>
  <si>
    <t>AC</t>
  </si>
  <si>
    <t>HIP + A</t>
  </si>
  <si>
    <t>beta</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</si>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</sst>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7"/>
  <sheetViews>
    <sheetView tabSelected="1" topLeftCell="E50" zoomScale="86" zoomScaleNormal="120" workbookViewId="0">
      <selection activeCell="O80" sqref="O80"/>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8" t="s">
        <v>162</v>
      </c>
      <c r="D2" s="44" t="s">
        <v>34</v>
      </c>
      <c r="E2" s="44"/>
      <c r="F2" s="42" t="s">
        <v>166</v>
      </c>
      <c r="G2" s="43"/>
      <c r="H2" s="43"/>
      <c r="I2" s="43"/>
      <c r="J2" s="43"/>
      <c r="K2" s="43"/>
      <c r="L2" s="43"/>
      <c r="M2" s="43"/>
      <c r="N2" s="43"/>
      <c r="O2" s="6"/>
    </row>
    <row r="3" spans="1:20" ht="22" customHeight="1">
      <c r="A3" s="4" t="s">
        <v>1</v>
      </c>
      <c r="B3" s="7" t="s">
        <v>163</v>
      </c>
      <c r="D3" s="44"/>
      <c r="E3" s="44"/>
      <c r="F3" s="43"/>
      <c r="G3" s="43"/>
      <c r="H3" s="43"/>
      <c r="I3" s="43"/>
      <c r="J3" s="43"/>
      <c r="K3" s="43"/>
      <c r="L3" s="43"/>
      <c r="M3" s="43"/>
      <c r="N3" s="43"/>
      <c r="O3" s="6"/>
    </row>
    <row r="4" spans="1:20" ht="22.5" customHeight="1">
      <c r="A4" s="4" t="s">
        <v>2</v>
      </c>
      <c r="B4" s="8" t="s">
        <v>4</v>
      </c>
    </row>
    <row r="5" spans="1:20" ht="21.5" customHeight="1">
      <c r="A5" s="4" t="s">
        <v>3</v>
      </c>
      <c r="B5" s="8" t="s">
        <v>4</v>
      </c>
      <c r="C5" s="41" t="s">
        <v>32</v>
      </c>
      <c r="D5" s="41" t="s">
        <v>31</v>
      </c>
      <c r="E5" s="41" t="s">
        <v>27</v>
      </c>
      <c r="F5" s="41" t="s">
        <v>35</v>
      </c>
      <c r="G5" s="41" t="s">
        <v>28</v>
      </c>
      <c r="H5" s="41" t="s">
        <v>55</v>
      </c>
      <c r="I5" s="41" t="s">
        <v>29</v>
      </c>
      <c r="J5" s="41" t="s">
        <v>30</v>
      </c>
      <c r="K5" s="41" t="s">
        <v>49</v>
      </c>
      <c r="L5" s="41" t="s">
        <v>30</v>
      </c>
      <c r="M5" s="41" t="s">
        <v>144</v>
      </c>
      <c r="N5" s="41" t="s">
        <v>46</v>
      </c>
      <c r="O5" s="39" t="s">
        <v>53</v>
      </c>
    </row>
    <row r="6" spans="1:20">
      <c r="A6" s="1" t="s">
        <v>25</v>
      </c>
      <c r="B6" s="9" t="s">
        <v>26</v>
      </c>
      <c r="C6" s="41"/>
      <c r="D6" s="41"/>
      <c r="E6" s="41"/>
      <c r="F6" s="41"/>
      <c r="G6" s="41"/>
      <c r="H6" s="41"/>
      <c r="I6" s="41"/>
      <c r="J6" s="41"/>
      <c r="K6" s="41"/>
      <c r="L6" s="41"/>
      <c r="M6" s="41"/>
      <c r="N6" s="41"/>
      <c r="O6" s="39"/>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9"/>
      <c r="P7" s="9" t="s">
        <v>43</v>
      </c>
      <c r="Q7" s="9" t="s">
        <v>44</v>
      </c>
      <c r="R7" s="9" t="s">
        <v>45</v>
      </c>
    </row>
    <row r="8" spans="1:20" ht="20.5" customHeight="1">
      <c r="A8" s="11"/>
      <c r="B8" s="45" t="s">
        <v>6</v>
      </c>
      <c r="C8" s="45"/>
      <c r="D8" s="45"/>
      <c r="E8" s="45"/>
      <c r="F8" s="46" t="s">
        <v>11</v>
      </c>
      <c r="G8" s="46"/>
      <c r="H8" s="46"/>
      <c r="I8" s="46"/>
      <c r="J8" s="46"/>
      <c r="K8" s="46"/>
      <c r="L8" s="46"/>
      <c r="M8" s="47" t="s">
        <v>14</v>
      </c>
      <c r="N8" s="47"/>
      <c r="O8" s="12" t="s">
        <v>52</v>
      </c>
      <c r="P8" s="40" t="s">
        <v>42</v>
      </c>
      <c r="Q8" s="40"/>
      <c r="R8" s="40"/>
      <c r="S8" s="40"/>
      <c r="T8" s="40"/>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105</v>
      </c>
      <c r="D10" s="3" t="s">
        <v>106</v>
      </c>
      <c r="E10" s="20"/>
      <c r="F10" s="31" t="s">
        <v>165</v>
      </c>
      <c r="G10" s="20" t="s">
        <v>110</v>
      </c>
      <c r="H10" s="22"/>
      <c r="I10" s="23">
        <v>273</v>
      </c>
      <c r="J10" s="19">
        <f>177.92*9807000</f>
        <v>1744861439.9999998</v>
      </c>
      <c r="K10" s="19"/>
      <c r="L10" s="20" t="s">
        <v>47</v>
      </c>
      <c r="M10" s="20" t="s">
        <v>111</v>
      </c>
      <c r="N10" s="25" t="s">
        <v>112</v>
      </c>
      <c r="O10" s="20"/>
    </row>
    <row r="11" spans="1:20">
      <c r="A11" s="3">
        <v>2</v>
      </c>
      <c r="B11" s="20" t="s">
        <v>60</v>
      </c>
      <c r="C11" s="20" t="s">
        <v>105</v>
      </c>
      <c r="D11" s="3" t="s">
        <v>106</v>
      </c>
      <c r="E11" s="20"/>
      <c r="F11" s="31" t="s">
        <v>165</v>
      </c>
      <c r="G11" s="20" t="s">
        <v>110</v>
      </c>
      <c r="H11" s="22"/>
      <c r="I11" s="23">
        <v>473</v>
      </c>
      <c r="J11" s="19">
        <f>177.96*9807000</f>
        <v>1745253720</v>
      </c>
      <c r="K11" s="19"/>
      <c r="L11" s="20" t="s">
        <v>47</v>
      </c>
      <c r="M11" s="20" t="s">
        <v>111</v>
      </c>
      <c r="N11" s="25" t="s">
        <v>112</v>
      </c>
      <c r="O11" s="20"/>
    </row>
    <row r="12" spans="1:20">
      <c r="A12" s="3">
        <v>3</v>
      </c>
      <c r="B12" s="20" t="s">
        <v>60</v>
      </c>
      <c r="C12" s="20" t="s">
        <v>105</v>
      </c>
      <c r="D12" s="3" t="s">
        <v>106</v>
      </c>
      <c r="E12" s="20"/>
      <c r="F12" s="31" t="s">
        <v>165</v>
      </c>
      <c r="G12" s="20" t="s">
        <v>110</v>
      </c>
      <c r="H12" s="22"/>
      <c r="I12" s="23">
        <v>573</v>
      </c>
      <c r="J12" s="19">
        <f>176.81*9807000</f>
        <v>1733975670</v>
      </c>
      <c r="K12" s="19"/>
      <c r="L12" s="20" t="s">
        <v>47</v>
      </c>
      <c r="M12" s="20" t="s">
        <v>111</v>
      </c>
      <c r="N12" s="25" t="s">
        <v>112</v>
      </c>
      <c r="O12" s="33"/>
    </row>
    <row r="13" spans="1:20">
      <c r="A13" s="3">
        <v>4</v>
      </c>
      <c r="B13" s="20" t="s">
        <v>60</v>
      </c>
      <c r="C13" s="20" t="s">
        <v>105</v>
      </c>
      <c r="D13" s="3" t="s">
        <v>106</v>
      </c>
      <c r="E13" s="20"/>
      <c r="F13" s="31" t="s">
        <v>165</v>
      </c>
      <c r="G13" s="20" t="s">
        <v>110</v>
      </c>
      <c r="H13" s="22"/>
      <c r="I13" s="23">
        <v>673</v>
      </c>
      <c r="J13" s="19">
        <f>171.79*9807000</f>
        <v>1684744530</v>
      </c>
      <c r="K13" s="19"/>
      <c r="L13" s="20" t="s">
        <v>47</v>
      </c>
      <c r="M13" s="20" t="s">
        <v>111</v>
      </c>
      <c r="N13" s="25" t="s">
        <v>112</v>
      </c>
      <c r="O13" s="20"/>
    </row>
    <row r="14" spans="1:20">
      <c r="A14" s="3">
        <v>5</v>
      </c>
      <c r="B14" s="20" t="s">
        <v>60</v>
      </c>
      <c r="C14" s="20" t="s">
        <v>105</v>
      </c>
      <c r="D14" s="3" t="s">
        <v>106</v>
      </c>
      <c r="E14" s="20"/>
      <c r="F14" s="31" t="s">
        <v>165</v>
      </c>
      <c r="G14" s="20" t="s">
        <v>110</v>
      </c>
      <c r="H14" s="22"/>
      <c r="I14" s="23">
        <v>723</v>
      </c>
      <c r="J14" s="19">
        <f>171.79*9807000</f>
        <v>1684744530</v>
      </c>
      <c r="K14" s="19"/>
      <c r="L14" s="20" t="s">
        <v>47</v>
      </c>
      <c r="M14" s="20" t="s">
        <v>111</v>
      </c>
      <c r="N14" s="25" t="s">
        <v>112</v>
      </c>
      <c r="O14" s="20"/>
    </row>
    <row r="15" spans="1:20">
      <c r="A15" s="3">
        <v>6</v>
      </c>
      <c r="B15" s="20" t="s">
        <v>60</v>
      </c>
      <c r="C15" s="20" t="s">
        <v>105</v>
      </c>
      <c r="D15" s="3" t="s">
        <v>106</v>
      </c>
      <c r="E15" s="20"/>
      <c r="F15" s="31" t="s">
        <v>165</v>
      </c>
      <c r="G15" s="20" t="s">
        <v>110</v>
      </c>
      <c r="H15" s="22"/>
      <c r="I15" s="23">
        <v>773</v>
      </c>
      <c r="J15" s="19">
        <f>177.78*9807000</f>
        <v>1743488460</v>
      </c>
      <c r="K15" s="19"/>
      <c r="L15" s="20" t="s">
        <v>47</v>
      </c>
      <c r="M15" s="20" t="s">
        <v>111</v>
      </c>
      <c r="N15" s="25" t="s">
        <v>112</v>
      </c>
      <c r="O15" s="20"/>
    </row>
    <row r="16" spans="1:20">
      <c r="A16" s="3">
        <v>7</v>
      </c>
      <c r="B16" s="20" t="s">
        <v>60</v>
      </c>
      <c r="C16" s="20" t="s">
        <v>105</v>
      </c>
      <c r="D16" s="3" t="s">
        <v>106</v>
      </c>
      <c r="E16" s="20"/>
      <c r="F16" s="31" t="s">
        <v>165</v>
      </c>
      <c r="G16" s="20" t="s">
        <v>110</v>
      </c>
      <c r="H16" s="22"/>
      <c r="I16" s="23">
        <v>823</v>
      </c>
      <c r="J16" s="19">
        <f>176.84*9807000</f>
        <v>1734269880</v>
      </c>
      <c r="K16" s="19"/>
      <c r="L16" s="20" t="s">
        <v>47</v>
      </c>
      <c r="M16" s="20" t="s">
        <v>111</v>
      </c>
      <c r="N16" s="25" t="s">
        <v>112</v>
      </c>
      <c r="O16" s="20"/>
    </row>
    <row r="17" spans="1:14">
      <c r="A17" s="3">
        <v>8</v>
      </c>
      <c r="B17" s="20" t="s">
        <v>60</v>
      </c>
      <c r="C17" s="20" t="s">
        <v>105</v>
      </c>
      <c r="D17" s="3" t="s">
        <v>106</v>
      </c>
      <c r="E17" s="20"/>
      <c r="F17" s="31" t="s">
        <v>165</v>
      </c>
      <c r="G17" s="20" t="s">
        <v>110</v>
      </c>
      <c r="H17" s="22"/>
      <c r="I17" s="23">
        <v>873</v>
      </c>
      <c r="J17" s="19">
        <f>185.83*9807000</f>
        <v>1822434810.0000002</v>
      </c>
      <c r="K17" s="19"/>
      <c r="L17" s="20" t="s">
        <v>47</v>
      </c>
      <c r="M17" s="20" t="s">
        <v>111</v>
      </c>
      <c r="N17" s="25" t="s">
        <v>112</v>
      </c>
    </row>
    <row r="18" spans="1:14">
      <c r="A18" s="3">
        <v>9</v>
      </c>
      <c r="B18" s="20" t="s">
        <v>60</v>
      </c>
      <c r="C18" s="20" t="s">
        <v>105</v>
      </c>
      <c r="D18" s="3" t="s">
        <v>106</v>
      </c>
      <c r="E18" s="20"/>
      <c r="F18" s="31" t="s">
        <v>165</v>
      </c>
      <c r="G18" s="20" t="s">
        <v>110</v>
      </c>
      <c r="H18" s="22"/>
      <c r="I18" s="23">
        <v>833</v>
      </c>
      <c r="J18" s="19">
        <f>182.82*9807000</f>
        <v>1792915740</v>
      </c>
      <c r="K18" s="19"/>
      <c r="L18" s="20" t="s">
        <v>47</v>
      </c>
      <c r="M18" s="20" t="s">
        <v>111</v>
      </c>
      <c r="N18" s="25" t="s">
        <v>112</v>
      </c>
    </row>
    <row r="19" spans="1:14">
      <c r="A19" s="3">
        <v>10</v>
      </c>
      <c r="B19" s="20" t="s">
        <v>60</v>
      </c>
      <c r="C19" s="20" t="s">
        <v>105</v>
      </c>
      <c r="D19" s="3" t="s">
        <v>106</v>
      </c>
      <c r="E19" s="20"/>
      <c r="F19" s="31" t="s">
        <v>165</v>
      </c>
      <c r="G19" s="20" t="s">
        <v>110</v>
      </c>
      <c r="H19" s="22"/>
      <c r="I19" s="23">
        <v>973</v>
      </c>
      <c r="J19" s="19">
        <f>180.81*9807000</f>
        <v>1773203670</v>
      </c>
      <c r="K19" s="19"/>
      <c r="L19" s="20" t="s">
        <v>47</v>
      </c>
      <c r="M19" s="20" t="s">
        <v>111</v>
      </c>
      <c r="N19" s="25" t="s">
        <v>112</v>
      </c>
    </row>
    <row r="20" spans="1:14">
      <c r="A20" s="3">
        <v>11</v>
      </c>
      <c r="B20" s="20" t="s">
        <v>60</v>
      </c>
      <c r="C20" s="20" t="s">
        <v>105</v>
      </c>
      <c r="D20" s="3" t="s">
        <v>106</v>
      </c>
      <c r="E20" s="20"/>
      <c r="F20" s="31" t="s">
        <v>165</v>
      </c>
      <c r="G20" s="20" t="s">
        <v>110</v>
      </c>
      <c r="H20" s="22"/>
      <c r="I20" s="23">
        <v>1023</v>
      </c>
      <c r="J20" s="19">
        <f>179.87*9807000</f>
        <v>1763985090</v>
      </c>
      <c r="K20" s="19"/>
      <c r="L20" s="20" t="s">
        <v>47</v>
      </c>
      <c r="M20" s="20" t="s">
        <v>111</v>
      </c>
      <c r="N20" s="25" t="s">
        <v>112</v>
      </c>
    </row>
    <row r="21" spans="1:14">
      <c r="A21" s="3">
        <v>12</v>
      </c>
      <c r="B21" s="20" t="s">
        <v>60</v>
      </c>
      <c r="C21" s="20" t="s">
        <v>105</v>
      </c>
      <c r="D21" s="3" t="s">
        <v>106</v>
      </c>
      <c r="E21" s="20"/>
      <c r="F21" s="31" t="s">
        <v>165</v>
      </c>
      <c r="G21" s="20" t="s">
        <v>110</v>
      </c>
      <c r="H21" s="22"/>
      <c r="I21" s="23">
        <v>1073</v>
      </c>
      <c r="J21" s="19">
        <f>170.93*9807000</f>
        <v>1676310510</v>
      </c>
      <c r="K21" s="19"/>
      <c r="L21" s="20" t="s">
        <v>47</v>
      </c>
      <c r="M21" s="20" t="s">
        <v>111</v>
      </c>
      <c r="N21" s="25" t="s">
        <v>112</v>
      </c>
    </row>
    <row r="22" spans="1:14">
      <c r="A22" s="3">
        <v>13</v>
      </c>
      <c r="B22" s="20" t="s">
        <v>60</v>
      </c>
      <c r="C22" s="20" t="s">
        <v>105</v>
      </c>
      <c r="D22" s="3" t="s">
        <v>106</v>
      </c>
      <c r="E22" s="20"/>
      <c r="F22" s="31" t="s">
        <v>165</v>
      </c>
      <c r="G22" s="20" t="s">
        <v>110</v>
      </c>
      <c r="H22" s="22"/>
      <c r="I22" s="23">
        <v>1173</v>
      </c>
      <c r="J22" s="19">
        <f>155.92*9807000</f>
        <v>1529107439.9999998</v>
      </c>
      <c r="K22" s="19"/>
      <c r="L22" s="20" t="s">
        <v>47</v>
      </c>
      <c r="M22" s="20" t="s">
        <v>111</v>
      </c>
      <c r="N22" s="25" t="s">
        <v>112</v>
      </c>
    </row>
    <row r="23" spans="1:14">
      <c r="A23" s="3">
        <v>14</v>
      </c>
      <c r="B23" s="20" t="s">
        <v>61</v>
      </c>
      <c r="C23" s="20" t="s">
        <v>105</v>
      </c>
      <c r="D23" s="3" t="s">
        <v>106</v>
      </c>
      <c r="E23" s="20"/>
      <c r="F23" s="31" t="s">
        <v>165</v>
      </c>
      <c r="G23" s="20" t="s">
        <v>110</v>
      </c>
      <c r="H23" s="22"/>
      <c r="I23" s="23">
        <v>273</v>
      </c>
      <c r="J23" s="19">
        <f>190.11*9807000</f>
        <v>1864408770.0000002</v>
      </c>
      <c r="K23" s="19"/>
      <c r="L23" s="20" t="s">
        <v>47</v>
      </c>
      <c r="M23" s="20" t="s">
        <v>111</v>
      </c>
      <c r="N23" s="25" t="s">
        <v>112</v>
      </c>
    </row>
    <row r="24" spans="1:14">
      <c r="A24" s="3">
        <v>15</v>
      </c>
      <c r="B24" s="20" t="s">
        <v>61</v>
      </c>
      <c r="C24" s="20" t="s">
        <v>105</v>
      </c>
      <c r="D24" s="3" t="s">
        <v>106</v>
      </c>
      <c r="E24" s="20"/>
      <c r="F24" s="31" t="s">
        <v>165</v>
      </c>
      <c r="G24" s="20" t="s">
        <v>110</v>
      </c>
      <c r="H24" s="22"/>
      <c r="I24" s="23">
        <v>473</v>
      </c>
      <c r="J24" s="19">
        <f>187.92*9807000</f>
        <v>1842931439.9999998</v>
      </c>
      <c r="K24" s="19"/>
      <c r="L24" s="20" t="s">
        <v>47</v>
      </c>
      <c r="M24" s="20" t="s">
        <v>111</v>
      </c>
      <c r="N24" s="25" t="s">
        <v>112</v>
      </c>
    </row>
    <row r="25" spans="1:14">
      <c r="A25" s="3">
        <v>16</v>
      </c>
      <c r="B25" s="20" t="s">
        <v>61</v>
      </c>
      <c r="C25" s="20" t="s">
        <v>105</v>
      </c>
      <c r="D25" s="3" t="s">
        <v>106</v>
      </c>
      <c r="E25" s="20"/>
      <c r="F25" s="31" t="s">
        <v>165</v>
      </c>
      <c r="G25" s="20" t="s">
        <v>110</v>
      </c>
      <c r="H25" s="22"/>
      <c r="I25" s="23">
        <v>573</v>
      </c>
      <c r="J25" s="19">
        <f>189.11*9807000</f>
        <v>1854601770.0000002</v>
      </c>
      <c r="K25" s="19"/>
      <c r="L25" s="20" t="s">
        <v>47</v>
      </c>
      <c r="M25" s="20" t="s">
        <v>111</v>
      </c>
      <c r="N25" s="25" t="s">
        <v>112</v>
      </c>
    </row>
    <row r="26" spans="1:14">
      <c r="A26" s="3">
        <v>17</v>
      </c>
      <c r="B26" s="20" t="s">
        <v>61</v>
      </c>
      <c r="C26" s="20" t="s">
        <v>105</v>
      </c>
      <c r="D26" s="3" t="s">
        <v>106</v>
      </c>
      <c r="E26" s="20"/>
      <c r="F26" s="31" t="s">
        <v>165</v>
      </c>
      <c r="G26" s="20" t="s">
        <v>110</v>
      </c>
      <c r="H26" s="22"/>
      <c r="I26" s="23">
        <v>673</v>
      </c>
      <c r="J26" s="19">
        <f>189.11*9807000</f>
        <v>1854601770.0000002</v>
      </c>
      <c r="K26" s="19"/>
      <c r="L26" s="20" t="s">
        <v>47</v>
      </c>
      <c r="M26" s="20" t="s">
        <v>111</v>
      </c>
      <c r="N26" s="25" t="s">
        <v>112</v>
      </c>
    </row>
    <row r="27" spans="1:14">
      <c r="A27" s="3">
        <v>18</v>
      </c>
      <c r="B27" s="20" t="s">
        <v>61</v>
      </c>
      <c r="C27" s="20" t="s">
        <v>105</v>
      </c>
      <c r="D27" s="3" t="s">
        <v>106</v>
      </c>
      <c r="E27" s="20"/>
      <c r="F27" s="31" t="s">
        <v>165</v>
      </c>
      <c r="G27" s="20" t="s">
        <v>110</v>
      </c>
      <c r="H27" s="22"/>
      <c r="I27" s="23">
        <v>723</v>
      </c>
      <c r="J27" s="19">
        <f>202.08*9807000</f>
        <v>1981798560.0000002</v>
      </c>
      <c r="K27" s="19"/>
      <c r="L27" s="20" t="s">
        <v>47</v>
      </c>
      <c r="M27" s="20" t="s">
        <v>111</v>
      </c>
      <c r="N27" s="25" t="s">
        <v>112</v>
      </c>
    </row>
    <row r="28" spans="1:14">
      <c r="A28" s="3">
        <v>19</v>
      </c>
      <c r="B28" s="20" t="s">
        <v>61</v>
      </c>
      <c r="C28" s="20" t="s">
        <v>105</v>
      </c>
      <c r="D28" s="3" t="s">
        <v>106</v>
      </c>
      <c r="E28" s="20"/>
      <c r="F28" s="31" t="s">
        <v>165</v>
      </c>
      <c r="G28" s="20" t="s">
        <v>110</v>
      </c>
      <c r="H28" s="22"/>
      <c r="I28" s="23">
        <v>773</v>
      </c>
      <c r="J28" s="19">
        <f>206.01*9807000</f>
        <v>2020340070</v>
      </c>
      <c r="K28" s="19"/>
      <c r="L28" s="20" t="s">
        <v>47</v>
      </c>
      <c r="M28" s="20" t="s">
        <v>111</v>
      </c>
      <c r="N28" s="25" t="s">
        <v>112</v>
      </c>
    </row>
    <row r="29" spans="1:14">
      <c r="A29" s="3">
        <v>20</v>
      </c>
      <c r="B29" s="20" t="s">
        <v>61</v>
      </c>
      <c r="C29" s="20" t="s">
        <v>105</v>
      </c>
      <c r="D29" s="3" t="s">
        <v>106</v>
      </c>
      <c r="E29" s="20"/>
      <c r="F29" s="31" t="s">
        <v>165</v>
      </c>
      <c r="G29" s="20" t="s">
        <v>110</v>
      </c>
      <c r="H29" s="22"/>
      <c r="I29" s="23">
        <v>823</v>
      </c>
      <c r="J29" s="19">
        <f>203.08*9807000</f>
        <v>1991605560.0000002</v>
      </c>
      <c r="K29" s="19"/>
      <c r="L29" s="20" t="s">
        <v>47</v>
      </c>
      <c r="M29" s="20" t="s">
        <v>111</v>
      </c>
      <c r="N29" s="25" t="s">
        <v>112</v>
      </c>
    </row>
    <row r="30" spans="1:14">
      <c r="A30" s="3">
        <v>21</v>
      </c>
      <c r="B30" s="20" t="s">
        <v>61</v>
      </c>
      <c r="C30" s="20" t="s">
        <v>105</v>
      </c>
      <c r="D30" s="3" t="s">
        <v>106</v>
      </c>
      <c r="E30" s="20"/>
      <c r="F30" s="31" t="s">
        <v>165</v>
      </c>
      <c r="G30" s="20" t="s">
        <v>110</v>
      </c>
      <c r="H30" s="22"/>
      <c r="I30" s="23">
        <v>873</v>
      </c>
      <c r="J30" s="19">
        <f>209.07*9807000</f>
        <v>2050349490</v>
      </c>
      <c r="K30" s="19"/>
      <c r="L30" s="20" t="s">
        <v>47</v>
      </c>
      <c r="M30" s="20" t="s">
        <v>111</v>
      </c>
      <c r="N30" s="25" t="s">
        <v>112</v>
      </c>
    </row>
    <row r="31" spans="1:14">
      <c r="A31" s="3">
        <v>22</v>
      </c>
      <c r="B31" s="20" t="s">
        <v>61</v>
      </c>
      <c r="C31" s="20" t="s">
        <v>105</v>
      </c>
      <c r="D31" s="3" t="s">
        <v>106</v>
      </c>
      <c r="E31" s="20"/>
      <c r="F31" s="31" t="s">
        <v>165</v>
      </c>
      <c r="G31" s="20" t="s">
        <v>110</v>
      </c>
      <c r="H31" s="22"/>
      <c r="I31" s="23">
        <v>833</v>
      </c>
      <c r="J31" s="19">
        <f>204.94*9807000</f>
        <v>2009846580</v>
      </c>
      <c r="K31" s="19"/>
      <c r="L31" s="20" t="s">
        <v>47</v>
      </c>
      <c r="M31" s="20" t="s">
        <v>111</v>
      </c>
      <c r="N31" s="25" t="s">
        <v>112</v>
      </c>
    </row>
    <row r="32" spans="1:14">
      <c r="A32" s="3">
        <v>23</v>
      </c>
      <c r="B32" s="20" t="s">
        <v>61</v>
      </c>
      <c r="C32" s="20" t="s">
        <v>105</v>
      </c>
      <c r="D32" s="3" t="s">
        <v>106</v>
      </c>
      <c r="E32" s="20"/>
      <c r="F32" s="31" t="s">
        <v>165</v>
      </c>
      <c r="G32" s="20" t="s">
        <v>110</v>
      </c>
      <c r="H32" s="22"/>
      <c r="I32" s="23">
        <v>973</v>
      </c>
      <c r="J32" s="19">
        <f>202.02*9807000</f>
        <v>1981210140</v>
      </c>
      <c r="K32" s="19"/>
      <c r="L32" s="20" t="s">
        <v>47</v>
      </c>
      <c r="M32" s="20" t="s">
        <v>111</v>
      </c>
      <c r="N32" s="25" t="s">
        <v>112</v>
      </c>
    </row>
    <row r="33" spans="1:14">
      <c r="A33" s="3">
        <v>24</v>
      </c>
      <c r="B33" s="20" t="s">
        <v>61</v>
      </c>
      <c r="C33" s="20" t="s">
        <v>105</v>
      </c>
      <c r="D33" s="3" t="s">
        <v>106</v>
      </c>
      <c r="E33" s="20"/>
      <c r="F33" s="31" t="s">
        <v>165</v>
      </c>
      <c r="G33" s="20" t="s">
        <v>110</v>
      </c>
      <c r="H33" s="22"/>
      <c r="I33" s="23">
        <v>1023</v>
      </c>
      <c r="J33" s="19">
        <f>200.95*9807000</f>
        <v>1970716650</v>
      </c>
      <c r="K33" s="19"/>
      <c r="L33" s="20" t="s">
        <v>47</v>
      </c>
      <c r="M33" s="20" t="s">
        <v>111</v>
      </c>
      <c r="N33" s="25" t="s">
        <v>112</v>
      </c>
    </row>
    <row r="34" spans="1:14">
      <c r="A34" s="3">
        <v>25</v>
      </c>
      <c r="B34" s="20" t="s">
        <v>61</v>
      </c>
      <c r="C34" s="20" t="s">
        <v>105</v>
      </c>
      <c r="D34" s="3" t="s">
        <v>106</v>
      </c>
      <c r="E34" s="20"/>
      <c r="F34" s="31" t="s">
        <v>165</v>
      </c>
      <c r="G34" s="20" t="s">
        <v>110</v>
      </c>
      <c r="H34" s="22"/>
      <c r="I34" s="23">
        <v>1073</v>
      </c>
      <c r="J34" s="19">
        <f>194.97*9807000</f>
        <v>1912070790</v>
      </c>
      <c r="K34" s="19"/>
      <c r="L34" s="20" t="s">
        <v>47</v>
      </c>
      <c r="M34" s="20" t="s">
        <v>111</v>
      </c>
      <c r="N34" s="25" t="s">
        <v>112</v>
      </c>
    </row>
    <row r="35" spans="1:14">
      <c r="A35" s="3">
        <v>26</v>
      </c>
      <c r="B35" s="20" t="s">
        <v>61</v>
      </c>
      <c r="C35" s="20" t="s">
        <v>105</v>
      </c>
      <c r="D35" s="3" t="s">
        <v>106</v>
      </c>
      <c r="E35" s="20"/>
      <c r="F35" s="31" t="s">
        <v>165</v>
      </c>
      <c r="G35" s="20" t="s">
        <v>110</v>
      </c>
      <c r="H35" s="22"/>
      <c r="I35" s="23">
        <v>1173</v>
      </c>
      <c r="J35" s="19">
        <f>186.92*9807000</f>
        <v>1833124439.9999998</v>
      </c>
      <c r="K35" s="19"/>
      <c r="L35" s="20" t="s">
        <v>47</v>
      </c>
      <c r="M35" s="20" t="s">
        <v>111</v>
      </c>
      <c r="N35" s="25" t="s">
        <v>112</v>
      </c>
    </row>
    <row r="36" spans="1:14">
      <c r="A36" s="3">
        <v>27</v>
      </c>
      <c r="B36" s="20" t="s">
        <v>62</v>
      </c>
      <c r="C36" s="20" t="s">
        <v>105</v>
      </c>
      <c r="E36" s="20"/>
      <c r="F36" s="31" t="s">
        <v>165</v>
      </c>
      <c r="G36" s="20" t="s">
        <v>110</v>
      </c>
      <c r="H36" s="22"/>
      <c r="I36" s="23">
        <v>298</v>
      </c>
      <c r="J36" s="19">
        <f>5800000000</f>
        <v>5800000000</v>
      </c>
      <c r="K36" s="19"/>
      <c r="L36" s="20" t="s">
        <v>47</v>
      </c>
      <c r="M36" s="20" t="s">
        <v>113</v>
      </c>
      <c r="N36" s="26" t="s">
        <v>114</v>
      </c>
    </row>
    <row r="37" spans="1:14">
      <c r="A37" s="3">
        <v>28</v>
      </c>
      <c r="B37" s="20" t="s">
        <v>63</v>
      </c>
      <c r="C37" s="20" t="s">
        <v>105</v>
      </c>
      <c r="E37" s="20"/>
      <c r="F37" s="31" t="s">
        <v>165</v>
      </c>
      <c r="G37" s="20" t="s">
        <v>110</v>
      </c>
      <c r="H37" s="22"/>
      <c r="I37" s="23">
        <v>298</v>
      </c>
      <c r="J37" s="19">
        <f>6200000000</f>
        <v>6200000000</v>
      </c>
      <c r="K37" s="19"/>
      <c r="L37" s="20" t="s">
        <v>47</v>
      </c>
      <c r="M37" s="20" t="s">
        <v>113</v>
      </c>
      <c r="N37" s="26" t="s">
        <v>114</v>
      </c>
    </row>
    <row r="38" spans="1:14">
      <c r="A38" s="3">
        <v>29</v>
      </c>
      <c r="B38" s="20" t="s">
        <v>64</v>
      </c>
      <c r="C38" s="20" t="s">
        <v>105</v>
      </c>
      <c r="E38" s="20"/>
      <c r="F38" s="31" t="s">
        <v>165</v>
      </c>
      <c r="G38" s="20" t="s">
        <v>110</v>
      </c>
      <c r="H38" s="22"/>
      <c r="I38" s="23">
        <v>298</v>
      </c>
      <c r="J38" s="19">
        <v>5000000000</v>
      </c>
      <c r="K38" s="19"/>
      <c r="L38" s="20" t="s">
        <v>47</v>
      </c>
      <c r="M38" s="20" t="s">
        <v>113</v>
      </c>
      <c r="N38" s="26" t="s">
        <v>114</v>
      </c>
    </row>
    <row r="39" spans="1:14">
      <c r="A39" s="3">
        <v>30</v>
      </c>
      <c r="B39" s="20" t="s">
        <v>65</v>
      </c>
      <c r="C39" s="20" t="s">
        <v>105</v>
      </c>
      <c r="E39" s="20"/>
      <c r="F39" s="31" t="s">
        <v>165</v>
      </c>
      <c r="G39" s="20" t="s">
        <v>110</v>
      </c>
      <c r="H39" s="22"/>
      <c r="I39" s="23">
        <v>298</v>
      </c>
      <c r="J39" s="19">
        <v>6400000000</v>
      </c>
      <c r="K39" s="19"/>
      <c r="L39" s="20" t="s">
        <v>47</v>
      </c>
      <c r="M39" s="20" t="s">
        <v>113</v>
      </c>
      <c r="N39" s="26" t="s">
        <v>114</v>
      </c>
    </row>
    <row r="40" spans="1:14">
      <c r="A40" s="3">
        <v>31</v>
      </c>
      <c r="B40" s="20" t="s">
        <v>66</v>
      </c>
      <c r="C40" s="20" t="s">
        <v>105</v>
      </c>
      <c r="E40" s="20"/>
      <c r="F40" s="31" t="s">
        <v>165</v>
      </c>
      <c r="G40" s="20" t="s">
        <v>110</v>
      </c>
      <c r="H40" s="22"/>
      <c r="I40" s="23">
        <v>298</v>
      </c>
      <c r="J40" s="19">
        <v>4900000000</v>
      </c>
      <c r="K40" s="19"/>
      <c r="L40" s="20" t="s">
        <v>47</v>
      </c>
      <c r="M40" s="20" t="s">
        <v>113</v>
      </c>
      <c r="N40" s="26" t="s">
        <v>114</v>
      </c>
    </row>
    <row r="41" spans="1:14">
      <c r="A41" s="3">
        <v>32</v>
      </c>
      <c r="B41" s="20" t="s">
        <v>67</v>
      </c>
      <c r="C41" s="20" t="s">
        <v>105</v>
      </c>
      <c r="E41" s="20"/>
      <c r="F41" s="31" t="s">
        <v>165</v>
      </c>
      <c r="G41" s="20" t="s">
        <v>110</v>
      </c>
      <c r="H41" s="22"/>
      <c r="I41" s="23">
        <v>298</v>
      </c>
      <c r="J41" s="19">
        <v>16000000000</v>
      </c>
      <c r="K41" s="19"/>
      <c r="L41" s="20" t="s">
        <v>47</v>
      </c>
      <c r="M41" s="20"/>
      <c r="N41" s="26" t="s">
        <v>115</v>
      </c>
    </row>
    <row r="42" spans="1:14">
      <c r="A42" s="3">
        <v>33</v>
      </c>
      <c r="B42" s="21" t="s">
        <v>146</v>
      </c>
      <c r="C42" s="20"/>
      <c r="D42" s="3" t="s">
        <v>106</v>
      </c>
      <c r="E42" s="20"/>
      <c r="F42" s="31" t="s">
        <v>165</v>
      </c>
      <c r="G42" s="20" t="s">
        <v>110</v>
      </c>
      <c r="H42" s="22"/>
      <c r="I42" s="23">
        <v>873</v>
      </c>
      <c r="J42" s="19">
        <v>19000000000</v>
      </c>
      <c r="K42" s="19"/>
      <c r="L42" s="20" t="s">
        <v>47</v>
      </c>
      <c r="M42" s="20" t="s">
        <v>116</v>
      </c>
      <c r="N42" s="26" t="s">
        <v>117</v>
      </c>
    </row>
    <row r="43" spans="1:14">
      <c r="A43" s="3">
        <v>34</v>
      </c>
      <c r="B43" s="20" t="s">
        <v>68</v>
      </c>
      <c r="C43" s="20"/>
      <c r="D43" s="3" t="s">
        <v>106</v>
      </c>
      <c r="E43" s="20"/>
      <c r="F43" s="31" t="s">
        <v>165</v>
      </c>
      <c r="G43" s="20" t="s">
        <v>110</v>
      </c>
      <c r="H43" s="22"/>
      <c r="I43" s="23">
        <v>873</v>
      </c>
      <c r="J43" s="19">
        <v>18700000000</v>
      </c>
      <c r="K43" s="19"/>
      <c r="L43" s="20" t="s">
        <v>47</v>
      </c>
      <c r="M43" s="20" t="s">
        <v>116</v>
      </c>
      <c r="N43" s="3" t="s">
        <v>117</v>
      </c>
    </row>
    <row r="44" spans="1:14">
      <c r="A44" s="3">
        <v>35</v>
      </c>
      <c r="B44" s="20" t="s">
        <v>69</v>
      </c>
      <c r="C44" s="20"/>
      <c r="D44" s="3" t="s">
        <v>106</v>
      </c>
      <c r="E44" s="20"/>
      <c r="F44" s="31" t="s">
        <v>165</v>
      </c>
      <c r="G44" s="20" t="s">
        <v>110</v>
      </c>
      <c r="H44" s="22"/>
      <c r="I44" s="23">
        <v>873</v>
      </c>
      <c r="J44" s="19">
        <v>13500000000</v>
      </c>
      <c r="K44" s="19"/>
      <c r="L44" s="20" t="s">
        <v>47</v>
      </c>
      <c r="M44" s="20" t="s">
        <v>116</v>
      </c>
      <c r="N44" s="3" t="s">
        <v>117</v>
      </c>
    </row>
    <row r="45" spans="1:14">
      <c r="A45" s="3">
        <v>36</v>
      </c>
      <c r="B45" s="20" t="s">
        <v>70</v>
      </c>
      <c r="C45" s="20"/>
      <c r="D45" s="3" t="s">
        <v>106</v>
      </c>
      <c r="E45" s="20"/>
      <c r="F45" s="31" t="s">
        <v>165</v>
      </c>
      <c r="G45" s="20" t="s">
        <v>110</v>
      </c>
      <c r="H45" s="22"/>
      <c r="I45" s="23">
        <v>873</v>
      </c>
      <c r="J45" s="19">
        <v>18400000000</v>
      </c>
      <c r="K45" s="19"/>
      <c r="L45" s="20" t="s">
        <v>47</v>
      </c>
      <c r="M45" s="20" t="s">
        <v>116</v>
      </c>
      <c r="N45" s="3" t="s">
        <v>117</v>
      </c>
    </row>
    <row r="46" spans="1:14">
      <c r="A46" s="3">
        <v>37</v>
      </c>
      <c r="B46" s="21" t="s">
        <v>146</v>
      </c>
      <c r="C46" s="20"/>
      <c r="D46" s="34" t="s">
        <v>107</v>
      </c>
      <c r="E46" s="20"/>
      <c r="F46" s="31" t="s">
        <v>165</v>
      </c>
      <c r="G46" s="20" t="s">
        <v>110</v>
      </c>
      <c r="H46" s="22"/>
      <c r="I46" s="23">
        <v>298</v>
      </c>
      <c r="J46" s="19">
        <v>17100000000</v>
      </c>
      <c r="K46" s="19"/>
      <c r="L46" s="21" t="s">
        <v>47</v>
      </c>
      <c r="M46" s="21" t="s">
        <v>116</v>
      </c>
      <c r="N46" s="35" t="s">
        <v>149</v>
      </c>
    </row>
    <row r="47" spans="1:14">
      <c r="A47" s="3">
        <v>38</v>
      </c>
      <c r="B47" s="21" t="s">
        <v>68</v>
      </c>
      <c r="C47" s="20"/>
      <c r="D47" s="34" t="s">
        <v>107</v>
      </c>
      <c r="E47" s="20"/>
      <c r="F47" s="31" t="s">
        <v>165</v>
      </c>
      <c r="G47" s="20" t="s">
        <v>110</v>
      </c>
      <c r="H47" s="22"/>
      <c r="I47" s="23">
        <v>298</v>
      </c>
      <c r="J47" s="19">
        <v>15800000000</v>
      </c>
      <c r="K47" s="19"/>
      <c r="L47" s="21" t="s">
        <v>47</v>
      </c>
      <c r="M47" s="21" t="s">
        <v>116</v>
      </c>
      <c r="N47" s="35" t="s">
        <v>149</v>
      </c>
    </row>
    <row r="48" spans="1:14">
      <c r="A48" s="3">
        <v>39</v>
      </c>
      <c r="B48" s="21" t="s">
        <v>147</v>
      </c>
      <c r="C48" s="20"/>
      <c r="D48" s="34" t="s">
        <v>107</v>
      </c>
      <c r="E48" s="20"/>
      <c r="F48" s="31" t="s">
        <v>165</v>
      </c>
      <c r="G48" s="20" t="s">
        <v>110</v>
      </c>
      <c r="H48" s="22"/>
      <c r="I48" s="23">
        <v>298</v>
      </c>
      <c r="J48" s="19">
        <v>14200000000</v>
      </c>
      <c r="K48" s="19"/>
      <c r="L48" s="21" t="s">
        <v>47</v>
      </c>
      <c r="M48" s="21" t="s">
        <v>116</v>
      </c>
      <c r="N48" s="35" t="s">
        <v>149</v>
      </c>
    </row>
    <row r="49" spans="1:14">
      <c r="A49" s="3">
        <v>40</v>
      </c>
      <c r="B49" s="21" t="s">
        <v>148</v>
      </c>
      <c r="C49" s="20"/>
      <c r="D49" s="34" t="s">
        <v>107</v>
      </c>
      <c r="E49" s="20"/>
      <c r="F49" s="31" t="s">
        <v>165</v>
      </c>
      <c r="G49" s="20" t="s">
        <v>110</v>
      </c>
      <c r="H49" s="22"/>
      <c r="I49" s="23">
        <v>298</v>
      </c>
      <c r="J49" s="19">
        <v>12600000000</v>
      </c>
      <c r="K49" s="19"/>
      <c r="L49" s="21" t="s">
        <v>47</v>
      </c>
      <c r="M49" s="21" t="s">
        <v>116</v>
      </c>
      <c r="N49" s="35" t="s">
        <v>149</v>
      </c>
    </row>
    <row r="50" spans="1:14">
      <c r="A50" s="3">
        <v>41</v>
      </c>
      <c r="B50" s="34" t="s">
        <v>69</v>
      </c>
      <c r="C50" s="20"/>
      <c r="D50" s="34" t="s">
        <v>107</v>
      </c>
      <c r="E50" s="20"/>
      <c r="F50" s="31" t="s">
        <v>165</v>
      </c>
      <c r="G50" s="20" t="s">
        <v>110</v>
      </c>
      <c r="H50" s="22"/>
      <c r="I50" s="23">
        <v>298</v>
      </c>
      <c r="J50" s="19">
        <v>5400000000</v>
      </c>
      <c r="K50" s="19"/>
      <c r="L50" s="21" t="s">
        <v>47</v>
      </c>
      <c r="M50" s="21" t="s">
        <v>116</v>
      </c>
      <c r="N50" s="35" t="s">
        <v>149</v>
      </c>
    </row>
    <row r="51" spans="1:14">
      <c r="A51" s="3">
        <v>42</v>
      </c>
      <c r="B51" s="21" t="s">
        <v>70</v>
      </c>
      <c r="C51" s="20"/>
      <c r="D51" s="34" t="s">
        <v>107</v>
      </c>
      <c r="E51" s="20"/>
      <c r="F51" s="31" t="s">
        <v>165</v>
      </c>
      <c r="G51" s="20" t="s">
        <v>110</v>
      </c>
      <c r="H51" s="22"/>
      <c r="I51" s="23">
        <v>298</v>
      </c>
      <c r="J51" s="19">
        <v>12300000000</v>
      </c>
      <c r="K51" s="19"/>
      <c r="L51" s="21" t="s">
        <v>47</v>
      </c>
      <c r="M51" s="21" t="s">
        <v>116</v>
      </c>
      <c r="N51" s="35" t="s">
        <v>149</v>
      </c>
    </row>
    <row r="52" spans="1:14">
      <c r="A52" s="3">
        <v>43</v>
      </c>
      <c r="B52" s="20" t="s">
        <v>71</v>
      </c>
      <c r="C52" s="20"/>
      <c r="E52" s="20"/>
      <c r="F52" s="31" t="s">
        <v>165</v>
      </c>
      <c r="G52" s="20" t="s">
        <v>110</v>
      </c>
      <c r="H52" s="22"/>
      <c r="I52" s="23">
        <v>298</v>
      </c>
      <c r="J52" s="19">
        <v>7576000000</v>
      </c>
      <c r="K52" s="19"/>
      <c r="L52" s="20" t="s">
        <v>47</v>
      </c>
      <c r="M52" s="20" t="s">
        <v>118</v>
      </c>
      <c r="N52" s="27" t="s">
        <v>145</v>
      </c>
    </row>
    <row r="53" spans="1:14">
      <c r="A53" s="3">
        <v>44</v>
      </c>
      <c r="B53" s="31" t="s">
        <v>152</v>
      </c>
      <c r="C53" s="48" t="s">
        <v>105</v>
      </c>
      <c r="D53" s="49" t="s">
        <v>171</v>
      </c>
      <c r="E53" s="48" t="s">
        <v>227</v>
      </c>
      <c r="F53" s="31" t="s">
        <v>165</v>
      </c>
      <c r="G53" s="20" t="s">
        <v>110</v>
      </c>
      <c r="H53" s="22"/>
      <c r="I53" s="23">
        <v>298</v>
      </c>
      <c r="J53" s="19">
        <v>1900000000</v>
      </c>
      <c r="K53" s="19">
        <v>30000000</v>
      </c>
      <c r="L53" s="20" t="s">
        <v>47</v>
      </c>
      <c r="M53" s="20" t="s">
        <v>113</v>
      </c>
      <c r="N53" s="26" t="s">
        <v>119</v>
      </c>
    </row>
    <row r="54" spans="1:14">
      <c r="A54" s="3">
        <v>45</v>
      </c>
      <c r="B54" s="31" t="s">
        <v>153</v>
      </c>
      <c r="C54" s="48" t="s">
        <v>105</v>
      </c>
      <c r="D54" s="49" t="s">
        <v>171</v>
      </c>
      <c r="E54" s="48" t="s">
        <v>227</v>
      </c>
      <c r="F54" s="31" t="s">
        <v>165</v>
      </c>
      <c r="G54" s="20" t="s">
        <v>110</v>
      </c>
      <c r="H54" s="22"/>
      <c r="I54" s="23">
        <v>298</v>
      </c>
      <c r="J54" s="19">
        <v>2100000000</v>
      </c>
      <c r="K54" s="19">
        <v>20000000</v>
      </c>
      <c r="L54" s="20" t="s">
        <v>47</v>
      </c>
      <c r="M54" s="20" t="s">
        <v>113</v>
      </c>
      <c r="N54" s="3" t="s">
        <v>119</v>
      </c>
    </row>
    <row r="55" spans="1:14">
      <c r="A55" s="3">
        <v>46</v>
      </c>
      <c r="B55" s="31" t="s">
        <v>154</v>
      </c>
      <c r="C55" s="48" t="s">
        <v>228</v>
      </c>
      <c r="D55" s="49" t="s">
        <v>171</v>
      </c>
      <c r="E55" s="48" t="s">
        <v>227</v>
      </c>
      <c r="F55" s="31" t="s">
        <v>165</v>
      </c>
      <c r="G55" s="20" t="s">
        <v>110</v>
      </c>
      <c r="H55" s="22"/>
      <c r="I55" s="23">
        <v>298</v>
      </c>
      <c r="J55" s="19">
        <v>3400000000</v>
      </c>
      <c r="K55" s="19">
        <v>40000000</v>
      </c>
      <c r="L55" s="20" t="s">
        <v>47</v>
      </c>
      <c r="M55" s="20" t="s">
        <v>113</v>
      </c>
      <c r="N55" s="3" t="s">
        <v>119</v>
      </c>
    </row>
    <row r="56" spans="1:14">
      <c r="A56" s="3">
        <v>47</v>
      </c>
      <c r="B56" s="31" t="s">
        <v>155</v>
      </c>
      <c r="C56" s="48" t="s">
        <v>228</v>
      </c>
      <c r="D56" s="49" t="s">
        <v>171</v>
      </c>
      <c r="E56" s="48" t="s">
        <v>227</v>
      </c>
      <c r="F56" s="31" t="s">
        <v>165</v>
      </c>
      <c r="G56" s="20" t="s">
        <v>110</v>
      </c>
      <c r="H56" s="22"/>
      <c r="I56" s="23">
        <v>298</v>
      </c>
      <c r="J56" s="19">
        <v>5200000000</v>
      </c>
      <c r="K56" s="19">
        <v>20000000</v>
      </c>
      <c r="L56" s="20" t="s">
        <v>47</v>
      </c>
      <c r="M56" s="20" t="s">
        <v>113</v>
      </c>
      <c r="N56" s="49" t="s">
        <v>119</v>
      </c>
    </row>
    <row r="57" spans="1:14">
      <c r="A57" s="3">
        <v>48</v>
      </c>
      <c r="B57" s="31" t="s">
        <v>156</v>
      </c>
      <c r="C57" s="48" t="s">
        <v>229</v>
      </c>
      <c r="D57" s="49" t="s">
        <v>171</v>
      </c>
      <c r="E57" s="48" t="s">
        <v>227</v>
      </c>
      <c r="F57" s="31" t="s">
        <v>165</v>
      </c>
      <c r="G57" s="20" t="s">
        <v>110</v>
      </c>
      <c r="H57" s="22"/>
      <c r="I57" s="23">
        <v>298</v>
      </c>
      <c r="J57" s="19">
        <v>7800000000</v>
      </c>
      <c r="K57" s="19">
        <v>10000000</v>
      </c>
      <c r="L57" s="20" t="s">
        <v>47</v>
      </c>
      <c r="M57" s="20" t="s">
        <v>113</v>
      </c>
      <c r="N57" s="3" t="s">
        <v>119</v>
      </c>
    </row>
    <row r="58" spans="1:14">
      <c r="A58" s="3">
        <v>49</v>
      </c>
      <c r="B58" s="48" t="s">
        <v>232</v>
      </c>
      <c r="C58" s="48" t="s">
        <v>236</v>
      </c>
      <c r="D58" s="49" t="s">
        <v>213</v>
      </c>
      <c r="E58" s="20"/>
      <c r="F58" s="31" t="s">
        <v>165</v>
      </c>
      <c r="G58" s="20" t="s">
        <v>110</v>
      </c>
      <c r="H58" s="22"/>
      <c r="I58" s="23">
        <v>298</v>
      </c>
      <c r="J58" s="19">
        <f>727*9807000</f>
        <v>7129689000</v>
      </c>
      <c r="K58" s="19">
        <f>18*9807000</f>
        <v>176526000</v>
      </c>
      <c r="L58" s="20" t="s">
        <v>47</v>
      </c>
      <c r="M58" s="20" t="s">
        <v>113</v>
      </c>
      <c r="N58" s="26" t="s">
        <v>120</v>
      </c>
    </row>
    <row r="59" spans="1:14">
      <c r="A59" s="3">
        <v>50</v>
      </c>
      <c r="B59" s="48" t="s">
        <v>233</v>
      </c>
      <c r="C59" s="48" t="s">
        <v>237</v>
      </c>
      <c r="D59" s="49" t="s">
        <v>213</v>
      </c>
      <c r="E59" s="20"/>
      <c r="F59" s="31" t="s">
        <v>165</v>
      </c>
      <c r="G59" s="20" t="s">
        <v>110</v>
      </c>
      <c r="H59" s="22"/>
      <c r="I59" s="23">
        <v>298</v>
      </c>
      <c r="J59" s="19">
        <f>501*9807000</f>
        <v>4913307000</v>
      </c>
      <c r="K59" s="19">
        <f>31*9807000</f>
        <v>304017000</v>
      </c>
      <c r="L59" s="20" t="s">
        <v>47</v>
      </c>
      <c r="M59" s="20" t="s">
        <v>113</v>
      </c>
      <c r="N59" s="3" t="s">
        <v>120</v>
      </c>
    </row>
    <row r="60" spans="1:14">
      <c r="A60" s="3">
        <v>51</v>
      </c>
      <c r="B60" s="48" t="s">
        <v>234</v>
      </c>
      <c r="C60" s="48" t="s">
        <v>237</v>
      </c>
      <c r="D60" s="49" t="s">
        <v>213</v>
      </c>
      <c r="E60" s="20"/>
      <c r="F60" s="31" t="s">
        <v>165</v>
      </c>
      <c r="G60" s="20" t="s">
        <v>110</v>
      </c>
      <c r="H60" s="22"/>
      <c r="I60" s="23">
        <v>298</v>
      </c>
      <c r="J60" s="19">
        <f>518*9807000</f>
        <v>5080026000</v>
      </c>
      <c r="K60" s="19">
        <f>15*9807000</f>
        <v>147105000</v>
      </c>
      <c r="L60" s="20" t="s">
        <v>47</v>
      </c>
      <c r="M60" s="20" t="s">
        <v>113</v>
      </c>
      <c r="N60" s="49" t="s">
        <v>120</v>
      </c>
    </row>
    <row r="61" spans="1:14">
      <c r="A61" s="3">
        <v>52</v>
      </c>
      <c r="B61" s="48" t="s">
        <v>235</v>
      </c>
      <c r="C61" s="48" t="s">
        <v>236</v>
      </c>
      <c r="D61" s="49" t="s">
        <v>213</v>
      </c>
      <c r="E61" s="20"/>
      <c r="F61" s="31" t="s">
        <v>165</v>
      </c>
      <c r="G61" s="20" t="s">
        <v>110</v>
      </c>
      <c r="H61" s="22"/>
      <c r="I61" s="23">
        <v>298</v>
      </c>
      <c r="J61" s="19">
        <f>612*9807000</f>
        <v>6001884000</v>
      </c>
      <c r="K61" s="19">
        <f>13*9807000</f>
        <v>127491000</v>
      </c>
      <c r="L61" s="20" t="s">
        <v>47</v>
      </c>
      <c r="M61" s="20" t="s">
        <v>113</v>
      </c>
      <c r="N61" s="3" t="s">
        <v>120</v>
      </c>
    </row>
    <row r="62" spans="1:14">
      <c r="A62" s="3">
        <v>53</v>
      </c>
      <c r="B62" s="48" t="s">
        <v>232</v>
      </c>
      <c r="C62" s="48" t="s">
        <v>236</v>
      </c>
      <c r="D62" s="49" t="s">
        <v>230</v>
      </c>
      <c r="E62" s="48" t="s">
        <v>231</v>
      </c>
      <c r="F62" s="31" t="s">
        <v>165</v>
      </c>
      <c r="G62" s="20" t="s">
        <v>110</v>
      </c>
      <c r="H62" s="22"/>
      <c r="I62" s="23">
        <v>298</v>
      </c>
      <c r="J62" s="19">
        <f>677*9807000</f>
        <v>6639339000</v>
      </c>
      <c r="K62" s="19">
        <f>18*9807000</f>
        <v>176526000</v>
      </c>
      <c r="L62" s="20" t="s">
        <v>47</v>
      </c>
      <c r="M62" s="20" t="s">
        <v>113</v>
      </c>
      <c r="N62" s="3" t="s">
        <v>120</v>
      </c>
    </row>
    <row r="63" spans="1:14">
      <c r="A63" s="3">
        <v>54</v>
      </c>
      <c r="B63" s="48" t="s">
        <v>233</v>
      </c>
      <c r="C63" s="48" t="s">
        <v>238</v>
      </c>
      <c r="D63" s="49" t="s">
        <v>230</v>
      </c>
      <c r="E63" s="48" t="s">
        <v>231</v>
      </c>
      <c r="F63" s="31" t="s">
        <v>165</v>
      </c>
      <c r="G63" s="20" t="s">
        <v>110</v>
      </c>
      <c r="H63" s="22"/>
      <c r="I63" s="23">
        <v>298</v>
      </c>
      <c r="J63" s="19">
        <f>531*9807000</f>
        <v>5207517000</v>
      </c>
      <c r="K63" s="19">
        <f>26*9807000</f>
        <v>254982000</v>
      </c>
      <c r="L63" s="20" t="s">
        <v>47</v>
      </c>
      <c r="M63" s="20" t="s">
        <v>113</v>
      </c>
      <c r="N63" s="49" t="s">
        <v>120</v>
      </c>
    </row>
    <row r="64" spans="1:14">
      <c r="A64" s="3">
        <v>55</v>
      </c>
      <c r="B64" s="48" t="s">
        <v>234</v>
      </c>
      <c r="C64" s="48" t="s">
        <v>239</v>
      </c>
      <c r="D64" s="49" t="s">
        <v>230</v>
      </c>
      <c r="E64" s="48" t="s">
        <v>231</v>
      </c>
      <c r="F64" s="31" t="s">
        <v>165</v>
      </c>
      <c r="G64" s="20" t="s">
        <v>110</v>
      </c>
      <c r="H64" s="22"/>
      <c r="I64" s="23">
        <v>298</v>
      </c>
      <c r="J64" s="19">
        <f>504*9807000</f>
        <v>4942728000</v>
      </c>
      <c r="K64" s="19">
        <f>29*9807000</f>
        <v>284403000</v>
      </c>
      <c r="L64" s="20" t="s">
        <v>47</v>
      </c>
      <c r="M64" s="20" t="s">
        <v>113</v>
      </c>
      <c r="N64" s="3" t="s">
        <v>120</v>
      </c>
    </row>
    <row r="65" spans="1:14">
      <c r="A65" s="3">
        <v>56</v>
      </c>
      <c r="B65" s="48" t="s">
        <v>235</v>
      </c>
      <c r="C65" s="48" t="s">
        <v>237</v>
      </c>
      <c r="D65" s="49" t="s">
        <v>230</v>
      </c>
      <c r="E65" s="48" t="s">
        <v>231</v>
      </c>
      <c r="F65" s="31" t="s">
        <v>165</v>
      </c>
      <c r="G65" s="20" t="s">
        <v>110</v>
      </c>
      <c r="H65" s="22"/>
      <c r="I65" s="23">
        <v>298</v>
      </c>
      <c r="J65" s="19">
        <f>587*9807000</f>
        <v>5756709000</v>
      </c>
      <c r="K65" s="19">
        <f>31*9807000</f>
        <v>304017000</v>
      </c>
      <c r="L65" s="20" t="s">
        <v>47</v>
      </c>
      <c r="M65" s="20" t="s">
        <v>113</v>
      </c>
      <c r="N65" s="3" t="s">
        <v>120</v>
      </c>
    </row>
    <row r="66" spans="1:14">
      <c r="A66" s="3">
        <v>57</v>
      </c>
      <c r="B66" s="20" t="s">
        <v>72</v>
      </c>
      <c r="C66" s="20" t="s">
        <v>105</v>
      </c>
      <c r="D66" s="3" t="s">
        <v>107</v>
      </c>
      <c r="E66" s="20"/>
      <c r="F66" s="31" t="s">
        <v>165</v>
      </c>
      <c r="G66" s="20" t="s">
        <v>110</v>
      </c>
      <c r="H66" s="22"/>
      <c r="I66" s="23"/>
      <c r="J66" s="19">
        <f>458*9807000</f>
        <v>4491606000</v>
      </c>
      <c r="K66" s="19"/>
      <c r="L66" s="20" t="s">
        <v>47</v>
      </c>
      <c r="M66" s="20" t="s">
        <v>116</v>
      </c>
      <c r="N66" s="26" t="s">
        <v>121</v>
      </c>
    </row>
    <row r="67" spans="1:14">
      <c r="A67" s="3">
        <v>58</v>
      </c>
      <c r="B67" s="20" t="s">
        <v>73</v>
      </c>
      <c r="C67" s="20" t="s">
        <v>105</v>
      </c>
      <c r="D67" s="3" t="s">
        <v>107</v>
      </c>
      <c r="E67" s="20"/>
      <c r="F67" s="31" t="s">
        <v>165</v>
      </c>
      <c r="G67" s="20" t="s">
        <v>110</v>
      </c>
      <c r="H67" s="22"/>
      <c r="I67" s="23"/>
      <c r="J67" s="19">
        <f>431*9807000</f>
        <v>4226817000</v>
      </c>
      <c r="K67" s="19"/>
      <c r="L67" s="20" t="s">
        <v>47</v>
      </c>
      <c r="M67" s="20" t="s">
        <v>116</v>
      </c>
      <c r="N67" s="3" t="s">
        <v>121</v>
      </c>
    </row>
    <row r="68" spans="1:14">
      <c r="A68" s="3">
        <v>59</v>
      </c>
      <c r="B68" s="20" t="s">
        <v>74</v>
      </c>
      <c r="C68" s="20" t="s">
        <v>105</v>
      </c>
      <c r="D68" s="3" t="s">
        <v>107</v>
      </c>
      <c r="E68" s="20"/>
      <c r="F68" s="31" t="s">
        <v>165</v>
      </c>
      <c r="G68" s="20" t="s">
        <v>110</v>
      </c>
      <c r="H68" s="22"/>
      <c r="I68" s="23"/>
      <c r="J68" s="19">
        <f>448*9807000</f>
        <v>4393536000</v>
      </c>
      <c r="K68" s="19"/>
      <c r="L68" s="20" t="s">
        <v>47</v>
      </c>
      <c r="M68" s="20" t="s">
        <v>116</v>
      </c>
      <c r="N68" s="3" t="s">
        <v>121</v>
      </c>
    </row>
    <row r="69" spans="1:14">
      <c r="A69" s="3">
        <v>60</v>
      </c>
      <c r="B69" s="20" t="s">
        <v>75</v>
      </c>
      <c r="C69" s="20" t="s">
        <v>105</v>
      </c>
      <c r="D69" s="3" t="s">
        <v>107</v>
      </c>
      <c r="E69" s="20"/>
      <c r="F69" s="31" t="s">
        <v>165</v>
      </c>
      <c r="G69" s="20" t="s">
        <v>110</v>
      </c>
      <c r="H69" s="22"/>
      <c r="I69" s="23"/>
      <c r="J69" s="19">
        <f>270*9807000</f>
        <v>2647890000</v>
      </c>
      <c r="K69" s="19"/>
      <c r="L69" s="20" t="s">
        <v>47</v>
      </c>
      <c r="M69" s="20" t="s">
        <v>116</v>
      </c>
      <c r="N69" s="3" t="s">
        <v>121</v>
      </c>
    </row>
    <row r="70" spans="1:14">
      <c r="A70" s="3">
        <v>61</v>
      </c>
      <c r="B70" s="20" t="s">
        <v>76</v>
      </c>
      <c r="C70" s="20" t="s">
        <v>105</v>
      </c>
      <c r="D70" s="3" t="s">
        <v>107</v>
      </c>
      <c r="E70" s="20"/>
      <c r="F70" s="31" t="s">
        <v>165</v>
      </c>
      <c r="G70" s="20" t="s">
        <v>110</v>
      </c>
      <c r="H70" s="22"/>
      <c r="I70" s="23"/>
      <c r="J70" s="19">
        <f>495*9807000</f>
        <v>4854465000</v>
      </c>
      <c r="K70" s="19"/>
      <c r="L70" s="20" t="s">
        <v>47</v>
      </c>
      <c r="M70" s="20" t="s">
        <v>116</v>
      </c>
      <c r="N70" s="3" t="s">
        <v>121</v>
      </c>
    </row>
    <row r="71" spans="1:14">
      <c r="A71" s="3">
        <v>62</v>
      </c>
      <c r="B71" s="20" t="s">
        <v>77</v>
      </c>
      <c r="C71" s="20" t="s">
        <v>105</v>
      </c>
      <c r="D71" s="3" t="s">
        <v>107</v>
      </c>
      <c r="E71" s="20"/>
      <c r="F71" s="31" t="s">
        <v>165</v>
      </c>
      <c r="G71" s="20" t="s">
        <v>110</v>
      </c>
      <c r="H71" s="22"/>
      <c r="I71" s="23"/>
      <c r="J71" s="19">
        <f>539*9807000</f>
        <v>5285973000</v>
      </c>
      <c r="K71" s="19"/>
      <c r="L71" s="20" t="s">
        <v>47</v>
      </c>
      <c r="M71" s="20" t="s">
        <v>116</v>
      </c>
      <c r="N71" s="3" t="s">
        <v>121</v>
      </c>
    </row>
    <row r="72" spans="1:14">
      <c r="A72" s="3">
        <v>63</v>
      </c>
      <c r="B72" s="20" t="s">
        <v>78</v>
      </c>
      <c r="C72" s="20" t="s">
        <v>105</v>
      </c>
      <c r="D72" s="3" t="s">
        <v>107</v>
      </c>
      <c r="E72" s="20"/>
      <c r="F72" s="31" t="s">
        <v>165</v>
      </c>
      <c r="G72" s="20" t="s">
        <v>110</v>
      </c>
      <c r="H72" s="22"/>
      <c r="I72" s="23"/>
      <c r="J72" s="19">
        <f>630*9807000</f>
        <v>6178410000</v>
      </c>
      <c r="K72" s="19"/>
      <c r="L72" s="20" t="s">
        <v>47</v>
      </c>
      <c r="M72" s="20" t="s">
        <v>116</v>
      </c>
      <c r="N72" s="3" t="s">
        <v>121</v>
      </c>
    </row>
    <row r="73" spans="1:14">
      <c r="A73" s="3">
        <v>64</v>
      </c>
      <c r="B73" s="20" t="s">
        <v>79</v>
      </c>
      <c r="C73" s="20" t="s">
        <v>105</v>
      </c>
      <c r="D73" s="3" t="s">
        <v>107</v>
      </c>
      <c r="E73" s="20"/>
      <c r="F73" s="31" t="s">
        <v>165</v>
      </c>
      <c r="G73" s="20" t="s">
        <v>110</v>
      </c>
      <c r="H73" s="22"/>
      <c r="I73" s="23"/>
      <c r="J73" s="19">
        <f>509*9807000</f>
        <v>4991763000</v>
      </c>
      <c r="K73" s="19"/>
      <c r="L73" s="20" t="s">
        <v>47</v>
      </c>
      <c r="M73" s="20" t="s">
        <v>116</v>
      </c>
      <c r="N73" s="3" t="s">
        <v>121</v>
      </c>
    </row>
    <row r="74" spans="1:14">
      <c r="A74" s="3">
        <v>71</v>
      </c>
      <c r="B74" s="20" t="s">
        <v>80</v>
      </c>
      <c r="C74" s="20" t="s">
        <v>105</v>
      </c>
      <c r="D74" s="49" t="s">
        <v>164</v>
      </c>
      <c r="E74" s="48" t="s">
        <v>191</v>
      </c>
      <c r="F74" s="31" t="s">
        <v>165</v>
      </c>
      <c r="G74" s="20" t="s">
        <v>110</v>
      </c>
      <c r="H74" s="22"/>
      <c r="I74" s="23">
        <v>298</v>
      </c>
      <c r="J74" s="19">
        <f>410*9807000</f>
        <v>4020870000</v>
      </c>
      <c r="K74" s="19"/>
      <c r="L74" s="20" t="s">
        <v>47</v>
      </c>
      <c r="M74" s="20" t="s">
        <v>122</v>
      </c>
      <c r="N74" s="26" t="s">
        <v>123</v>
      </c>
    </row>
    <row r="75" spans="1:14">
      <c r="A75" s="3">
        <v>72</v>
      </c>
      <c r="B75" s="48" t="s">
        <v>188</v>
      </c>
      <c r="C75" s="20" t="s">
        <v>105</v>
      </c>
      <c r="D75" s="49" t="s">
        <v>164</v>
      </c>
      <c r="E75" s="48" t="s">
        <v>191</v>
      </c>
      <c r="F75" s="31" t="s">
        <v>165</v>
      </c>
      <c r="G75" s="20" t="s">
        <v>110</v>
      </c>
      <c r="H75" s="22"/>
      <c r="I75" s="23">
        <v>298</v>
      </c>
      <c r="J75" s="19">
        <f>383*9807000</f>
        <v>3756081000</v>
      </c>
      <c r="K75" s="19"/>
      <c r="L75" s="20" t="s">
        <v>47</v>
      </c>
      <c r="M75" s="20" t="s">
        <v>122</v>
      </c>
      <c r="N75" s="26" t="s">
        <v>123</v>
      </c>
    </row>
    <row r="76" spans="1:14">
      <c r="A76" s="3">
        <v>73</v>
      </c>
      <c r="B76" s="48" t="s">
        <v>189</v>
      </c>
      <c r="C76" s="20" t="s">
        <v>105</v>
      </c>
      <c r="D76" s="49" t="s">
        <v>164</v>
      </c>
      <c r="E76" s="48" t="s">
        <v>191</v>
      </c>
      <c r="F76" s="31" t="s">
        <v>165</v>
      </c>
      <c r="G76" s="20" t="s">
        <v>110</v>
      </c>
      <c r="H76" s="22"/>
      <c r="I76" s="23">
        <v>298</v>
      </c>
      <c r="J76" s="19">
        <f>530*9807000</f>
        <v>5197710000</v>
      </c>
      <c r="K76" s="19"/>
      <c r="L76" s="20" t="s">
        <v>47</v>
      </c>
      <c r="M76" s="20" t="s">
        <v>122</v>
      </c>
      <c r="N76" s="26" t="s">
        <v>123</v>
      </c>
    </row>
    <row r="77" spans="1:14">
      <c r="A77" s="3">
        <v>74</v>
      </c>
      <c r="B77" s="48" t="s">
        <v>190</v>
      </c>
      <c r="C77" s="20" t="s">
        <v>105</v>
      </c>
      <c r="D77" s="49" t="s">
        <v>164</v>
      </c>
      <c r="E77" s="48" t="s">
        <v>191</v>
      </c>
      <c r="F77" s="31" t="s">
        <v>165</v>
      </c>
      <c r="G77" s="20" t="s">
        <v>110</v>
      </c>
      <c r="H77" s="22"/>
      <c r="I77" s="23">
        <v>298</v>
      </c>
      <c r="J77" s="19">
        <v>609</v>
      </c>
      <c r="K77" s="19"/>
      <c r="L77" s="20" t="s">
        <v>47</v>
      </c>
      <c r="M77" s="20" t="s">
        <v>122</v>
      </c>
      <c r="N77" s="26" t="s">
        <v>123</v>
      </c>
    </row>
    <row r="78" spans="1:14">
      <c r="A78" s="3">
        <v>75</v>
      </c>
      <c r="B78" s="20" t="s">
        <v>81</v>
      </c>
      <c r="C78" s="20" t="s">
        <v>105</v>
      </c>
      <c r="E78" s="20"/>
      <c r="F78" s="31" t="s">
        <v>165</v>
      </c>
      <c r="G78" s="20" t="s">
        <v>110</v>
      </c>
      <c r="H78" s="22"/>
      <c r="I78" s="23">
        <v>298</v>
      </c>
      <c r="J78" s="19">
        <v>1320000000</v>
      </c>
      <c r="K78" s="19"/>
      <c r="L78" s="20" t="s">
        <v>47</v>
      </c>
      <c r="M78" s="20" t="s">
        <v>124</v>
      </c>
      <c r="N78" s="26" t="s">
        <v>125</v>
      </c>
    </row>
    <row r="79" spans="1:14">
      <c r="A79" s="3">
        <v>76</v>
      </c>
      <c r="B79" s="20" t="s">
        <v>82</v>
      </c>
      <c r="C79" s="20" t="s">
        <v>105</v>
      </c>
      <c r="E79" s="20"/>
      <c r="F79" s="31" t="s">
        <v>165</v>
      </c>
      <c r="G79" s="20" t="s">
        <v>110</v>
      </c>
      <c r="H79" s="22"/>
      <c r="I79" s="23">
        <v>298</v>
      </c>
      <c r="J79" s="19">
        <v>873000000</v>
      </c>
      <c r="K79" s="19"/>
      <c r="L79" s="20" t="s">
        <v>47</v>
      </c>
      <c r="M79" s="20" t="s">
        <v>124</v>
      </c>
      <c r="N79" s="26" t="s">
        <v>125</v>
      </c>
    </row>
    <row r="80" spans="1:14">
      <c r="A80" s="3">
        <v>77</v>
      </c>
      <c r="B80" s="20" t="s">
        <v>83</v>
      </c>
      <c r="C80" s="20" t="s">
        <v>105</v>
      </c>
      <c r="E80" s="20"/>
      <c r="F80" s="31" t="s">
        <v>165</v>
      </c>
      <c r="G80" s="20" t="s">
        <v>110</v>
      </c>
      <c r="H80" s="22"/>
      <c r="I80" s="23">
        <v>298</v>
      </c>
      <c r="J80" s="19">
        <v>970000000</v>
      </c>
      <c r="K80" s="19"/>
      <c r="L80" s="20" t="s">
        <v>47</v>
      </c>
      <c r="M80" s="20" t="s">
        <v>124</v>
      </c>
      <c r="N80" s="26" t="s">
        <v>125</v>
      </c>
    </row>
    <row r="81" spans="1:14">
      <c r="A81" s="3">
        <v>78</v>
      </c>
      <c r="B81" s="20" t="s">
        <v>84</v>
      </c>
      <c r="C81" s="20" t="s">
        <v>105</v>
      </c>
      <c r="E81" s="20"/>
      <c r="F81" s="31" t="s">
        <v>165</v>
      </c>
      <c r="G81" s="20" t="s">
        <v>110</v>
      </c>
      <c r="H81" s="22"/>
      <c r="I81" s="23">
        <v>298</v>
      </c>
      <c r="J81" s="19">
        <v>628000000</v>
      </c>
      <c r="K81" s="19"/>
      <c r="L81" s="20" t="s">
        <v>47</v>
      </c>
      <c r="M81" s="20" t="s">
        <v>124</v>
      </c>
      <c r="N81" s="26" t="s">
        <v>125</v>
      </c>
    </row>
    <row r="82" spans="1:14">
      <c r="A82" s="3">
        <v>79</v>
      </c>
      <c r="B82" s="20" t="s">
        <v>80</v>
      </c>
      <c r="C82" s="20" t="s">
        <v>105</v>
      </c>
      <c r="E82" s="20"/>
      <c r="F82" s="31" t="s">
        <v>165</v>
      </c>
      <c r="G82" s="20" t="s">
        <v>110</v>
      </c>
      <c r="H82" s="22"/>
      <c r="I82" s="23">
        <v>298</v>
      </c>
      <c r="J82" s="19">
        <v>3430000000</v>
      </c>
      <c r="K82" s="19"/>
      <c r="L82" s="20" t="s">
        <v>47</v>
      </c>
      <c r="M82" s="20" t="s">
        <v>124</v>
      </c>
      <c r="N82" s="26" t="s">
        <v>125</v>
      </c>
    </row>
    <row r="83" spans="1:14">
      <c r="A83" s="3">
        <v>80</v>
      </c>
      <c r="B83" s="48" t="s">
        <v>167</v>
      </c>
      <c r="C83" s="20" t="s">
        <v>105</v>
      </c>
      <c r="E83" s="20"/>
      <c r="F83" s="31" t="s">
        <v>165</v>
      </c>
      <c r="G83" s="20" t="s">
        <v>110</v>
      </c>
      <c r="H83" s="22"/>
      <c r="I83" s="23">
        <v>298</v>
      </c>
      <c r="J83" s="19">
        <v>3113000000</v>
      </c>
      <c r="K83" s="19"/>
      <c r="L83" s="20" t="s">
        <v>47</v>
      </c>
      <c r="M83" s="20" t="s">
        <v>124</v>
      </c>
      <c r="N83" s="26" t="s">
        <v>125</v>
      </c>
    </row>
    <row r="84" spans="1:14">
      <c r="A84" s="3">
        <v>81</v>
      </c>
      <c r="B84" s="48" t="s">
        <v>168</v>
      </c>
      <c r="C84" s="20" t="s">
        <v>105</v>
      </c>
      <c r="E84" s="20"/>
      <c r="F84" s="31" t="s">
        <v>165</v>
      </c>
      <c r="G84" s="20" t="s">
        <v>110</v>
      </c>
      <c r="H84" s="22"/>
      <c r="I84" s="23">
        <v>298</v>
      </c>
      <c r="J84" s="19">
        <v>4830000000</v>
      </c>
      <c r="K84" s="19"/>
      <c r="L84" s="20" t="s">
        <v>47</v>
      </c>
      <c r="M84" s="20" t="s">
        <v>124</v>
      </c>
      <c r="N84" s="26" t="s">
        <v>125</v>
      </c>
    </row>
    <row r="85" spans="1:14">
      <c r="A85" s="3">
        <v>82</v>
      </c>
      <c r="B85" s="48" t="s">
        <v>169</v>
      </c>
      <c r="C85" s="20" t="s">
        <v>105</v>
      </c>
      <c r="E85" s="20"/>
      <c r="F85" s="31" t="s">
        <v>165</v>
      </c>
      <c r="G85" s="20" t="s">
        <v>110</v>
      </c>
      <c r="H85" s="22"/>
      <c r="I85" s="23">
        <v>298</v>
      </c>
      <c r="J85" s="19">
        <v>4380000000</v>
      </c>
      <c r="K85" s="19"/>
      <c r="L85" s="20" t="s">
        <v>47</v>
      </c>
      <c r="M85" s="20" t="s">
        <v>124</v>
      </c>
      <c r="N85" s="26" t="s">
        <v>125</v>
      </c>
    </row>
    <row r="86" spans="1:14">
      <c r="A86" s="3">
        <v>83</v>
      </c>
      <c r="B86" s="20" t="s">
        <v>82</v>
      </c>
      <c r="C86" s="20" t="s">
        <v>105</v>
      </c>
      <c r="D86" s="49" t="s">
        <v>171</v>
      </c>
      <c r="E86" s="48" t="s">
        <v>183</v>
      </c>
      <c r="F86" s="31" t="s">
        <v>165</v>
      </c>
      <c r="G86" s="20" t="s">
        <v>110</v>
      </c>
      <c r="H86" s="22"/>
      <c r="I86" s="23">
        <v>298</v>
      </c>
      <c r="J86" s="19">
        <f>103*9807000</f>
        <v>1010121000</v>
      </c>
      <c r="K86" s="19"/>
      <c r="L86" s="20" t="s">
        <v>47</v>
      </c>
      <c r="M86" s="20" t="s">
        <v>126</v>
      </c>
      <c r="N86" s="26" t="s">
        <v>127</v>
      </c>
    </row>
    <row r="87" spans="1:14">
      <c r="A87" s="3">
        <v>84</v>
      </c>
      <c r="B87" s="48" t="s">
        <v>184</v>
      </c>
      <c r="D87" s="49" t="s">
        <v>171</v>
      </c>
      <c r="E87" s="48" t="s">
        <v>183</v>
      </c>
      <c r="F87" s="31" t="s">
        <v>165</v>
      </c>
      <c r="G87" s="20" t="s">
        <v>110</v>
      </c>
      <c r="H87" s="22"/>
      <c r="I87" s="23">
        <v>298</v>
      </c>
      <c r="J87" s="19">
        <f>204*9807000</f>
        <v>2000628000</v>
      </c>
      <c r="K87" s="19"/>
      <c r="L87" s="20" t="s">
        <v>47</v>
      </c>
      <c r="M87" s="20" t="s">
        <v>126</v>
      </c>
      <c r="N87" s="26" t="s">
        <v>127</v>
      </c>
    </row>
    <row r="88" spans="1:14">
      <c r="A88" s="3">
        <v>85</v>
      </c>
      <c r="B88" s="48" t="s">
        <v>185</v>
      </c>
      <c r="D88" s="49" t="s">
        <v>171</v>
      </c>
      <c r="E88" s="48" t="s">
        <v>183</v>
      </c>
      <c r="F88" s="31" t="s">
        <v>165</v>
      </c>
      <c r="G88" s="20" t="s">
        <v>110</v>
      </c>
      <c r="H88" s="22"/>
      <c r="I88" s="23">
        <v>298</v>
      </c>
      <c r="J88" s="19">
        <f>244*9807000</f>
        <v>2392908000</v>
      </c>
      <c r="K88" s="19"/>
      <c r="L88" s="20" t="s">
        <v>47</v>
      </c>
      <c r="M88" s="20" t="s">
        <v>126</v>
      </c>
      <c r="N88" s="26" t="s">
        <v>127</v>
      </c>
    </row>
    <row r="89" spans="1:14">
      <c r="A89" s="3">
        <v>86</v>
      </c>
      <c r="B89" s="48" t="s">
        <v>170</v>
      </c>
      <c r="C89" s="49" t="s">
        <v>105</v>
      </c>
      <c r="D89" s="49" t="s">
        <v>171</v>
      </c>
      <c r="E89" s="50" t="s">
        <v>172</v>
      </c>
      <c r="F89" s="31" t="s">
        <v>165</v>
      </c>
      <c r="G89" s="20" t="s">
        <v>110</v>
      </c>
      <c r="H89" s="22"/>
      <c r="I89" s="3">
        <v>298</v>
      </c>
      <c r="J89" s="19">
        <v>1910000000</v>
      </c>
      <c r="K89" s="19"/>
      <c r="L89" s="20" t="s">
        <v>47</v>
      </c>
      <c r="M89" s="20" t="s">
        <v>124</v>
      </c>
      <c r="N89" s="28" t="s">
        <v>128</v>
      </c>
    </row>
    <row r="90" spans="1:14">
      <c r="A90" s="3">
        <v>87</v>
      </c>
      <c r="B90" s="48" t="s">
        <v>170</v>
      </c>
      <c r="C90" s="49" t="s">
        <v>105</v>
      </c>
      <c r="D90" s="49" t="s">
        <v>171</v>
      </c>
      <c r="E90" s="50" t="s">
        <v>173</v>
      </c>
      <c r="F90" s="31" t="s">
        <v>165</v>
      </c>
      <c r="G90" s="20" t="s">
        <v>110</v>
      </c>
      <c r="H90" s="22"/>
      <c r="I90" s="3">
        <v>298</v>
      </c>
      <c r="J90" s="19">
        <v>1890000000</v>
      </c>
      <c r="K90" s="19"/>
      <c r="L90" s="20" t="s">
        <v>47</v>
      </c>
      <c r="M90" s="20" t="s">
        <v>124</v>
      </c>
      <c r="N90" s="28" t="s">
        <v>128</v>
      </c>
    </row>
    <row r="91" spans="1:14">
      <c r="A91" s="3">
        <v>88</v>
      </c>
      <c r="B91" s="48" t="s">
        <v>170</v>
      </c>
      <c r="C91" s="49" t="s">
        <v>105</v>
      </c>
      <c r="D91" s="49" t="s">
        <v>171</v>
      </c>
      <c r="E91" s="50" t="s">
        <v>174</v>
      </c>
      <c r="F91" s="31" t="s">
        <v>165</v>
      </c>
      <c r="G91" s="20" t="s">
        <v>110</v>
      </c>
      <c r="H91" s="22"/>
      <c r="I91" s="3">
        <v>298</v>
      </c>
      <c r="J91" s="19">
        <v>1840000000</v>
      </c>
      <c r="K91" s="19"/>
      <c r="L91" s="20" t="s">
        <v>47</v>
      </c>
      <c r="M91" s="20" t="s">
        <v>124</v>
      </c>
      <c r="N91" s="28" t="s">
        <v>128</v>
      </c>
    </row>
    <row r="92" spans="1:14">
      <c r="A92" s="3">
        <v>89</v>
      </c>
      <c r="B92" s="48" t="s">
        <v>170</v>
      </c>
      <c r="C92" s="49" t="s">
        <v>105</v>
      </c>
      <c r="D92" s="49" t="s">
        <v>171</v>
      </c>
      <c r="E92" s="50" t="s">
        <v>175</v>
      </c>
      <c r="F92" s="31" t="s">
        <v>165</v>
      </c>
      <c r="G92" s="20" t="s">
        <v>110</v>
      </c>
      <c r="H92" s="22"/>
      <c r="I92" s="3">
        <v>298</v>
      </c>
      <c r="J92" s="19">
        <v>1820000000</v>
      </c>
      <c r="K92" s="19"/>
      <c r="L92" s="20" t="s">
        <v>47</v>
      </c>
      <c r="M92" s="20" t="s">
        <v>124</v>
      </c>
      <c r="N92" s="28" t="s">
        <v>128</v>
      </c>
    </row>
    <row r="93" spans="1:14">
      <c r="A93" s="3">
        <v>90</v>
      </c>
      <c r="B93" s="48" t="s">
        <v>170</v>
      </c>
      <c r="C93" s="49" t="s">
        <v>105</v>
      </c>
      <c r="D93" s="49" t="s">
        <v>171</v>
      </c>
      <c r="E93" s="50" t="s">
        <v>176</v>
      </c>
      <c r="F93" s="31" t="s">
        <v>165</v>
      </c>
      <c r="G93" s="20" t="s">
        <v>110</v>
      </c>
      <c r="H93" s="22"/>
      <c r="I93" s="3">
        <v>298</v>
      </c>
      <c r="J93" s="19">
        <v>1850000000</v>
      </c>
      <c r="K93" s="19"/>
      <c r="L93" s="20" t="s">
        <v>47</v>
      </c>
      <c r="M93" s="20" t="s">
        <v>124</v>
      </c>
      <c r="N93" s="28" t="s">
        <v>128</v>
      </c>
    </row>
    <row r="94" spans="1:14">
      <c r="A94" s="3">
        <v>91</v>
      </c>
      <c r="B94" s="48" t="s">
        <v>170</v>
      </c>
      <c r="C94" s="49" t="s">
        <v>105</v>
      </c>
      <c r="D94" s="49" t="s">
        <v>171</v>
      </c>
      <c r="E94" s="50" t="s">
        <v>177</v>
      </c>
      <c r="F94" s="31" t="s">
        <v>165</v>
      </c>
      <c r="G94" s="20" t="s">
        <v>110</v>
      </c>
      <c r="H94" s="22"/>
      <c r="I94" s="3">
        <v>298</v>
      </c>
      <c r="J94" s="19">
        <v>1810000000</v>
      </c>
      <c r="K94" s="19"/>
      <c r="L94" s="20" t="s">
        <v>47</v>
      </c>
      <c r="M94" s="20" t="s">
        <v>124</v>
      </c>
      <c r="N94" s="28" t="s">
        <v>128</v>
      </c>
    </row>
    <row r="95" spans="1:14">
      <c r="A95" s="3">
        <v>92</v>
      </c>
      <c r="B95" s="48" t="s">
        <v>170</v>
      </c>
      <c r="C95" s="49" t="s">
        <v>105</v>
      </c>
      <c r="D95" s="49" t="s">
        <v>171</v>
      </c>
      <c r="E95" s="50" t="s">
        <v>178</v>
      </c>
      <c r="F95" s="31" t="s">
        <v>165</v>
      </c>
      <c r="G95" s="20" t="s">
        <v>110</v>
      </c>
      <c r="H95" s="22"/>
      <c r="I95" s="3">
        <v>298</v>
      </c>
      <c r="J95" s="19">
        <v>1750000000</v>
      </c>
      <c r="K95" s="19"/>
      <c r="L95" s="20" t="s">
        <v>47</v>
      </c>
      <c r="M95" s="20" t="s">
        <v>124</v>
      </c>
      <c r="N95" s="28" t="s">
        <v>128</v>
      </c>
    </row>
    <row r="96" spans="1:14">
      <c r="A96" s="3">
        <v>93</v>
      </c>
      <c r="B96" s="48" t="s">
        <v>170</v>
      </c>
      <c r="C96" s="49" t="s">
        <v>105</v>
      </c>
      <c r="D96" s="49" t="s">
        <v>171</v>
      </c>
      <c r="E96" s="50" t="s">
        <v>179</v>
      </c>
      <c r="F96" s="31" t="s">
        <v>165</v>
      </c>
      <c r="G96" s="20" t="s">
        <v>110</v>
      </c>
      <c r="H96" s="22"/>
      <c r="I96" s="3">
        <v>298</v>
      </c>
      <c r="J96" s="19">
        <v>1920000000</v>
      </c>
      <c r="K96" s="19"/>
      <c r="L96" s="20" t="s">
        <v>47</v>
      </c>
      <c r="M96" s="20" t="s">
        <v>124</v>
      </c>
      <c r="N96" s="28" t="s">
        <v>128</v>
      </c>
    </row>
    <row r="97" spans="1:14">
      <c r="A97" s="3">
        <v>94</v>
      </c>
      <c r="B97" s="48" t="s">
        <v>170</v>
      </c>
      <c r="C97" s="49" t="s">
        <v>105</v>
      </c>
      <c r="D97" s="49" t="s">
        <v>171</v>
      </c>
      <c r="E97" s="50" t="s">
        <v>180</v>
      </c>
      <c r="F97" s="31" t="s">
        <v>165</v>
      </c>
      <c r="G97" s="20" t="s">
        <v>110</v>
      </c>
      <c r="H97" s="22"/>
      <c r="I97" s="3">
        <v>298</v>
      </c>
      <c r="J97" s="19">
        <v>1950000000</v>
      </c>
      <c r="K97" s="19"/>
      <c r="L97" s="20" t="s">
        <v>47</v>
      </c>
      <c r="M97" s="20" t="s">
        <v>124</v>
      </c>
      <c r="N97" s="28" t="s">
        <v>128</v>
      </c>
    </row>
    <row r="98" spans="1:14">
      <c r="A98" s="3">
        <v>95</v>
      </c>
      <c r="B98" s="48" t="s">
        <v>170</v>
      </c>
      <c r="C98" s="49" t="s">
        <v>105</v>
      </c>
      <c r="D98" s="49" t="s">
        <v>171</v>
      </c>
      <c r="E98" s="50" t="s">
        <v>181</v>
      </c>
      <c r="F98" s="31" t="s">
        <v>165</v>
      </c>
      <c r="G98" s="20" t="s">
        <v>110</v>
      </c>
      <c r="H98" s="22"/>
      <c r="I98" s="3">
        <v>298</v>
      </c>
      <c r="J98" s="19">
        <v>2040000000</v>
      </c>
      <c r="K98" s="19"/>
      <c r="L98" s="20" t="s">
        <v>47</v>
      </c>
      <c r="M98" s="20" t="s">
        <v>124</v>
      </c>
      <c r="N98" s="28" t="s">
        <v>128</v>
      </c>
    </row>
    <row r="99" spans="1:14">
      <c r="A99" s="3">
        <v>96</v>
      </c>
      <c r="B99" s="48" t="s">
        <v>170</v>
      </c>
      <c r="C99" s="49" t="s">
        <v>105</v>
      </c>
      <c r="D99" s="49" t="s">
        <v>171</v>
      </c>
      <c r="E99" s="50" t="s">
        <v>182</v>
      </c>
      <c r="F99" s="31" t="s">
        <v>165</v>
      </c>
      <c r="G99" s="20" t="s">
        <v>110</v>
      </c>
      <c r="H99" s="22"/>
      <c r="I99" s="3">
        <v>298</v>
      </c>
      <c r="J99" s="19">
        <v>1980000000</v>
      </c>
      <c r="K99" s="19"/>
      <c r="L99" s="20" t="s">
        <v>47</v>
      </c>
      <c r="M99" s="20" t="s">
        <v>124</v>
      </c>
      <c r="N99" s="28" t="s">
        <v>128</v>
      </c>
    </row>
    <row r="100" spans="1:14">
      <c r="A100" s="3">
        <v>97</v>
      </c>
      <c r="B100" s="20" t="s">
        <v>85</v>
      </c>
      <c r="C100" s="3" t="s">
        <v>105</v>
      </c>
      <c r="E100" s="20"/>
      <c r="F100" s="31" t="s">
        <v>165</v>
      </c>
      <c r="G100" s="20" t="s">
        <v>110</v>
      </c>
      <c r="H100" s="22"/>
      <c r="I100" s="23"/>
      <c r="J100" s="19">
        <f>400*9807000</f>
        <v>3922800000</v>
      </c>
      <c r="K100" s="19"/>
      <c r="L100" s="20" t="s">
        <v>47</v>
      </c>
      <c r="M100" s="20" t="s">
        <v>129</v>
      </c>
      <c r="N100" s="26" t="s">
        <v>130</v>
      </c>
    </row>
    <row r="101" spans="1:14">
      <c r="A101" s="3">
        <v>98</v>
      </c>
      <c r="B101" s="20" t="s">
        <v>86</v>
      </c>
      <c r="C101" s="3" t="s">
        <v>105</v>
      </c>
      <c r="E101" s="20"/>
      <c r="F101" s="31" t="s">
        <v>165</v>
      </c>
      <c r="G101" s="20" t="s">
        <v>110</v>
      </c>
      <c r="H101" s="22"/>
      <c r="I101" s="23"/>
      <c r="J101" s="19">
        <f>490*9807000</f>
        <v>4805430000</v>
      </c>
      <c r="K101" s="19"/>
      <c r="L101" s="20" t="s">
        <v>47</v>
      </c>
      <c r="M101" s="20" t="s">
        <v>129</v>
      </c>
      <c r="N101" s="26" t="s">
        <v>130</v>
      </c>
    </row>
    <row r="102" spans="1:14">
      <c r="A102" s="3">
        <v>99</v>
      </c>
      <c r="B102" s="20" t="s">
        <v>87</v>
      </c>
      <c r="C102" s="3" t="s">
        <v>105</v>
      </c>
      <c r="E102" s="20"/>
      <c r="F102" s="31" t="s">
        <v>165</v>
      </c>
      <c r="G102" s="20" t="s">
        <v>110</v>
      </c>
      <c r="H102" s="22"/>
      <c r="I102" s="23"/>
      <c r="J102" s="19">
        <f>575*9807000</f>
        <v>5639025000</v>
      </c>
      <c r="K102" s="19"/>
      <c r="L102" s="20" t="s">
        <v>47</v>
      </c>
      <c r="M102" s="20" t="s">
        <v>129</v>
      </c>
      <c r="N102" s="26" t="s">
        <v>130</v>
      </c>
    </row>
    <row r="103" spans="1:14">
      <c r="A103" s="3">
        <v>100</v>
      </c>
      <c r="B103" s="20" t="s">
        <v>88</v>
      </c>
      <c r="C103" s="3" t="s">
        <v>105</v>
      </c>
      <c r="E103" s="20"/>
      <c r="F103" s="31" t="s">
        <v>165</v>
      </c>
      <c r="G103" s="20" t="s">
        <v>110</v>
      </c>
      <c r="H103" s="22"/>
      <c r="I103" s="23"/>
      <c r="J103" s="19">
        <f>600*9807000</f>
        <v>5884200000</v>
      </c>
      <c r="K103" s="19"/>
      <c r="L103" s="20" t="s">
        <v>47</v>
      </c>
      <c r="M103" s="20" t="s">
        <v>129</v>
      </c>
      <c r="N103" s="26" t="s">
        <v>130</v>
      </c>
    </row>
    <row r="104" spans="1:14">
      <c r="A104" s="3">
        <v>101</v>
      </c>
      <c r="B104" s="20" t="s">
        <v>89</v>
      </c>
      <c r="C104" s="3" t="s">
        <v>105</v>
      </c>
      <c r="D104" s="3" t="s">
        <v>107</v>
      </c>
      <c r="E104" s="20"/>
      <c r="F104" s="31" t="s">
        <v>165</v>
      </c>
      <c r="G104" s="20" t="s">
        <v>110</v>
      </c>
      <c r="H104" s="22"/>
      <c r="I104" s="23"/>
      <c r="J104" s="19">
        <f>443*9807000</f>
        <v>4344501000</v>
      </c>
      <c r="K104" s="19"/>
      <c r="L104" s="20" t="s">
        <v>47</v>
      </c>
      <c r="M104" s="20" t="s">
        <v>124</v>
      </c>
      <c r="N104" s="26" t="s">
        <v>131</v>
      </c>
    </row>
    <row r="105" spans="1:14">
      <c r="A105" s="3">
        <v>102</v>
      </c>
      <c r="B105" s="31" t="s">
        <v>157</v>
      </c>
      <c r="C105" s="3" t="s">
        <v>105</v>
      </c>
      <c r="D105" s="3" t="s">
        <v>107</v>
      </c>
      <c r="E105" s="20"/>
      <c r="F105" s="31" t="s">
        <v>165</v>
      </c>
      <c r="G105" s="20" t="s">
        <v>110</v>
      </c>
      <c r="H105" s="22"/>
      <c r="I105" s="23"/>
      <c r="J105" s="19">
        <f>504*9807000</f>
        <v>4942728000</v>
      </c>
      <c r="K105" s="19"/>
      <c r="L105" s="20" t="s">
        <v>47</v>
      </c>
      <c r="M105" s="20" t="s">
        <v>124</v>
      </c>
      <c r="N105" s="26" t="s">
        <v>131</v>
      </c>
    </row>
    <row r="106" spans="1:14">
      <c r="A106" s="3">
        <v>103</v>
      </c>
      <c r="B106" s="20" t="s">
        <v>90</v>
      </c>
      <c r="C106" s="3" t="s">
        <v>105</v>
      </c>
      <c r="D106" s="3" t="s">
        <v>107</v>
      </c>
      <c r="E106" s="20"/>
      <c r="F106" s="31" t="s">
        <v>165</v>
      </c>
      <c r="G106" s="20" t="s">
        <v>110</v>
      </c>
      <c r="H106" s="22"/>
      <c r="I106" s="23"/>
      <c r="J106" s="19">
        <f>298*9807000</f>
        <v>2922486000</v>
      </c>
      <c r="K106" s="19"/>
      <c r="L106" s="20" t="s">
        <v>47</v>
      </c>
      <c r="M106" s="20" t="s">
        <v>124</v>
      </c>
      <c r="N106" s="26" t="s">
        <v>131</v>
      </c>
    </row>
    <row r="107" spans="1:14">
      <c r="A107" s="3">
        <v>104</v>
      </c>
      <c r="B107" s="20" t="s">
        <v>91</v>
      </c>
      <c r="C107" s="3" t="s">
        <v>105</v>
      </c>
      <c r="D107" s="3" t="s">
        <v>107</v>
      </c>
      <c r="E107" s="20"/>
      <c r="F107" s="31" t="s">
        <v>165</v>
      </c>
      <c r="G107" s="20" t="s">
        <v>110</v>
      </c>
      <c r="H107" s="22"/>
      <c r="I107" s="23"/>
      <c r="J107" s="19">
        <f>493*9807000</f>
        <v>4834851000</v>
      </c>
      <c r="K107" s="19"/>
      <c r="L107" s="20" t="s">
        <v>47</v>
      </c>
      <c r="M107" s="20" t="s">
        <v>124</v>
      </c>
      <c r="N107" s="26" t="s">
        <v>131</v>
      </c>
    </row>
    <row r="108" spans="1:14">
      <c r="A108" s="3">
        <v>105</v>
      </c>
      <c r="B108" s="20" t="s">
        <v>92</v>
      </c>
      <c r="C108" s="3" t="s">
        <v>105</v>
      </c>
      <c r="D108" s="3" t="s">
        <v>107</v>
      </c>
      <c r="E108" s="20"/>
      <c r="F108" s="31" t="s">
        <v>165</v>
      </c>
      <c r="G108" s="20" t="s">
        <v>110</v>
      </c>
      <c r="H108" s="22"/>
      <c r="I108" s="23"/>
      <c r="J108" s="19">
        <f>447*9807000</f>
        <v>4383729000</v>
      </c>
      <c r="K108" s="19"/>
      <c r="L108" s="20" t="s">
        <v>47</v>
      </c>
      <c r="M108" s="20" t="s">
        <v>124</v>
      </c>
      <c r="N108" s="26" t="s">
        <v>131</v>
      </c>
    </row>
    <row r="109" spans="1:14">
      <c r="A109" s="3">
        <v>106</v>
      </c>
      <c r="B109" s="20" t="s">
        <v>93</v>
      </c>
      <c r="C109" s="3" t="s">
        <v>105</v>
      </c>
      <c r="D109" s="3" t="s">
        <v>107</v>
      </c>
      <c r="E109" s="20"/>
      <c r="F109" s="31" t="s">
        <v>165</v>
      </c>
      <c r="G109" s="20" t="s">
        <v>110</v>
      </c>
      <c r="H109" s="22"/>
      <c r="I109" s="23"/>
      <c r="J109" s="19">
        <f>454*9807000</f>
        <v>4452378000</v>
      </c>
      <c r="K109" s="19"/>
      <c r="L109" s="20" t="s">
        <v>47</v>
      </c>
      <c r="M109" s="20" t="s">
        <v>124</v>
      </c>
      <c r="N109" s="26" t="s">
        <v>131</v>
      </c>
    </row>
    <row r="110" spans="1:14">
      <c r="A110" s="3">
        <v>107</v>
      </c>
      <c r="B110" s="20" t="s">
        <v>94</v>
      </c>
      <c r="C110" s="3" t="s">
        <v>105</v>
      </c>
      <c r="D110" s="3" t="s">
        <v>107</v>
      </c>
      <c r="E110" s="20"/>
      <c r="F110" s="31" t="s">
        <v>165</v>
      </c>
      <c r="G110" s="20" t="s">
        <v>110</v>
      </c>
      <c r="H110" s="22"/>
      <c r="I110" s="23"/>
      <c r="J110" s="19">
        <f>535*9807000</f>
        <v>5246745000</v>
      </c>
      <c r="K110" s="19"/>
      <c r="L110" s="20" t="s">
        <v>47</v>
      </c>
      <c r="M110" s="20" t="s">
        <v>124</v>
      </c>
      <c r="N110" s="26" t="s">
        <v>131</v>
      </c>
    </row>
    <row r="111" spans="1:14">
      <c r="A111" s="3">
        <v>108</v>
      </c>
      <c r="B111" s="20" t="s">
        <v>95</v>
      </c>
      <c r="C111" s="3" t="s">
        <v>105</v>
      </c>
      <c r="D111" s="3" t="s">
        <v>107</v>
      </c>
      <c r="E111" s="20"/>
      <c r="F111" s="31" t="s">
        <v>165</v>
      </c>
      <c r="G111" s="20" t="s">
        <v>110</v>
      </c>
      <c r="H111" s="22"/>
      <c r="I111" s="23"/>
      <c r="J111" s="19">
        <f>705*9807000</f>
        <v>6913935000</v>
      </c>
      <c r="K111" s="19"/>
      <c r="L111" s="20" t="s">
        <v>47</v>
      </c>
      <c r="M111" s="20" t="s">
        <v>124</v>
      </c>
      <c r="N111" s="26" t="s">
        <v>131</v>
      </c>
    </row>
    <row r="112" spans="1:14">
      <c r="A112" s="3">
        <v>109</v>
      </c>
      <c r="B112" s="20" t="s">
        <v>96</v>
      </c>
      <c r="C112" s="3" t="s">
        <v>105</v>
      </c>
      <c r="D112" s="3" t="s">
        <v>107</v>
      </c>
      <c r="E112" s="20"/>
      <c r="F112" s="31" t="s">
        <v>165</v>
      </c>
      <c r="G112" s="20" t="s">
        <v>110</v>
      </c>
      <c r="H112" s="22"/>
      <c r="I112" s="23"/>
      <c r="J112" s="19">
        <f>542*9807000</f>
        <v>5315394000</v>
      </c>
      <c r="K112" s="19"/>
      <c r="L112" s="20" t="s">
        <v>47</v>
      </c>
      <c r="M112" s="20" t="s">
        <v>124</v>
      </c>
      <c r="N112" s="26" t="s">
        <v>131</v>
      </c>
    </row>
    <row r="113" spans="1:14">
      <c r="A113" s="3">
        <v>110</v>
      </c>
      <c r="B113" s="20" t="s">
        <v>97</v>
      </c>
      <c r="C113" s="3" t="s">
        <v>105</v>
      </c>
      <c r="D113" s="3" t="s">
        <v>107</v>
      </c>
      <c r="E113" s="20"/>
      <c r="F113" s="31" t="s">
        <v>165</v>
      </c>
      <c r="G113" s="20" t="s">
        <v>110</v>
      </c>
      <c r="H113" s="22"/>
      <c r="I113" s="23"/>
      <c r="J113" s="19">
        <f>505*9807000</f>
        <v>4952535000</v>
      </c>
      <c r="K113" s="19"/>
      <c r="L113" s="20" t="s">
        <v>47</v>
      </c>
      <c r="M113" s="20" t="s">
        <v>124</v>
      </c>
      <c r="N113" s="26" t="s">
        <v>131</v>
      </c>
    </row>
    <row r="114" spans="1:14">
      <c r="A114" s="3">
        <v>111</v>
      </c>
      <c r="B114" s="20" t="s">
        <v>98</v>
      </c>
      <c r="C114" s="3" t="s">
        <v>105</v>
      </c>
      <c r="D114" s="3" t="s">
        <v>107</v>
      </c>
      <c r="E114" s="20"/>
      <c r="F114" s="31" t="s">
        <v>165</v>
      </c>
      <c r="G114" s="20" t="s">
        <v>110</v>
      </c>
      <c r="H114" s="22"/>
      <c r="I114" s="23"/>
      <c r="J114" s="19">
        <f>558*9807000</f>
        <v>5472306000</v>
      </c>
      <c r="K114" s="19"/>
      <c r="L114" s="20" t="s">
        <v>47</v>
      </c>
      <c r="M114" s="20" t="s">
        <v>124</v>
      </c>
      <c r="N114" s="26" t="s">
        <v>131</v>
      </c>
    </row>
    <row r="115" spans="1:14">
      <c r="A115" s="3">
        <v>112</v>
      </c>
      <c r="B115" s="20" t="s">
        <v>99</v>
      </c>
      <c r="C115" s="3" t="s">
        <v>105</v>
      </c>
      <c r="D115" s="3" t="s">
        <v>107</v>
      </c>
      <c r="E115" s="20"/>
      <c r="F115" s="31" t="s">
        <v>165</v>
      </c>
      <c r="G115" s="20" t="s">
        <v>110</v>
      </c>
      <c r="H115" s="22"/>
      <c r="I115" s="23"/>
      <c r="J115" s="19">
        <f>390*9807000</f>
        <v>3824730000</v>
      </c>
      <c r="K115" s="19"/>
      <c r="L115" s="20" t="s">
        <v>47</v>
      </c>
      <c r="M115" s="20" t="s">
        <v>124</v>
      </c>
      <c r="N115" s="26" t="s">
        <v>131</v>
      </c>
    </row>
    <row r="116" spans="1:14">
      <c r="A116" s="3">
        <v>117</v>
      </c>
      <c r="B116" s="20" t="s">
        <v>90</v>
      </c>
      <c r="C116" s="3" t="s">
        <v>105</v>
      </c>
      <c r="D116" s="3" t="s">
        <v>107</v>
      </c>
      <c r="E116" s="20"/>
      <c r="F116" s="31" t="s">
        <v>165</v>
      </c>
      <c r="G116" s="20" t="s">
        <v>110</v>
      </c>
      <c r="H116" s="22"/>
      <c r="I116" s="23"/>
      <c r="J116" s="19">
        <f>298*9807000</f>
        <v>2922486000</v>
      </c>
      <c r="K116" s="19"/>
      <c r="L116" s="20" t="s">
        <v>47</v>
      </c>
      <c r="M116" s="20" t="s">
        <v>126</v>
      </c>
      <c r="N116" s="26" t="s">
        <v>132</v>
      </c>
    </row>
    <row r="117" spans="1:14">
      <c r="A117" s="3">
        <v>118</v>
      </c>
      <c r="B117" s="20" t="s">
        <v>90</v>
      </c>
      <c r="C117" s="3" t="s">
        <v>105</v>
      </c>
      <c r="D117" s="49" t="s">
        <v>171</v>
      </c>
      <c r="E117" s="48" t="s">
        <v>192</v>
      </c>
      <c r="F117" s="31" t="s">
        <v>165</v>
      </c>
      <c r="G117" s="20" t="s">
        <v>110</v>
      </c>
      <c r="H117" s="22"/>
      <c r="I117" s="23">
        <v>298</v>
      </c>
      <c r="J117" s="19">
        <f>427.9*9807000</f>
        <v>4196415300</v>
      </c>
      <c r="K117" s="19"/>
      <c r="L117" s="20" t="s">
        <v>47</v>
      </c>
      <c r="M117" s="20" t="s">
        <v>126</v>
      </c>
      <c r="N117" s="26" t="s">
        <v>132</v>
      </c>
    </row>
    <row r="118" spans="1:14">
      <c r="A118" s="3">
        <v>119</v>
      </c>
      <c r="B118" s="20" t="s">
        <v>90</v>
      </c>
      <c r="C118" s="3" t="s">
        <v>105</v>
      </c>
      <c r="D118" s="49" t="s">
        <v>171</v>
      </c>
      <c r="E118" s="48" t="s">
        <v>194</v>
      </c>
      <c r="F118" s="31" t="s">
        <v>165</v>
      </c>
      <c r="G118" s="20" t="s">
        <v>110</v>
      </c>
      <c r="H118" s="22"/>
      <c r="I118" s="23">
        <v>298</v>
      </c>
      <c r="J118" s="19">
        <f>444.3*9807000</f>
        <v>4357250100</v>
      </c>
      <c r="K118" s="19"/>
      <c r="L118" s="20" t="s">
        <v>47</v>
      </c>
      <c r="M118" s="20" t="s">
        <v>126</v>
      </c>
      <c r="N118" s="26" t="s">
        <v>132</v>
      </c>
    </row>
    <row r="119" spans="1:14">
      <c r="A119" s="3">
        <v>120</v>
      </c>
      <c r="B119" s="20" t="s">
        <v>90</v>
      </c>
      <c r="C119" s="3" t="s">
        <v>105</v>
      </c>
      <c r="D119" s="49" t="s">
        <v>171</v>
      </c>
      <c r="E119" s="48" t="s">
        <v>193</v>
      </c>
      <c r="F119" s="31" t="s">
        <v>165</v>
      </c>
      <c r="G119" s="20" t="s">
        <v>110</v>
      </c>
      <c r="H119" s="22"/>
      <c r="I119" s="23">
        <v>298</v>
      </c>
      <c r="J119" s="19">
        <f>510.9*9807000</f>
        <v>5010396300</v>
      </c>
      <c r="K119" s="19"/>
      <c r="L119" s="20" t="s">
        <v>47</v>
      </c>
      <c r="M119" s="20" t="s">
        <v>126</v>
      </c>
      <c r="N119" s="26" t="s">
        <v>132</v>
      </c>
    </row>
    <row r="120" spans="1:14">
      <c r="A120" s="3">
        <v>121</v>
      </c>
      <c r="B120" s="48" t="s">
        <v>195</v>
      </c>
      <c r="C120" s="3" t="s">
        <v>105</v>
      </c>
      <c r="D120" s="3" t="s">
        <v>108</v>
      </c>
      <c r="E120" s="48" t="s">
        <v>201</v>
      </c>
      <c r="F120" s="31" t="s">
        <v>165</v>
      </c>
      <c r="G120" s="20" t="s">
        <v>110</v>
      </c>
      <c r="H120" s="22"/>
      <c r="I120" s="23">
        <v>298</v>
      </c>
      <c r="J120" s="19">
        <f>340*9807000</f>
        <v>3334380000</v>
      </c>
      <c r="K120" s="19">
        <f>3*9807000</f>
        <v>29421000</v>
      </c>
      <c r="L120" s="20" t="s">
        <v>47</v>
      </c>
      <c r="M120" s="20" t="s">
        <v>133</v>
      </c>
      <c r="N120" s="26" t="s">
        <v>134</v>
      </c>
    </row>
    <row r="121" spans="1:14">
      <c r="A121" s="3">
        <v>122</v>
      </c>
      <c r="B121" s="48" t="s">
        <v>196</v>
      </c>
      <c r="C121" s="49" t="s">
        <v>105</v>
      </c>
      <c r="D121" s="3" t="s">
        <v>108</v>
      </c>
      <c r="E121" s="48" t="s">
        <v>201</v>
      </c>
      <c r="F121" s="31" t="s">
        <v>165</v>
      </c>
      <c r="G121" s="20" t="s">
        <v>110</v>
      </c>
      <c r="H121" s="22"/>
      <c r="I121" s="23">
        <v>298</v>
      </c>
      <c r="J121" s="19">
        <f>357*9807000</f>
        <v>3501099000</v>
      </c>
      <c r="K121" s="19">
        <f>3*9807000</f>
        <v>29421000</v>
      </c>
      <c r="L121" s="20" t="s">
        <v>47</v>
      </c>
      <c r="M121" s="20" t="s">
        <v>133</v>
      </c>
      <c r="N121" s="26" t="s">
        <v>134</v>
      </c>
    </row>
    <row r="122" spans="1:14">
      <c r="A122" s="3">
        <v>123</v>
      </c>
      <c r="B122" s="48" t="s">
        <v>197</v>
      </c>
      <c r="C122" s="49" t="s">
        <v>199</v>
      </c>
      <c r="D122" s="3" t="s">
        <v>108</v>
      </c>
      <c r="E122" s="48" t="s">
        <v>201</v>
      </c>
      <c r="F122" s="31" t="s">
        <v>165</v>
      </c>
      <c r="G122" s="20" t="s">
        <v>110</v>
      </c>
      <c r="H122" s="22"/>
      <c r="I122" s="23">
        <v>298</v>
      </c>
      <c r="J122" s="19">
        <f>457*9807000</f>
        <v>4481799000</v>
      </c>
      <c r="K122" s="19">
        <f>13*9807000</f>
        <v>127491000</v>
      </c>
      <c r="L122" s="20" t="s">
        <v>47</v>
      </c>
      <c r="M122" s="20" t="s">
        <v>133</v>
      </c>
      <c r="N122" s="26" t="s">
        <v>134</v>
      </c>
    </row>
    <row r="123" spans="1:14">
      <c r="A123" s="3">
        <v>124</v>
      </c>
      <c r="B123" s="48" t="s">
        <v>198</v>
      </c>
      <c r="C123" s="49" t="s">
        <v>200</v>
      </c>
      <c r="D123" s="3" t="s">
        <v>108</v>
      </c>
      <c r="E123" s="48" t="s">
        <v>201</v>
      </c>
      <c r="F123" s="31" t="s">
        <v>165</v>
      </c>
      <c r="G123" s="20" t="s">
        <v>110</v>
      </c>
      <c r="H123" s="22"/>
      <c r="I123" s="23">
        <v>298</v>
      </c>
      <c r="J123" s="19">
        <f>414*9807000</f>
        <v>4060098000</v>
      </c>
      <c r="K123" s="19">
        <f>8*9807000</f>
        <v>78456000</v>
      </c>
      <c r="L123" s="20" t="s">
        <v>47</v>
      </c>
      <c r="M123" s="20" t="s">
        <v>133</v>
      </c>
      <c r="N123" s="26" t="s">
        <v>134</v>
      </c>
    </row>
    <row r="124" spans="1:14">
      <c r="A124" s="3">
        <v>125</v>
      </c>
      <c r="B124" s="48" t="s">
        <v>202</v>
      </c>
      <c r="C124" s="49" t="s">
        <v>206</v>
      </c>
      <c r="D124" s="49" t="s">
        <v>208</v>
      </c>
      <c r="E124" s="20"/>
      <c r="F124" s="31" t="s">
        <v>165</v>
      </c>
      <c r="G124" s="20" t="s">
        <v>110</v>
      </c>
      <c r="H124" s="22"/>
      <c r="I124" s="23">
        <v>298</v>
      </c>
      <c r="J124" s="19">
        <v>1569000000</v>
      </c>
      <c r="K124" s="19">
        <f>4*9807000</f>
        <v>39228000</v>
      </c>
      <c r="L124" s="20" t="s">
        <v>47</v>
      </c>
      <c r="M124" s="37" t="s">
        <v>136</v>
      </c>
      <c r="N124" s="35" t="s">
        <v>150</v>
      </c>
    </row>
    <row r="125" spans="1:14">
      <c r="A125" s="3">
        <v>126</v>
      </c>
      <c r="B125" s="48" t="s">
        <v>203</v>
      </c>
      <c r="C125" s="49" t="s">
        <v>206</v>
      </c>
      <c r="D125" s="49" t="s">
        <v>208</v>
      </c>
      <c r="E125" s="20"/>
      <c r="F125" s="31" t="s">
        <v>165</v>
      </c>
      <c r="G125" s="20" t="s">
        <v>110</v>
      </c>
      <c r="H125" s="22"/>
      <c r="I125" s="23">
        <v>298</v>
      </c>
      <c r="J125" s="19">
        <v>1667000000</v>
      </c>
      <c r="K125" s="19">
        <f>4*9807000</f>
        <v>39228000</v>
      </c>
      <c r="L125" s="20" t="s">
        <v>47</v>
      </c>
      <c r="M125" s="37" t="s">
        <v>136</v>
      </c>
      <c r="N125" s="35" t="s">
        <v>150</v>
      </c>
    </row>
    <row r="126" spans="1:14">
      <c r="A126" s="3">
        <v>127</v>
      </c>
      <c r="B126" s="48" t="s">
        <v>204</v>
      </c>
      <c r="C126" s="49" t="s">
        <v>207</v>
      </c>
      <c r="D126" s="49" t="s">
        <v>208</v>
      </c>
      <c r="E126" s="20"/>
      <c r="F126" s="31" t="s">
        <v>165</v>
      </c>
      <c r="G126" s="20" t="s">
        <v>110</v>
      </c>
      <c r="H126" s="22"/>
      <c r="I126" s="23">
        <v>298</v>
      </c>
      <c r="J126" s="19">
        <v>5139000000</v>
      </c>
      <c r="K126" s="19">
        <f>15*9807000</f>
        <v>147105000</v>
      </c>
      <c r="L126" s="20" t="s">
        <v>47</v>
      </c>
      <c r="M126" s="37" t="s">
        <v>136</v>
      </c>
      <c r="N126" s="35" t="s">
        <v>150</v>
      </c>
    </row>
    <row r="127" spans="1:14">
      <c r="A127" s="3">
        <v>128</v>
      </c>
      <c r="B127" s="48" t="s">
        <v>205</v>
      </c>
      <c r="C127" s="49" t="s">
        <v>207</v>
      </c>
      <c r="D127" s="49" t="s">
        <v>208</v>
      </c>
      <c r="E127" s="20"/>
      <c r="F127" s="31" t="s">
        <v>165</v>
      </c>
      <c r="G127" s="20" t="s">
        <v>110</v>
      </c>
      <c r="H127" s="22"/>
      <c r="I127" s="23">
        <v>298</v>
      </c>
      <c r="J127" s="19">
        <v>6375000000</v>
      </c>
      <c r="K127" s="19">
        <f>27*9807000</f>
        <v>264789000</v>
      </c>
      <c r="L127" s="37" t="s">
        <v>47</v>
      </c>
      <c r="M127" s="37" t="s">
        <v>136</v>
      </c>
      <c r="N127" s="35" t="s">
        <v>150</v>
      </c>
    </row>
    <row r="128" spans="1:14">
      <c r="A128" s="3">
        <v>129</v>
      </c>
      <c r="B128" s="48" t="s">
        <v>202</v>
      </c>
      <c r="C128" s="49" t="s">
        <v>206</v>
      </c>
      <c r="D128" s="49" t="s">
        <v>209</v>
      </c>
      <c r="E128" s="48" t="s">
        <v>210</v>
      </c>
      <c r="F128" s="31" t="s">
        <v>165</v>
      </c>
      <c r="G128" s="20" t="s">
        <v>110</v>
      </c>
      <c r="H128" s="22"/>
      <c r="I128" s="23">
        <v>298</v>
      </c>
      <c r="J128" s="19">
        <v>1314000000</v>
      </c>
      <c r="K128" s="19">
        <f>4*9807000</f>
        <v>39228000</v>
      </c>
      <c r="L128" s="20" t="s">
        <v>47</v>
      </c>
      <c r="M128" s="37" t="s">
        <v>136</v>
      </c>
      <c r="N128" s="35" t="s">
        <v>150</v>
      </c>
    </row>
    <row r="129" spans="1:14">
      <c r="A129" s="3">
        <v>130</v>
      </c>
      <c r="B129" s="48" t="s">
        <v>203</v>
      </c>
      <c r="C129" s="49" t="s">
        <v>206</v>
      </c>
      <c r="D129" s="49" t="s">
        <v>209</v>
      </c>
      <c r="E129" s="48" t="s">
        <v>210</v>
      </c>
      <c r="F129" s="31" t="s">
        <v>165</v>
      </c>
      <c r="G129" s="20" t="s">
        <v>110</v>
      </c>
      <c r="H129" s="22"/>
      <c r="I129" s="23">
        <v>298</v>
      </c>
      <c r="J129" s="19">
        <v>1324000000</v>
      </c>
      <c r="K129" s="19">
        <f>2*9807000</f>
        <v>19614000</v>
      </c>
      <c r="L129" s="37" t="s">
        <v>47</v>
      </c>
      <c r="M129" s="37" t="s">
        <v>136</v>
      </c>
      <c r="N129" s="35" t="s">
        <v>150</v>
      </c>
    </row>
    <row r="130" spans="1:14">
      <c r="A130" s="3">
        <v>131</v>
      </c>
      <c r="B130" s="48" t="s">
        <v>204</v>
      </c>
      <c r="C130" s="49" t="s">
        <v>207</v>
      </c>
      <c r="D130" s="49" t="s">
        <v>209</v>
      </c>
      <c r="E130" s="48" t="s">
        <v>210</v>
      </c>
      <c r="F130" s="31" t="s">
        <v>165</v>
      </c>
      <c r="G130" s="20" t="s">
        <v>110</v>
      </c>
      <c r="H130" s="22"/>
      <c r="I130" s="23">
        <v>298</v>
      </c>
      <c r="J130" s="19">
        <v>5757000000</v>
      </c>
      <c r="K130" s="19">
        <f>17*9807000</f>
        <v>166719000</v>
      </c>
      <c r="L130" s="20" t="s">
        <v>47</v>
      </c>
      <c r="M130" s="37" t="s">
        <v>136</v>
      </c>
      <c r="N130" s="35" t="s">
        <v>150</v>
      </c>
    </row>
    <row r="131" spans="1:14">
      <c r="A131" s="3">
        <v>132</v>
      </c>
      <c r="B131" s="48" t="s">
        <v>205</v>
      </c>
      <c r="C131" s="49" t="s">
        <v>207</v>
      </c>
      <c r="D131" s="49" t="s">
        <v>209</v>
      </c>
      <c r="E131" s="48" t="s">
        <v>210</v>
      </c>
      <c r="F131" s="31" t="s">
        <v>165</v>
      </c>
      <c r="G131" s="20" t="s">
        <v>110</v>
      </c>
      <c r="H131" s="22"/>
      <c r="I131" s="23">
        <v>298</v>
      </c>
      <c r="J131" s="19">
        <v>6237000000</v>
      </c>
      <c r="K131" s="19">
        <f>23*9807000</f>
        <v>225561000</v>
      </c>
      <c r="L131" s="37" t="s">
        <v>47</v>
      </c>
      <c r="M131" s="37" t="s">
        <v>136</v>
      </c>
      <c r="N131" s="35" t="s">
        <v>150</v>
      </c>
    </row>
    <row r="132" spans="1:14">
      <c r="A132" s="3">
        <v>133</v>
      </c>
      <c r="B132" s="20" t="s">
        <v>100</v>
      </c>
      <c r="E132" s="20"/>
      <c r="F132" s="31" t="s">
        <v>165</v>
      </c>
      <c r="G132" s="20" t="s">
        <v>110</v>
      </c>
      <c r="H132" s="22"/>
      <c r="I132" s="23"/>
      <c r="J132" s="19">
        <f>940*9807000</f>
        <v>9218580000</v>
      </c>
      <c r="K132" s="19"/>
      <c r="L132" s="20" t="s">
        <v>47</v>
      </c>
      <c r="M132" s="20"/>
      <c r="N132" s="30" t="s">
        <v>135</v>
      </c>
    </row>
    <row r="133" spans="1:14">
      <c r="A133" s="3">
        <v>134</v>
      </c>
      <c r="B133" s="31" t="s">
        <v>151</v>
      </c>
      <c r="C133" s="3" t="s">
        <v>109</v>
      </c>
      <c r="E133" s="20"/>
      <c r="F133" s="31" t="s">
        <v>165</v>
      </c>
      <c r="G133" s="20" t="s">
        <v>110</v>
      </c>
      <c r="H133" s="22"/>
      <c r="I133" s="23"/>
      <c r="J133" s="19">
        <v>1360000000000</v>
      </c>
      <c r="K133" s="19"/>
      <c r="L133" s="20" t="s">
        <v>47</v>
      </c>
      <c r="M133" s="20" t="s">
        <v>136</v>
      </c>
      <c r="N133" s="30" t="s">
        <v>137</v>
      </c>
    </row>
    <row r="134" spans="1:14">
      <c r="A134" s="3">
        <v>135</v>
      </c>
      <c r="B134" s="31" t="s">
        <v>158</v>
      </c>
      <c r="C134" s="49" t="s">
        <v>105</v>
      </c>
      <c r="D134" s="36" t="s">
        <v>164</v>
      </c>
      <c r="E134" s="50" t="s">
        <v>186</v>
      </c>
      <c r="F134" s="31" t="s">
        <v>165</v>
      </c>
      <c r="G134" s="20" t="s">
        <v>110</v>
      </c>
      <c r="H134" s="22"/>
      <c r="I134" s="3">
        <v>298</v>
      </c>
      <c r="J134" s="19">
        <f>341*9807000</f>
        <v>3344187000</v>
      </c>
      <c r="K134" s="19"/>
      <c r="L134" s="20" t="s">
        <v>47</v>
      </c>
      <c r="M134" s="20" t="s">
        <v>116</v>
      </c>
      <c r="N134" s="28" t="s">
        <v>138</v>
      </c>
    </row>
    <row r="135" spans="1:14">
      <c r="A135" s="3">
        <v>136</v>
      </c>
      <c r="B135" s="31" t="s">
        <v>159</v>
      </c>
      <c r="C135" s="49" t="s">
        <v>105</v>
      </c>
      <c r="D135" s="36" t="s">
        <v>164</v>
      </c>
      <c r="E135" s="50" t="s">
        <v>186</v>
      </c>
      <c r="F135" s="31" t="s">
        <v>165</v>
      </c>
      <c r="G135" s="20" t="s">
        <v>110</v>
      </c>
      <c r="H135" s="22"/>
      <c r="I135" s="3">
        <v>298</v>
      </c>
      <c r="J135" s="19">
        <f>338*9807000</f>
        <v>3314766000</v>
      </c>
      <c r="K135" s="19"/>
      <c r="L135" s="20" t="s">
        <v>47</v>
      </c>
      <c r="M135" s="20" t="s">
        <v>116</v>
      </c>
      <c r="N135" s="28" t="s">
        <v>138</v>
      </c>
    </row>
    <row r="136" spans="1:14">
      <c r="A136" s="3">
        <v>137</v>
      </c>
      <c r="B136" s="31" t="s">
        <v>160</v>
      </c>
      <c r="C136" s="49" t="s">
        <v>105</v>
      </c>
      <c r="D136" s="36" t="s">
        <v>164</v>
      </c>
      <c r="E136" s="50" t="s">
        <v>186</v>
      </c>
      <c r="F136" s="31" t="s">
        <v>165</v>
      </c>
      <c r="G136" s="20" t="s">
        <v>110</v>
      </c>
      <c r="H136" s="22"/>
      <c r="I136" s="3">
        <v>298</v>
      </c>
      <c r="J136" s="19">
        <f>340*9807000</f>
        <v>3334380000</v>
      </c>
      <c r="K136" s="19"/>
      <c r="L136" s="20" t="s">
        <v>47</v>
      </c>
      <c r="M136" s="20" t="s">
        <v>116</v>
      </c>
      <c r="N136" s="28" t="s">
        <v>138</v>
      </c>
    </row>
    <row r="137" spans="1:14">
      <c r="A137" s="3">
        <v>138</v>
      </c>
      <c r="B137" s="31" t="s">
        <v>161</v>
      </c>
      <c r="C137" s="49" t="s">
        <v>105</v>
      </c>
      <c r="D137" s="36" t="s">
        <v>164</v>
      </c>
      <c r="E137" s="50" t="s">
        <v>186</v>
      </c>
      <c r="F137" s="31" t="s">
        <v>165</v>
      </c>
      <c r="G137" s="20" t="s">
        <v>110</v>
      </c>
      <c r="H137" s="22"/>
      <c r="I137" s="3">
        <v>298</v>
      </c>
      <c r="J137" s="19">
        <f>345*9807000</f>
        <v>3383415000</v>
      </c>
      <c r="K137" s="19"/>
      <c r="L137" s="20" t="s">
        <v>47</v>
      </c>
      <c r="M137" s="20" t="s">
        <v>116</v>
      </c>
      <c r="N137" s="28" t="s">
        <v>138</v>
      </c>
    </row>
    <row r="138" spans="1:14">
      <c r="A138" s="3">
        <v>139</v>
      </c>
      <c r="B138" s="31" t="s">
        <v>158</v>
      </c>
      <c r="C138" s="49" t="s">
        <v>105</v>
      </c>
      <c r="D138" s="36" t="s">
        <v>164</v>
      </c>
      <c r="E138" s="50" t="s">
        <v>187</v>
      </c>
      <c r="F138" s="31" t="s">
        <v>165</v>
      </c>
      <c r="G138" s="20" t="s">
        <v>110</v>
      </c>
      <c r="H138" s="22"/>
      <c r="I138" s="3">
        <v>298</v>
      </c>
      <c r="J138" s="19">
        <f>334*9807000</f>
        <v>3275538000</v>
      </c>
      <c r="K138" s="19"/>
      <c r="L138" s="20" t="s">
        <v>47</v>
      </c>
      <c r="M138" s="20" t="s">
        <v>116</v>
      </c>
      <c r="N138" s="28" t="s">
        <v>138</v>
      </c>
    </row>
    <row r="139" spans="1:14">
      <c r="A139" s="3">
        <v>140</v>
      </c>
      <c r="B139" s="31" t="s">
        <v>159</v>
      </c>
      <c r="C139" s="49" t="s">
        <v>105</v>
      </c>
      <c r="D139" s="36" t="s">
        <v>164</v>
      </c>
      <c r="E139" s="50" t="s">
        <v>187</v>
      </c>
      <c r="F139" s="31" t="s">
        <v>165</v>
      </c>
      <c r="G139" s="20" t="s">
        <v>110</v>
      </c>
      <c r="H139" s="22"/>
      <c r="I139" s="3">
        <v>298</v>
      </c>
      <c r="J139" s="19">
        <f>340*9807000</f>
        <v>3334380000</v>
      </c>
      <c r="K139" s="19"/>
      <c r="L139" s="20" t="s">
        <v>47</v>
      </c>
      <c r="M139" s="20" t="s">
        <v>116</v>
      </c>
      <c r="N139" s="28" t="s">
        <v>138</v>
      </c>
    </row>
    <row r="140" spans="1:14">
      <c r="A140" s="3">
        <v>141</v>
      </c>
      <c r="B140" s="31" t="s">
        <v>160</v>
      </c>
      <c r="C140" s="49" t="s">
        <v>105</v>
      </c>
      <c r="D140" s="36" t="s">
        <v>164</v>
      </c>
      <c r="E140" s="50" t="s">
        <v>187</v>
      </c>
      <c r="F140" s="31" t="s">
        <v>165</v>
      </c>
      <c r="G140" s="20" t="s">
        <v>110</v>
      </c>
      <c r="H140" s="22"/>
      <c r="I140" s="3">
        <v>298</v>
      </c>
      <c r="J140" s="19">
        <f>340*9807000</f>
        <v>3334380000</v>
      </c>
      <c r="K140" s="19"/>
      <c r="L140" s="20" t="s">
        <v>47</v>
      </c>
      <c r="M140" s="20" t="s">
        <v>116</v>
      </c>
      <c r="N140" s="28" t="s">
        <v>138</v>
      </c>
    </row>
    <row r="141" spans="1:14">
      <c r="A141" s="3">
        <v>142</v>
      </c>
      <c r="B141" s="31" t="s">
        <v>161</v>
      </c>
      <c r="C141" s="49" t="s">
        <v>105</v>
      </c>
      <c r="D141" s="36" t="s">
        <v>164</v>
      </c>
      <c r="E141" s="50" t="s">
        <v>187</v>
      </c>
      <c r="F141" s="31" t="s">
        <v>165</v>
      </c>
      <c r="G141" s="20" t="s">
        <v>110</v>
      </c>
      <c r="H141" s="22"/>
      <c r="I141" s="3">
        <v>298</v>
      </c>
      <c r="J141" s="19">
        <f>331*9807000</f>
        <v>3246117000</v>
      </c>
      <c r="K141" s="19"/>
      <c r="L141" s="20" t="s">
        <v>47</v>
      </c>
      <c r="M141" s="20" t="s">
        <v>116</v>
      </c>
      <c r="N141" s="28" t="s">
        <v>138</v>
      </c>
    </row>
    <row r="142" spans="1:14">
      <c r="A142" s="3">
        <v>143</v>
      </c>
      <c r="B142" s="48" t="s">
        <v>212</v>
      </c>
      <c r="C142" s="49" t="s">
        <v>105</v>
      </c>
      <c r="D142" s="49" t="s">
        <v>213</v>
      </c>
      <c r="F142" s="31" t="s">
        <v>165</v>
      </c>
      <c r="G142" s="20" t="s">
        <v>110</v>
      </c>
      <c r="H142" s="22"/>
      <c r="I142" s="3">
        <v>298</v>
      </c>
      <c r="J142" s="19">
        <f>459*9807000</f>
        <v>4501413000</v>
      </c>
      <c r="K142" s="19"/>
      <c r="L142" s="20" t="s">
        <v>47</v>
      </c>
      <c r="M142" s="20" t="s">
        <v>139</v>
      </c>
      <c r="N142" s="30" t="s">
        <v>140</v>
      </c>
    </row>
    <row r="143" spans="1:14">
      <c r="A143" s="3">
        <v>144</v>
      </c>
      <c r="B143" s="48" t="s">
        <v>212</v>
      </c>
      <c r="C143" s="49" t="s">
        <v>105</v>
      </c>
      <c r="D143" s="49" t="s">
        <v>214</v>
      </c>
      <c r="E143" s="48" t="s">
        <v>215</v>
      </c>
      <c r="F143" s="31" t="s">
        <v>165</v>
      </c>
      <c r="G143" s="20" t="s">
        <v>110</v>
      </c>
      <c r="H143" s="22"/>
      <c r="I143" s="3">
        <v>298</v>
      </c>
      <c r="J143" s="19">
        <f>487*9807000</f>
        <v>4776009000</v>
      </c>
      <c r="K143" s="19"/>
      <c r="L143" s="20" t="s">
        <v>47</v>
      </c>
      <c r="M143" s="20" t="s">
        <v>139</v>
      </c>
      <c r="N143" s="30" t="s">
        <v>140</v>
      </c>
    </row>
    <row r="144" spans="1:14">
      <c r="A144" s="3">
        <v>145</v>
      </c>
      <c r="B144" s="48" t="s">
        <v>212</v>
      </c>
      <c r="C144" s="49" t="s">
        <v>105</v>
      </c>
      <c r="D144" s="49" t="s">
        <v>216</v>
      </c>
      <c r="E144" s="48" t="s">
        <v>217</v>
      </c>
      <c r="F144" s="31" t="s">
        <v>165</v>
      </c>
      <c r="G144" s="20" t="s">
        <v>110</v>
      </c>
      <c r="H144" s="22"/>
      <c r="I144" s="3">
        <v>298</v>
      </c>
      <c r="J144" s="19">
        <f>456*9807000</f>
        <v>4471992000</v>
      </c>
      <c r="K144" s="19"/>
      <c r="L144" s="20" t="s">
        <v>47</v>
      </c>
      <c r="M144" s="20" t="s">
        <v>139</v>
      </c>
      <c r="N144" s="30" t="s">
        <v>140</v>
      </c>
    </row>
    <row r="145" spans="1:14">
      <c r="A145" s="3">
        <v>146</v>
      </c>
      <c r="B145" s="48" t="s">
        <v>212</v>
      </c>
      <c r="C145" s="49" t="s">
        <v>105</v>
      </c>
      <c r="D145" s="49" t="s">
        <v>216</v>
      </c>
      <c r="E145" s="48" t="s">
        <v>218</v>
      </c>
      <c r="F145" s="31" t="s">
        <v>165</v>
      </c>
      <c r="G145" s="20" t="s">
        <v>110</v>
      </c>
      <c r="H145" s="22"/>
      <c r="I145" s="3">
        <v>298</v>
      </c>
      <c r="J145" s="19">
        <f>516*9807000</f>
        <v>5060412000</v>
      </c>
      <c r="K145" s="19"/>
      <c r="L145" s="20" t="s">
        <v>47</v>
      </c>
      <c r="M145" s="20" t="s">
        <v>139</v>
      </c>
      <c r="N145" s="30" t="s">
        <v>140</v>
      </c>
    </row>
    <row r="146" spans="1:14">
      <c r="A146" s="3">
        <v>147</v>
      </c>
      <c r="B146" s="48" t="s">
        <v>211</v>
      </c>
      <c r="C146" s="49" t="s">
        <v>105</v>
      </c>
      <c r="D146" s="49" t="s">
        <v>213</v>
      </c>
      <c r="F146" s="31" t="s">
        <v>165</v>
      </c>
      <c r="G146" s="20" t="s">
        <v>110</v>
      </c>
      <c r="H146" s="22"/>
      <c r="I146" s="3">
        <v>298</v>
      </c>
      <c r="J146" s="19">
        <f>445*9807000</f>
        <v>4364115000</v>
      </c>
      <c r="K146" s="19"/>
      <c r="L146" s="20" t="s">
        <v>47</v>
      </c>
      <c r="M146" s="20" t="s">
        <v>139</v>
      </c>
      <c r="N146" s="30" t="s">
        <v>140</v>
      </c>
    </row>
    <row r="147" spans="1:14">
      <c r="A147" s="3">
        <v>148</v>
      </c>
      <c r="B147" s="48" t="s">
        <v>211</v>
      </c>
      <c r="C147" s="49" t="s">
        <v>105</v>
      </c>
      <c r="D147" s="49" t="s">
        <v>214</v>
      </c>
      <c r="E147" s="48" t="s">
        <v>215</v>
      </c>
      <c r="F147" s="31" t="s">
        <v>165</v>
      </c>
      <c r="G147" s="20" t="s">
        <v>110</v>
      </c>
      <c r="H147" s="22"/>
      <c r="I147" s="3">
        <v>298</v>
      </c>
      <c r="J147" s="19">
        <f>459*9807000</f>
        <v>4501413000</v>
      </c>
      <c r="K147" s="19"/>
      <c r="L147" s="20" t="s">
        <v>47</v>
      </c>
      <c r="M147" s="20" t="s">
        <v>139</v>
      </c>
      <c r="N147" s="30" t="s">
        <v>140</v>
      </c>
    </row>
    <row r="148" spans="1:14">
      <c r="A148" s="3">
        <v>149</v>
      </c>
      <c r="B148" s="48" t="s">
        <v>211</v>
      </c>
      <c r="C148" s="49" t="s">
        <v>105</v>
      </c>
      <c r="D148" s="49" t="s">
        <v>216</v>
      </c>
      <c r="E148" s="48" t="s">
        <v>217</v>
      </c>
      <c r="F148" s="31" t="s">
        <v>165</v>
      </c>
      <c r="G148" s="20" t="s">
        <v>110</v>
      </c>
      <c r="H148" s="22"/>
      <c r="I148" s="3">
        <v>298</v>
      </c>
      <c r="J148" s="19">
        <f>459*9807000</f>
        <v>4501413000</v>
      </c>
      <c r="K148" s="19"/>
      <c r="L148" s="20" t="s">
        <v>47</v>
      </c>
      <c r="M148" s="20" t="s">
        <v>139</v>
      </c>
      <c r="N148" s="30" t="s">
        <v>140</v>
      </c>
    </row>
    <row r="149" spans="1:14">
      <c r="A149" s="3">
        <v>150</v>
      </c>
      <c r="B149" s="48" t="s">
        <v>211</v>
      </c>
      <c r="C149" s="49" t="s">
        <v>105</v>
      </c>
      <c r="D149" s="49" t="s">
        <v>216</v>
      </c>
      <c r="E149" s="48" t="s">
        <v>218</v>
      </c>
      <c r="F149" s="31" t="s">
        <v>165</v>
      </c>
      <c r="G149" s="20" t="s">
        <v>110</v>
      </c>
      <c r="H149" s="22"/>
      <c r="I149" s="3">
        <v>298</v>
      </c>
      <c r="J149" s="19">
        <f>522*9807000</f>
        <v>5119254000</v>
      </c>
      <c r="K149" s="19"/>
      <c r="L149" s="20" t="s">
        <v>47</v>
      </c>
      <c r="M149" s="20" t="s">
        <v>139</v>
      </c>
      <c r="N149" s="30" t="s">
        <v>140</v>
      </c>
    </row>
    <row r="150" spans="1:14">
      <c r="A150" s="3">
        <v>151</v>
      </c>
      <c r="B150" s="20" t="s">
        <v>101</v>
      </c>
      <c r="C150" s="3" t="s">
        <v>105</v>
      </c>
      <c r="E150" s="20"/>
      <c r="F150" s="31" t="s">
        <v>165</v>
      </c>
      <c r="G150" s="20" t="s">
        <v>110</v>
      </c>
      <c r="H150" s="22"/>
      <c r="I150" s="23"/>
      <c r="J150" s="19">
        <f>960*9807000</f>
        <v>9414720000</v>
      </c>
      <c r="K150" s="19"/>
      <c r="L150" s="20" t="s">
        <v>47</v>
      </c>
      <c r="M150" s="20" t="s">
        <v>139</v>
      </c>
      <c r="N150" s="30" t="s">
        <v>141</v>
      </c>
    </row>
    <row r="151" spans="1:14">
      <c r="A151" s="3">
        <v>152</v>
      </c>
      <c r="B151" s="20" t="s">
        <v>102</v>
      </c>
      <c r="C151" s="3" t="s">
        <v>105</v>
      </c>
      <c r="E151" s="20"/>
      <c r="F151" s="31" t="s">
        <v>165</v>
      </c>
      <c r="G151" s="20" t="s">
        <v>110</v>
      </c>
      <c r="H151" s="22"/>
      <c r="I151" s="23"/>
      <c r="J151" s="19">
        <f>920*9807000</f>
        <v>9022440000</v>
      </c>
      <c r="K151" s="19"/>
      <c r="L151" s="20" t="s">
        <v>47</v>
      </c>
      <c r="M151" s="20" t="s">
        <v>139</v>
      </c>
      <c r="N151" s="30" t="s">
        <v>141</v>
      </c>
    </row>
    <row r="152" spans="1:14">
      <c r="A152" s="3">
        <v>153</v>
      </c>
      <c r="B152" s="31" t="s">
        <v>143</v>
      </c>
      <c r="C152" s="3" t="s">
        <v>105</v>
      </c>
      <c r="E152" s="20"/>
      <c r="F152" s="31" t="s">
        <v>165</v>
      </c>
      <c r="G152" s="20" t="s">
        <v>110</v>
      </c>
      <c r="H152" s="22"/>
      <c r="I152" s="23"/>
      <c r="J152" s="19">
        <f>830*9807000</f>
        <v>8139810000</v>
      </c>
      <c r="K152" s="19"/>
      <c r="L152" s="20" t="s">
        <v>47</v>
      </c>
      <c r="M152" s="20" t="s">
        <v>139</v>
      </c>
      <c r="N152" s="30" t="s">
        <v>141</v>
      </c>
    </row>
    <row r="153" spans="1:14">
      <c r="A153" s="3">
        <v>154</v>
      </c>
      <c r="B153" s="20" t="s">
        <v>103</v>
      </c>
      <c r="C153" s="3" t="s">
        <v>105</v>
      </c>
      <c r="E153" s="20"/>
      <c r="F153" s="31" t="s">
        <v>165</v>
      </c>
      <c r="G153" s="20" t="s">
        <v>110</v>
      </c>
      <c r="H153" s="22"/>
      <c r="I153" s="23"/>
      <c r="J153" s="19">
        <f>840*9807000</f>
        <v>8237880000</v>
      </c>
      <c r="K153" s="19"/>
      <c r="L153" s="20" t="s">
        <v>47</v>
      </c>
      <c r="M153" s="20" t="s">
        <v>139</v>
      </c>
      <c r="N153" s="30" t="s">
        <v>141</v>
      </c>
    </row>
    <row r="154" spans="1:14">
      <c r="A154" s="3">
        <v>155</v>
      </c>
      <c r="B154" s="20" t="s">
        <v>104</v>
      </c>
      <c r="C154" s="3" t="s">
        <v>105</v>
      </c>
      <c r="E154" s="20"/>
      <c r="F154" s="31" t="s">
        <v>165</v>
      </c>
      <c r="G154" s="20" t="s">
        <v>110</v>
      </c>
      <c r="H154" s="22"/>
      <c r="I154" s="23"/>
      <c r="J154" s="19">
        <f>850*9807000</f>
        <v>8335950000</v>
      </c>
      <c r="K154" s="19"/>
      <c r="L154" s="20" t="s">
        <v>47</v>
      </c>
      <c r="M154" s="20" t="s">
        <v>139</v>
      </c>
      <c r="N154" s="30" t="s">
        <v>141</v>
      </c>
    </row>
    <row r="155" spans="1:14">
      <c r="A155" s="3">
        <v>156</v>
      </c>
      <c r="B155" s="48" t="s">
        <v>219</v>
      </c>
      <c r="C155" s="49" t="s">
        <v>224</v>
      </c>
      <c r="D155" s="49" t="s">
        <v>208</v>
      </c>
      <c r="E155" s="20"/>
      <c r="F155" s="31" t="s">
        <v>165</v>
      </c>
      <c r="G155" s="20" t="s">
        <v>110</v>
      </c>
      <c r="H155" s="51" t="s">
        <v>223</v>
      </c>
      <c r="I155" s="23">
        <v>298</v>
      </c>
      <c r="J155" s="19">
        <f>829*9807000</f>
        <v>8130003000</v>
      </c>
      <c r="K155" s="19">
        <f>1*9807000</f>
        <v>9807000</v>
      </c>
      <c r="L155" s="20" t="s">
        <v>47</v>
      </c>
      <c r="M155" s="20" t="s">
        <v>122</v>
      </c>
      <c r="N155" s="26" t="s">
        <v>142</v>
      </c>
    </row>
    <row r="156" spans="1:14">
      <c r="A156" s="3">
        <v>157</v>
      </c>
      <c r="B156" s="48" t="s">
        <v>219</v>
      </c>
      <c r="C156" s="49" t="s">
        <v>225</v>
      </c>
      <c r="D156" s="49" t="s">
        <v>220</v>
      </c>
      <c r="E156" s="48" t="s">
        <v>221</v>
      </c>
      <c r="F156" s="31" t="s">
        <v>165</v>
      </c>
      <c r="G156" s="20" t="s">
        <v>110</v>
      </c>
      <c r="H156" s="51" t="s">
        <v>223</v>
      </c>
      <c r="I156" s="23">
        <v>298</v>
      </c>
      <c r="J156" s="19">
        <f>920*9807000</f>
        <v>9022440000</v>
      </c>
      <c r="K156" s="19">
        <f>1*9807000</f>
        <v>9807000</v>
      </c>
      <c r="L156" s="20" t="s">
        <v>47</v>
      </c>
      <c r="M156" s="20" t="s">
        <v>122</v>
      </c>
      <c r="N156" s="26" t="s">
        <v>142</v>
      </c>
    </row>
    <row r="157" spans="1:14">
      <c r="A157" s="3">
        <v>158</v>
      </c>
      <c r="B157" s="48" t="s">
        <v>219</v>
      </c>
      <c r="C157" s="49" t="s">
        <v>225</v>
      </c>
      <c r="D157" s="49" t="s">
        <v>220</v>
      </c>
      <c r="E157" s="48" t="s">
        <v>222</v>
      </c>
      <c r="F157" s="31" t="s">
        <v>165</v>
      </c>
      <c r="G157" s="20" t="s">
        <v>110</v>
      </c>
      <c r="H157" s="51" t="s">
        <v>223</v>
      </c>
      <c r="I157" s="23">
        <v>298</v>
      </c>
      <c r="J157" s="19">
        <f>931*9807000</f>
        <v>9130317000</v>
      </c>
      <c r="K157" s="19">
        <f>2*9807000</f>
        <v>19614000</v>
      </c>
      <c r="L157" s="20" t="s">
        <v>47</v>
      </c>
      <c r="M157" s="20" t="s">
        <v>122</v>
      </c>
      <c r="N157" s="26" t="s">
        <v>142</v>
      </c>
    </row>
    <row r="158" spans="1:14">
      <c r="A158" s="3">
        <v>159</v>
      </c>
      <c r="B158" s="48" t="s">
        <v>219</v>
      </c>
      <c r="C158" s="49" t="s">
        <v>225</v>
      </c>
      <c r="D158" s="49" t="s">
        <v>220</v>
      </c>
      <c r="E158" s="48" t="s">
        <v>226</v>
      </c>
      <c r="F158" s="31" t="s">
        <v>165</v>
      </c>
      <c r="G158" s="20" t="s">
        <v>110</v>
      </c>
      <c r="H158" s="51" t="s">
        <v>223</v>
      </c>
      <c r="I158" s="23">
        <v>298</v>
      </c>
      <c r="J158" s="19">
        <f>960*9807000</f>
        <v>9414720000</v>
      </c>
      <c r="K158" s="19">
        <f>2*9807000</f>
        <v>19614000</v>
      </c>
      <c r="L158" s="20" t="s">
        <v>47</v>
      </c>
      <c r="M158" s="20" t="s">
        <v>122</v>
      </c>
      <c r="N158" s="26" t="s">
        <v>142</v>
      </c>
    </row>
    <row r="159" spans="1:14">
      <c r="E159" s="20"/>
      <c r="F159" s="31"/>
      <c r="G159" s="20"/>
      <c r="H159" s="22"/>
      <c r="I159" s="23"/>
      <c r="K159" s="19"/>
      <c r="L159" s="31"/>
      <c r="M159" s="20"/>
    </row>
    <row r="160" spans="1:14">
      <c r="E160" s="20"/>
      <c r="F160" s="31"/>
      <c r="G160" s="20"/>
      <c r="H160" s="22"/>
      <c r="I160" s="23"/>
      <c r="K160" s="19"/>
      <c r="L160" s="31"/>
      <c r="M160" s="20"/>
    </row>
    <row r="161" spans="5:13">
      <c r="E161" s="20"/>
      <c r="F161" s="31"/>
      <c r="G161" s="20"/>
      <c r="H161" s="22"/>
      <c r="I161" s="23"/>
      <c r="K161" s="19"/>
      <c r="L161" s="31"/>
      <c r="M161" s="20"/>
    </row>
    <row r="162" spans="5:13">
      <c r="E162" s="20"/>
      <c r="F162" s="31"/>
      <c r="G162" s="20"/>
      <c r="H162" s="22"/>
      <c r="I162" s="23"/>
      <c r="K162" s="19"/>
      <c r="L162" s="31"/>
      <c r="M162" s="20"/>
    </row>
    <row r="163" spans="5:13">
      <c r="E163" s="20"/>
      <c r="F163" s="31"/>
      <c r="G163" s="20"/>
      <c r="H163" s="22"/>
      <c r="I163" s="23"/>
      <c r="K163" s="19"/>
      <c r="L163" s="31"/>
      <c r="M163" s="20"/>
    </row>
    <row r="164" spans="5:13">
      <c r="E164" s="20"/>
      <c r="F164" s="31"/>
      <c r="G164" s="20"/>
      <c r="H164" s="22"/>
      <c r="I164" s="23"/>
      <c r="K164" s="19"/>
      <c r="L164" s="31"/>
      <c r="M164" s="20"/>
    </row>
    <row r="165" spans="5:13">
      <c r="E165" s="20"/>
      <c r="F165" s="31"/>
      <c r="G165" s="20"/>
      <c r="H165" s="22"/>
      <c r="I165" s="23"/>
      <c r="K165" s="19"/>
      <c r="L165" s="31"/>
      <c r="M165" s="20"/>
    </row>
    <row r="166" spans="5:13">
      <c r="E166" s="20"/>
      <c r="F166" s="31"/>
      <c r="G166" s="20"/>
      <c r="H166" s="22"/>
      <c r="I166" s="23"/>
      <c r="K166" s="19"/>
      <c r="L166" s="31"/>
      <c r="M166" s="20"/>
    </row>
    <row r="167" spans="5:13">
      <c r="E167" s="20"/>
      <c r="F167" s="31"/>
      <c r="G167" s="20"/>
      <c r="H167" s="22"/>
      <c r="I167" s="23"/>
      <c r="K167" s="19"/>
      <c r="L167" s="31"/>
      <c r="M167" s="20"/>
    </row>
    <row r="168" spans="5:13">
      <c r="E168" s="20"/>
      <c r="F168" s="31"/>
      <c r="G168" s="20"/>
      <c r="H168" s="22"/>
      <c r="I168" s="23"/>
      <c r="K168" s="19"/>
      <c r="L168" s="31"/>
      <c r="M168" s="20"/>
    </row>
    <row r="169" spans="5:13">
      <c r="E169" s="20"/>
      <c r="F169" s="31"/>
      <c r="G169" s="20"/>
      <c r="H169" s="22"/>
      <c r="I169" s="23"/>
      <c r="K169" s="19"/>
      <c r="L169" s="31"/>
      <c r="M169" s="20"/>
    </row>
    <row r="170" spans="5:13">
      <c r="E170" s="20"/>
      <c r="F170" s="31"/>
      <c r="G170" s="20"/>
      <c r="H170" s="22"/>
      <c r="I170" s="23"/>
      <c r="K170" s="19"/>
      <c r="L170" s="31"/>
      <c r="M170" s="20"/>
    </row>
    <row r="171" spans="5:13">
      <c r="E171" s="20"/>
      <c r="F171" s="31"/>
      <c r="G171" s="20"/>
      <c r="H171" s="22"/>
      <c r="I171" s="23"/>
      <c r="K171" s="19"/>
      <c r="L171" s="31"/>
      <c r="M171" s="20"/>
    </row>
    <row r="172" spans="5:13">
      <c r="E172" s="20"/>
      <c r="F172" s="31"/>
      <c r="G172" s="20"/>
      <c r="H172" s="22"/>
      <c r="I172" s="23"/>
      <c r="K172" s="19"/>
      <c r="L172" s="31"/>
      <c r="M172" s="20"/>
    </row>
    <row r="173" spans="5:13">
      <c r="E173" s="20"/>
      <c r="F173" s="31"/>
      <c r="G173" s="20"/>
      <c r="H173" s="22"/>
      <c r="I173" s="23"/>
      <c r="K173" s="19"/>
      <c r="L173" s="31"/>
      <c r="M173" s="20"/>
    </row>
    <row r="174" spans="5:13">
      <c r="E174" s="20"/>
      <c r="F174" s="31"/>
      <c r="G174" s="20"/>
      <c r="H174" s="22"/>
      <c r="I174" s="23"/>
      <c r="K174" s="19"/>
      <c r="L174" s="31"/>
      <c r="M174" s="20"/>
    </row>
    <row r="175" spans="5:13">
      <c r="E175" s="20"/>
      <c r="F175" s="31"/>
      <c r="G175" s="20"/>
      <c r="H175" s="22"/>
      <c r="I175" s="23"/>
      <c r="K175" s="19"/>
      <c r="L175" s="31"/>
      <c r="M175" s="20"/>
    </row>
    <row r="176" spans="5:13">
      <c r="E176" s="20"/>
      <c r="F176" s="31"/>
      <c r="G176" s="20"/>
      <c r="H176" s="22"/>
      <c r="I176" s="23"/>
      <c r="K176" s="19"/>
      <c r="L176" s="31"/>
      <c r="M176" s="20"/>
    </row>
    <row r="177" spans="4:13">
      <c r="E177" s="20"/>
      <c r="F177" s="31"/>
      <c r="G177" s="20"/>
      <c r="H177" s="22"/>
      <c r="I177" s="23"/>
      <c r="K177" s="19"/>
      <c r="L177" s="31"/>
      <c r="M177" s="20"/>
    </row>
    <row r="178" spans="4:13">
      <c r="D178" s="22"/>
      <c r="E178" s="20"/>
      <c r="F178" s="32"/>
      <c r="G178" s="20"/>
      <c r="H178" s="22"/>
      <c r="I178" s="23"/>
      <c r="K178" s="19"/>
      <c r="L178" s="31"/>
      <c r="M178" s="20"/>
    </row>
    <row r="179" spans="4:13">
      <c r="D179" s="22"/>
      <c r="E179" s="20"/>
      <c r="F179" s="32"/>
      <c r="G179" s="20"/>
      <c r="H179" s="22"/>
      <c r="I179" s="23"/>
      <c r="K179" s="19"/>
      <c r="L179" s="31"/>
      <c r="M179" s="20"/>
    </row>
    <row r="180" spans="4:13">
      <c r="D180" s="22"/>
      <c r="E180" s="20"/>
      <c r="F180" s="32"/>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A221" s="24"/>
      <c r="B221" s="20"/>
      <c r="C221" s="22"/>
      <c r="D221" s="22"/>
      <c r="E221" s="20"/>
      <c r="F221" s="22"/>
      <c r="G221" s="22"/>
      <c r="H221" s="22"/>
      <c r="I221" s="23"/>
      <c r="J221" s="19"/>
      <c r="K221" s="19"/>
      <c r="L221" s="20"/>
      <c r="M221" s="20"/>
      <c r="N221" s="26"/>
    </row>
    <row r="222" spans="1:14">
      <c r="A222" s="24"/>
      <c r="B222" s="20"/>
      <c r="C222" s="22"/>
      <c r="D222" s="22"/>
      <c r="E222" s="20"/>
      <c r="F222" s="22"/>
      <c r="G222" s="22"/>
      <c r="H222" s="22"/>
      <c r="I222" s="23"/>
      <c r="J222" s="19"/>
      <c r="K222" s="19"/>
      <c r="L222" s="20"/>
      <c r="M222" s="20"/>
    </row>
    <row r="223" spans="1:14">
      <c r="A223" s="24"/>
      <c r="B223" s="20"/>
      <c r="C223" s="22"/>
      <c r="D223" s="22"/>
      <c r="E223" s="20"/>
      <c r="F223" s="22"/>
      <c r="G223" s="22"/>
      <c r="H223" s="22"/>
      <c r="I223" s="23"/>
      <c r="J223" s="19"/>
      <c r="K223" s="19"/>
      <c r="L223" s="20"/>
      <c r="M223" s="20"/>
    </row>
    <row r="224" spans="1:14">
      <c r="A224" s="24"/>
      <c r="B224" s="20"/>
      <c r="C224" s="22"/>
      <c r="D224" s="22"/>
      <c r="E224" s="20"/>
      <c r="F224" s="22"/>
      <c r="G224" s="22"/>
      <c r="H224" s="22"/>
      <c r="I224" s="23"/>
      <c r="J224" s="19"/>
      <c r="K224" s="19"/>
      <c r="L224" s="20"/>
      <c r="M224" s="20"/>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c r="N229" s="26"/>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c r="N237" s="26"/>
    </row>
    <row r="238" spans="1:14">
      <c r="A238" s="24"/>
      <c r="B238" s="20"/>
      <c r="C238" s="22"/>
      <c r="D238" s="22"/>
      <c r="E238" s="20"/>
      <c r="F238" s="22"/>
      <c r="G238" s="22"/>
      <c r="H238" s="22"/>
      <c r="I238" s="23"/>
      <c r="J238" s="19"/>
      <c r="K238" s="19"/>
      <c r="L238" s="20"/>
      <c r="M238" s="20"/>
      <c r="N238" s="26"/>
    </row>
    <row r="239" spans="1:14">
      <c r="A239" s="24"/>
      <c r="B239" s="20"/>
      <c r="C239" s="22"/>
      <c r="D239" s="22"/>
      <c r="E239" s="20"/>
      <c r="F239" s="22"/>
      <c r="G239" s="22"/>
      <c r="H239" s="22"/>
      <c r="I239" s="23"/>
      <c r="J239" s="19"/>
      <c r="K239" s="19"/>
      <c r="L239" s="20"/>
      <c r="M239" s="20"/>
      <c r="N239" s="26"/>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8"/>
    </row>
    <row r="259" spans="1:14">
      <c r="A259" s="24"/>
      <c r="B259" s="20"/>
      <c r="C259" s="22"/>
      <c r="D259" s="22"/>
      <c r="E259" s="20"/>
      <c r="F259" s="22"/>
      <c r="G259" s="22"/>
      <c r="H259" s="22"/>
      <c r="I259" s="23"/>
      <c r="J259" s="19"/>
      <c r="K259" s="19"/>
      <c r="L259" s="20"/>
      <c r="M259" s="20"/>
      <c r="N259" s="28"/>
    </row>
    <row r="260" spans="1:14">
      <c r="A260" s="24"/>
      <c r="B260" s="20"/>
      <c r="C260" s="22"/>
      <c r="D260" s="22"/>
      <c r="E260" s="20"/>
      <c r="F260" s="22"/>
      <c r="G260" s="22"/>
      <c r="H260" s="22"/>
      <c r="I260" s="23"/>
      <c r="J260" s="19"/>
      <c r="K260" s="19"/>
      <c r="L260" s="20"/>
      <c r="M260" s="20"/>
      <c r="N260" s="28"/>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11"/>
      <c r="B266" s="20"/>
      <c r="C266" s="5"/>
      <c r="D266" s="5"/>
      <c r="F266" s="5"/>
      <c r="G266" s="5"/>
      <c r="H266" s="5"/>
      <c r="I266" s="23"/>
      <c r="J266" s="19"/>
      <c r="K266" s="19"/>
      <c r="L266" s="20"/>
      <c r="M266" s="20"/>
      <c r="N266" s="28"/>
    </row>
    <row r="267" spans="1:14">
      <c r="A267" s="11"/>
      <c r="B267" s="20"/>
      <c r="C267" s="5"/>
      <c r="D267" s="5"/>
      <c r="F267" s="5"/>
      <c r="G267" s="5"/>
      <c r="H267" s="5"/>
      <c r="I267" s="23"/>
      <c r="J267" s="19"/>
      <c r="K267" s="19"/>
      <c r="L267" s="20"/>
      <c r="M267" s="20"/>
      <c r="N267" s="28"/>
    </row>
    <row r="268" spans="1:14">
      <c r="A268" s="11"/>
      <c r="B268" s="20"/>
      <c r="C268" s="5"/>
      <c r="D268" s="5"/>
      <c r="F268" s="5"/>
      <c r="G268" s="5"/>
      <c r="H268" s="5"/>
      <c r="I268" s="23"/>
      <c r="J268" s="19"/>
      <c r="K268" s="19"/>
      <c r="L268" s="20"/>
      <c r="M268" s="20"/>
      <c r="N268" s="28"/>
    </row>
    <row r="269" spans="1:14">
      <c r="A269" s="11"/>
      <c r="B269" s="20"/>
      <c r="C269" s="5"/>
      <c r="D269" s="5"/>
      <c r="F269" s="5"/>
      <c r="G269" s="5"/>
      <c r="H269" s="5"/>
      <c r="I269" s="23"/>
      <c r="J269" s="19"/>
      <c r="K269" s="19"/>
      <c r="L269" s="20"/>
      <c r="M269" s="20"/>
      <c r="N269" s="26"/>
    </row>
    <row r="270" spans="1:14">
      <c r="A270" s="11"/>
      <c r="B270" s="20"/>
      <c r="C270" s="5"/>
      <c r="D270" s="5"/>
      <c r="F270" s="5"/>
      <c r="G270" s="5"/>
      <c r="H270" s="5"/>
      <c r="I270" s="23"/>
      <c r="J270" s="19"/>
      <c r="K270" s="19"/>
      <c r="L270" s="20"/>
      <c r="M270" s="20"/>
      <c r="N270" s="26"/>
    </row>
    <row r="271" spans="1:14">
      <c r="A271" s="11"/>
      <c r="B271" s="20"/>
      <c r="C271" s="5"/>
      <c r="D271" s="5"/>
      <c r="F271" s="5"/>
      <c r="G271" s="5"/>
      <c r="H271" s="5"/>
      <c r="I271" s="23"/>
      <c r="J271" s="19"/>
      <c r="K271" s="19"/>
      <c r="L271" s="20"/>
      <c r="M271" s="20"/>
      <c r="N271" s="26"/>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9"/>
    </row>
    <row r="286" spans="1:14">
      <c r="A286" s="11"/>
      <c r="B286" s="20"/>
      <c r="C286" s="5"/>
      <c r="D286" s="5"/>
      <c r="F286" s="5"/>
      <c r="G286" s="5"/>
      <c r="H286" s="5"/>
      <c r="I286" s="23"/>
      <c r="J286" s="19"/>
      <c r="K286" s="19"/>
      <c r="L286" s="20"/>
      <c r="M286" s="20"/>
      <c r="N286" s="29"/>
    </row>
    <row r="287" spans="1:14">
      <c r="A287" s="11"/>
      <c r="B287" s="20"/>
      <c r="C287" s="5"/>
      <c r="D287" s="5"/>
      <c r="F287" s="5"/>
      <c r="G287" s="5"/>
      <c r="H287" s="5"/>
      <c r="I287" s="23"/>
      <c r="J287" s="19"/>
      <c r="K287" s="19"/>
      <c r="L287" s="20"/>
      <c r="M287" s="20"/>
      <c r="N287" s="29"/>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30"/>
    </row>
    <row r="301" spans="1:14">
      <c r="A301" s="11"/>
      <c r="B301" s="20"/>
      <c r="C301" s="5"/>
      <c r="D301" s="5"/>
      <c r="F301" s="5"/>
      <c r="G301" s="5"/>
      <c r="H301" s="5"/>
      <c r="I301" s="23"/>
      <c r="J301" s="19"/>
      <c r="K301" s="19"/>
      <c r="L301" s="20"/>
      <c r="M301" s="20"/>
      <c r="N301" s="30"/>
    </row>
    <row r="302" spans="1:14">
      <c r="A302" s="11"/>
      <c r="B302" s="20"/>
      <c r="C302" s="5"/>
      <c r="D302" s="5"/>
      <c r="F302" s="5"/>
      <c r="G302" s="5"/>
      <c r="H302" s="5"/>
      <c r="I302" s="23"/>
      <c r="J302" s="19"/>
      <c r="K302" s="19"/>
      <c r="L302" s="20"/>
      <c r="M302" s="20"/>
      <c r="N302" s="30"/>
    </row>
    <row r="303" spans="1:14">
      <c r="A303" s="11"/>
      <c r="B303" s="20"/>
      <c r="C303" s="5"/>
      <c r="D303" s="5"/>
      <c r="F303" s="5"/>
      <c r="G303" s="5"/>
      <c r="H303" s="5"/>
      <c r="I303" s="23"/>
      <c r="J303" s="19"/>
      <c r="K303" s="19"/>
      <c r="L303" s="20"/>
      <c r="M303" s="20"/>
      <c r="N303" s="28"/>
    </row>
    <row r="304" spans="1:14">
      <c r="A304" s="11"/>
      <c r="B304" s="20"/>
      <c r="C304" s="5"/>
      <c r="D304" s="5"/>
      <c r="F304" s="5"/>
      <c r="G304" s="5"/>
      <c r="H304" s="5"/>
      <c r="I304" s="23"/>
      <c r="J304" s="19"/>
      <c r="K304" s="19"/>
      <c r="L304" s="20"/>
      <c r="M304" s="20"/>
      <c r="N304" s="28"/>
    </row>
    <row r="305" spans="1:14">
      <c r="A305" s="11"/>
      <c r="B305" s="20"/>
      <c r="C305" s="5"/>
      <c r="D305" s="5"/>
      <c r="F305" s="5"/>
      <c r="G305" s="5"/>
      <c r="H305" s="5"/>
      <c r="I305" s="23"/>
      <c r="J305" s="19"/>
      <c r="K305" s="19"/>
      <c r="L305" s="20"/>
      <c r="M305" s="20"/>
      <c r="N305" s="28"/>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30"/>
    </row>
    <row r="312" spans="1:14">
      <c r="A312" s="11"/>
      <c r="B312" s="20"/>
      <c r="C312" s="5"/>
      <c r="D312" s="5"/>
      <c r="F312" s="5"/>
      <c r="G312" s="5"/>
      <c r="H312" s="5"/>
      <c r="I312" s="23"/>
      <c r="J312" s="19"/>
      <c r="K312" s="19"/>
      <c r="L312" s="20"/>
      <c r="M312" s="20"/>
      <c r="N312" s="30"/>
    </row>
    <row r="313" spans="1:14">
      <c r="B313" s="20"/>
      <c r="C313" s="5"/>
      <c r="D313" s="5"/>
      <c r="F313" s="5"/>
      <c r="G313" s="5"/>
      <c r="H313" s="5"/>
      <c r="I313" s="23"/>
      <c r="J313" s="19"/>
      <c r="K313" s="19"/>
      <c r="L313" s="20"/>
      <c r="M313" s="20"/>
      <c r="N313" s="30"/>
    </row>
    <row r="314" spans="1:14">
      <c r="B314" s="20"/>
      <c r="C314" s="5"/>
      <c r="D314" s="5"/>
      <c r="F314" s="5"/>
      <c r="G314" s="5"/>
      <c r="H314" s="5"/>
      <c r="I314" s="23"/>
      <c r="J314" s="19"/>
      <c r="K314" s="19"/>
      <c r="L314" s="20"/>
      <c r="M314" s="20"/>
      <c r="N314" s="30"/>
    </row>
    <row r="315" spans="1:14">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26"/>
    </row>
    <row r="325" spans="2:14">
      <c r="B325" s="20"/>
      <c r="C325" s="5"/>
      <c r="D325" s="5"/>
      <c r="F325" s="5"/>
      <c r="G325" s="5"/>
      <c r="H325" s="5"/>
      <c r="I325" s="23"/>
      <c r="J325" s="19"/>
      <c r="K325" s="19"/>
      <c r="L325" s="20"/>
      <c r="M325" s="20"/>
      <c r="N325" s="26"/>
    </row>
    <row r="326" spans="2:14">
      <c r="B326" s="20"/>
      <c r="C326" s="5"/>
      <c r="D326" s="5"/>
      <c r="F326" s="5"/>
      <c r="G326" s="5"/>
      <c r="H326" s="5"/>
      <c r="I326" s="23"/>
      <c r="J326" s="19"/>
      <c r="K326" s="19"/>
      <c r="L326" s="20"/>
      <c r="M326" s="20"/>
      <c r="N326" s="26"/>
    </row>
    <row r="327" spans="2:14">
      <c r="B327" s="20"/>
      <c r="C327" s="5"/>
      <c r="D327" s="5"/>
      <c r="F327" s="5"/>
      <c r="G327" s="5"/>
      <c r="H327" s="5"/>
      <c r="I327" s="23"/>
      <c r="J327" s="19"/>
      <c r="K327" s="19"/>
      <c r="L327" s="20"/>
      <c r="M327" s="20"/>
      <c r="N327" s="26"/>
    </row>
    <row r="328" spans="2:14">
      <c r="C328" s="5"/>
      <c r="D328" s="5"/>
      <c r="F328" s="5"/>
      <c r="G328" s="5"/>
      <c r="H328" s="5"/>
      <c r="I328" s="18"/>
      <c r="J328" s="19"/>
      <c r="K328" s="19"/>
      <c r="L328" s="20"/>
      <c r="M328" s="20"/>
      <c r="N328" s="20"/>
    </row>
    <row r="329" spans="2:14">
      <c r="C329" s="5"/>
      <c r="D329" s="5"/>
      <c r="F329" s="5"/>
      <c r="G329" s="5"/>
      <c r="H329" s="5"/>
      <c r="I329" s="18"/>
      <c r="J329" s="19"/>
      <c r="K329" s="19"/>
      <c r="L329" s="20"/>
      <c r="M329" s="20"/>
      <c r="N329" s="20"/>
    </row>
    <row r="330" spans="2:14">
      <c r="C330" s="5"/>
      <c r="D330" s="5"/>
      <c r="F330" s="5"/>
      <c r="G330" s="5"/>
      <c r="H330" s="5"/>
      <c r="I330" s="18"/>
      <c r="J330" s="19"/>
      <c r="K330" s="19"/>
      <c r="L330" s="20"/>
      <c r="M330" s="20"/>
      <c r="N330" s="20"/>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4" r:id="rId34" tooltip="Persistent link using digital object identifier" display="https://doi.org/10.1016/j.jallcom.2013.12.210" xr:uid="{40D0BFA4-26A7-AB49-B4AC-7F69BBE04DBA}"/>
    <hyperlink ref="N125" r:id="rId35" tooltip="Persistent link using digital object identifier" display="https://doi.org/10.1016/j.jallcom.2013.12.210" xr:uid="{F035D85F-3E3C-944D-B994-D6DF456BA947}"/>
    <hyperlink ref="N126" r:id="rId36" tooltip="Persistent link using digital object identifier" display="https://doi.org/10.1016/j.jallcom.2013.12.210" xr:uid="{D15E9247-F3FB-DA4D-BA2F-90D1BA171F67}"/>
    <hyperlink ref="N128" r:id="rId37" tooltip="Persistent link using digital object identifier" display="https://doi.org/10.1016/j.jallcom.2013.12.210" xr:uid="{F489F2C3-9FCB-7749-A957-209996C88122}"/>
    <hyperlink ref="N130" r:id="rId38" tooltip="Persistent link using digital object identifier" display="https://doi.org/10.1016/j.jallcom.2013.12.210" xr:uid="{240582A7-EB47-7E49-8BFC-1E20D9179D29}"/>
    <hyperlink ref="N127" r:id="rId39" tooltip="Persistent link using digital object identifier" display="https://doi.org/10.1016/j.jallcom.2013.12.210" xr:uid="{4277758D-7704-1043-B0F7-DFE0405B8FC0}"/>
    <hyperlink ref="N129" r:id="rId40" tooltip="Persistent link using digital object identifier" display="https://doi.org/10.1016/j.jallcom.2013.12.210" xr:uid="{78AD1C2D-7233-1643-9FA7-DAC9FECDF47D}"/>
    <hyperlink ref="N131"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2024-12-11T12:19:18Z</dcterms:modified>
</cp:coreProperties>
</file>