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kkkkkkkkkkkkkkkkkkkkkkkk\งาน\"/>
    </mc:Choice>
  </mc:AlternateContent>
  <bookViews>
    <workbookView xWindow="0" yWindow="0" windowWidth="28800" windowHeight="12180" activeTab="3"/>
  </bookViews>
  <sheets>
    <sheet name="Sample Template" sheetId="1" r:id="rId1"/>
    <sheet name="Step Formula" sheetId="2" r:id="rId2"/>
    <sheet name="demo" sheetId="3" r:id="rId3"/>
    <sheet name="Sheet1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10" i="3"/>
  <c r="Q11" i="3"/>
  <c r="Q12" i="3"/>
  <c r="Q13" i="3"/>
  <c r="Q4" i="3"/>
  <c r="N5" i="3" l="1"/>
  <c r="AA20" i="3" s="1"/>
  <c r="AO23" i="3" s="1"/>
  <c r="N6" i="3"/>
  <c r="AA21" i="3" s="1"/>
  <c r="N7" i="3"/>
  <c r="AA22" i="3" s="1"/>
  <c r="N8" i="3"/>
  <c r="AA8" i="3" s="1"/>
  <c r="N9" i="3"/>
  <c r="AA9" i="3" s="1"/>
  <c r="N10" i="3"/>
  <c r="AA10" i="3" s="1"/>
  <c r="N11" i="3"/>
  <c r="AA11" i="3" s="1"/>
  <c r="N12" i="3"/>
  <c r="AA12" i="3" s="1"/>
  <c r="N13" i="3"/>
  <c r="AA13" i="3" s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M5" i="3"/>
  <c r="Z5" i="3" s="1"/>
  <c r="M6" i="3"/>
  <c r="Z21" i="3" s="1"/>
  <c r="M7" i="3"/>
  <c r="Z22" i="3" s="1"/>
  <c r="M8" i="3"/>
  <c r="Z8" i="3" s="1"/>
  <c r="M9" i="3"/>
  <c r="Z9" i="3" s="1"/>
  <c r="M10" i="3"/>
  <c r="Z10" i="3" s="1"/>
  <c r="M11" i="3"/>
  <c r="Z11" i="3" s="1"/>
  <c r="M12" i="3"/>
  <c r="Z12" i="3" s="1"/>
  <c r="M13" i="3"/>
  <c r="Z13" i="3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N4" i="3"/>
  <c r="AA4" i="3" s="1"/>
  <c r="M4" i="3"/>
  <c r="Z4" i="3" s="1"/>
  <c r="AO27" i="3" l="1"/>
  <c r="AO26" i="3"/>
  <c r="AN21" i="3"/>
  <c r="AN20" i="3"/>
  <c r="AO25" i="3"/>
  <c r="AO24" i="3"/>
  <c r="AN22" i="3"/>
  <c r="AO28" i="3"/>
  <c r="AA7" i="3"/>
  <c r="AA6" i="3"/>
  <c r="AA5" i="3"/>
  <c r="Z20" i="3"/>
  <c r="Z6" i="3"/>
  <c r="Z7" i="3"/>
  <c r="X5" i="3"/>
  <c r="AJ21" i="3" s="1"/>
  <c r="X6" i="3"/>
  <c r="AJ22" i="3" s="1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W5" i="3"/>
  <c r="AI21" i="3" s="1"/>
  <c r="W6" i="3"/>
  <c r="AI22" i="3" s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X4" i="3"/>
  <c r="AJ20" i="3" s="1"/>
  <c r="W4" i="3"/>
  <c r="AI20" i="3" s="1"/>
  <c r="AT28" i="3"/>
  <c r="AN28" i="3" l="1"/>
  <c r="AN24" i="3"/>
  <c r="AN25" i="3"/>
  <c r="AN26" i="3"/>
  <c r="AM20" i="3"/>
  <c r="AN27" i="3"/>
  <c r="AM21" i="3"/>
  <c r="AM22" i="3"/>
  <c r="AN23" i="3"/>
  <c r="AO38" i="3"/>
  <c r="BI21" i="3"/>
  <c r="AO37" i="3"/>
  <c r="BI20" i="3"/>
  <c r="AO40" i="3"/>
  <c r="AO39" i="3"/>
  <c r="AO36" i="3"/>
  <c r="AO47" i="3"/>
  <c r="AO35" i="3"/>
  <c r="AO46" i="3"/>
  <c r="BJ24" i="3"/>
  <c r="AO45" i="3"/>
  <c r="BJ23" i="3"/>
  <c r="AO44" i="3"/>
  <c r="BI22" i="3"/>
  <c r="AO43" i="3"/>
  <c r="AO42" i="3"/>
  <c r="AO41" i="3"/>
  <c r="AT27" i="3"/>
  <c r="AT26" i="3"/>
  <c r="AT25" i="3"/>
  <c r="AT24" i="3"/>
  <c r="AT23" i="3"/>
  <c r="AS20" i="3"/>
  <c r="AS21" i="3"/>
  <c r="AV38" i="3"/>
  <c r="BB38" i="3" s="1"/>
  <c r="AH22" i="3"/>
  <c r="AH21" i="3"/>
  <c r="AH20" i="3"/>
  <c r="BJ41" i="3" l="1"/>
  <c r="BJ40" i="3"/>
  <c r="BJ39" i="3"/>
  <c r="BJ38" i="3"/>
  <c r="BJ37" i="3"/>
  <c r="BJ36" i="3"/>
  <c r="BJ35" i="3"/>
  <c r="BH22" i="3"/>
  <c r="AN46" i="3"/>
  <c r="BI24" i="3"/>
  <c r="BI23" i="3"/>
  <c r="BH21" i="3"/>
  <c r="AN47" i="3"/>
  <c r="BH20" i="3"/>
  <c r="AN35" i="3"/>
  <c r="AN37" i="3"/>
  <c r="AN40" i="3"/>
  <c r="AN36" i="3"/>
  <c r="AN39" i="3"/>
  <c r="AN38" i="3"/>
  <c r="AN41" i="3"/>
  <c r="AN42" i="3"/>
  <c r="AN43" i="3"/>
  <c r="AN44" i="3"/>
  <c r="AN45" i="3"/>
  <c r="AS22" i="3"/>
  <c r="AE4" i="3"/>
  <c r="BI39" i="3" l="1"/>
  <c r="BI38" i="3"/>
  <c r="BI37" i="3"/>
  <c r="BI36" i="3"/>
  <c r="BI35" i="3"/>
  <c r="BI41" i="3"/>
  <c r="BI40" i="3"/>
  <c r="AD4" i="3"/>
  <c r="T4" i="3"/>
  <c r="S4" i="3"/>
  <c r="R4" i="3"/>
  <c r="P4" i="3"/>
  <c r="O25" i="3"/>
  <c r="O26" i="3"/>
  <c r="O27" i="3"/>
  <c r="O28" i="3"/>
  <c r="O29" i="3"/>
  <c r="O30" i="3"/>
  <c r="O31" i="3"/>
  <c r="O32" i="3"/>
  <c r="O33" i="3"/>
  <c r="O24" i="3"/>
  <c r="O15" i="3"/>
  <c r="O16" i="3"/>
  <c r="O17" i="3"/>
  <c r="O18" i="3"/>
  <c r="O19" i="3"/>
  <c r="O20" i="3"/>
  <c r="O21" i="3"/>
  <c r="O22" i="3"/>
  <c r="O23" i="3"/>
  <c r="O14" i="3"/>
  <c r="O5" i="3"/>
  <c r="O6" i="3"/>
  <c r="O7" i="3"/>
  <c r="O8" i="3"/>
  <c r="AB8" i="3" s="1"/>
  <c r="O9" i="3"/>
  <c r="AB9" i="3" s="1"/>
  <c r="O10" i="3"/>
  <c r="AB10" i="3" s="1"/>
  <c r="O11" i="3"/>
  <c r="AB11" i="3" s="1"/>
  <c r="O12" i="3"/>
  <c r="AB12" i="3" s="1"/>
  <c r="O13" i="3"/>
  <c r="AB13" i="3" s="1"/>
  <c r="O4" i="3"/>
  <c r="AB4" i="3" s="1"/>
  <c r="P25" i="3"/>
  <c r="P26" i="3"/>
  <c r="P27" i="3"/>
  <c r="P28" i="3"/>
  <c r="P29" i="3"/>
  <c r="P30" i="3"/>
  <c r="P31" i="3"/>
  <c r="P32" i="3"/>
  <c r="P33" i="3"/>
  <c r="P24" i="3"/>
  <c r="P15" i="3"/>
  <c r="P16" i="3"/>
  <c r="P17" i="3"/>
  <c r="P18" i="3"/>
  <c r="P19" i="3"/>
  <c r="P20" i="3"/>
  <c r="P21" i="3"/>
  <c r="P22" i="3"/>
  <c r="P23" i="3"/>
  <c r="P14" i="3"/>
  <c r="P5" i="3"/>
  <c r="P6" i="3"/>
  <c r="P7" i="3"/>
  <c r="P8" i="3"/>
  <c r="P9" i="3"/>
  <c r="P10" i="3"/>
  <c r="P11" i="3"/>
  <c r="P12" i="3"/>
  <c r="P13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AE13" i="3"/>
  <c r="AD13" i="3"/>
  <c r="T13" i="3"/>
  <c r="S13" i="3"/>
  <c r="R13" i="3"/>
  <c r="AE12" i="3"/>
  <c r="AD12" i="3"/>
  <c r="T12" i="3"/>
  <c r="S12" i="3"/>
  <c r="R12" i="3"/>
  <c r="AE11" i="3"/>
  <c r="AD11" i="3"/>
  <c r="T11" i="3"/>
  <c r="S11" i="3"/>
  <c r="R11" i="3"/>
  <c r="AE10" i="3"/>
  <c r="AD10" i="3"/>
  <c r="T10" i="3"/>
  <c r="S10" i="3"/>
  <c r="R10" i="3"/>
  <c r="AE9" i="3"/>
  <c r="AD9" i="3"/>
  <c r="T9" i="3"/>
  <c r="S9" i="3"/>
  <c r="R9" i="3"/>
  <c r="AE8" i="3"/>
  <c r="AD8" i="3"/>
  <c r="T8" i="3"/>
  <c r="S8" i="3"/>
  <c r="R8" i="3"/>
  <c r="AE7" i="3"/>
  <c r="AD7" i="3"/>
  <c r="T7" i="3"/>
  <c r="S7" i="3"/>
  <c r="R7" i="3"/>
  <c r="AE6" i="3"/>
  <c r="AD6" i="3"/>
  <c r="T6" i="3"/>
  <c r="S6" i="3"/>
  <c r="R6" i="3"/>
  <c r="AE5" i="3"/>
  <c r="AF4" i="3" s="1"/>
  <c r="AD5" i="3"/>
  <c r="T5" i="3"/>
  <c r="S5" i="3"/>
  <c r="R5" i="3"/>
  <c r="N133" i="1"/>
  <c r="N137" i="1"/>
  <c r="L137" i="1"/>
  <c r="J137" i="1"/>
  <c r="F137" i="1"/>
  <c r="J130" i="1"/>
  <c r="H130" i="1"/>
  <c r="F131" i="1"/>
  <c r="F130" i="1"/>
  <c r="O146" i="1"/>
  <c r="AC21" i="3" l="1"/>
  <c r="AG20" i="3"/>
  <c r="AB7" i="3"/>
  <c r="AB6" i="3"/>
  <c r="AC20" i="3"/>
  <c r="AB5" i="3"/>
  <c r="AC22" i="3"/>
  <c r="V31" i="3"/>
  <c r="U30" i="3"/>
  <c r="U33" i="3"/>
  <c r="U28" i="3"/>
  <c r="AV23" i="3"/>
  <c r="AX23" i="3" s="1"/>
  <c r="AT36" i="3" s="1"/>
  <c r="AG22" i="3"/>
  <c r="AG21" i="3"/>
  <c r="V19" i="3"/>
  <c r="AF20" i="3"/>
  <c r="AF22" i="3"/>
  <c r="AF21" i="3"/>
  <c r="AG4" i="3"/>
  <c r="U27" i="3"/>
  <c r="U13" i="3"/>
  <c r="V15" i="3"/>
  <c r="U15" i="3"/>
  <c r="U14" i="3"/>
  <c r="V17" i="3"/>
  <c r="U31" i="3"/>
  <c r="V4" i="3"/>
  <c r="V11" i="3"/>
  <c r="AF10" i="3"/>
  <c r="AG10" i="3"/>
  <c r="V9" i="3"/>
  <c r="V12" i="3"/>
  <c r="V13" i="3"/>
  <c r="AG6" i="3"/>
  <c r="AF6" i="3"/>
  <c r="V5" i="3"/>
  <c r="U7" i="3"/>
  <c r="AG7" i="3"/>
  <c r="AG5" i="3"/>
  <c r="AG11" i="3"/>
  <c r="AF7" i="3"/>
  <c r="AF5" i="3"/>
  <c r="AF11" i="3"/>
  <c r="AG8" i="3"/>
  <c r="AF8" i="3"/>
  <c r="V7" i="3"/>
  <c r="AF13" i="3"/>
  <c r="U21" i="3"/>
  <c r="AF12" i="3"/>
  <c r="U8" i="3"/>
  <c r="AG12" i="3"/>
  <c r="AG13" i="3"/>
  <c r="V21" i="3"/>
  <c r="V8" i="3"/>
  <c r="U9" i="3"/>
  <c r="V28" i="3"/>
  <c r="U18" i="3"/>
  <c r="U23" i="3"/>
  <c r="U22" i="3"/>
  <c r="U16" i="3"/>
  <c r="U20" i="3"/>
  <c r="U19" i="3"/>
  <c r="U5" i="3"/>
  <c r="U26" i="3"/>
  <c r="V27" i="3"/>
  <c r="U6" i="3"/>
  <c r="U17" i="3"/>
  <c r="V30" i="3"/>
  <c r="V6" i="3"/>
  <c r="AF9" i="3"/>
  <c r="V18" i="3"/>
  <c r="V23" i="3"/>
  <c r="V22" i="3"/>
  <c r="V16" i="3"/>
  <c r="V20" i="3"/>
  <c r="V14" i="3"/>
  <c r="V24" i="3"/>
  <c r="V25" i="3"/>
  <c r="V26" i="3"/>
  <c r="U32" i="3"/>
  <c r="U12" i="3"/>
  <c r="AG9" i="3"/>
  <c r="U11" i="3"/>
  <c r="V33" i="3"/>
  <c r="V32" i="3"/>
  <c r="U10" i="3"/>
  <c r="U29" i="3"/>
  <c r="U4" i="3"/>
  <c r="V10" i="3"/>
  <c r="U24" i="3"/>
  <c r="V29" i="3"/>
  <c r="U25" i="3"/>
  <c r="AO4" i="3" l="1"/>
  <c r="AD20" i="3"/>
  <c r="AP26" i="3"/>
  <c r="AO22" i="3"/>
  <c r="AP27" i="3"/>
  <c r="AO20" i="3"/>
  <c r="AP23" i="3"/>
  <c r="AP28" i="3"/>
  <c r="AP25" i="3"/>
  <c r="AP24" i="3"/>
  <c r="AO21" i="3"/>
  <c r="AV36" i="3"/>
  <c r="BB36" i="3" s="1"/>
  <c r="AE20" i="3"/>
  <c r="AD21" i="3"/>
  <c r="AD22" i="3"/>
  <c r="AE22" i="3"/>
  <c r="AE21" i="3"/>
  <c r="AN4" i="3"/>
  <c r="AN12" i="3"/>
  <c r="AS12" i="3" s="1"/>
  <c r="AN5" i="3"/>
  <c r="AS5" i="3" s="1"/>
  <c r="AN13" i="3"/>
  <c r="AR13" i="3" s="1"/>
  <c r="AN6" i="3"/>
  <c r="AS6" i="3" s="1"/>
  <c r="AN11" i="3"/>
  <c r="AR11" i="3" s="1"/>
  <c r="AN9" i="3"/>
  <c r="AS9" i="3" s="1"/>
  <c r="AN10" i="3"/>
  <c r="AO11" i="3"/>
  <c r="AO8" i="3"/>
  <c r="AO13" i="3"/>
  <c r="AO9" i="3"/>
  <c r="AO6" i="3"/>
  <c r="AO7" i="3"/>
  <c r="AO12" i="3"/>
  <c r="AO10" i="3"/>
  <c r="AO5" i="3"/>
  <c r="AN7" i="3"/>
  <c r="AN8" i="3"/>
  <c r="AS4" i="3" l="1"/>
  <c r="AR4" i="3"/>
  <c r="BJ22" i="3"/>
  <c r="AP36" i="3"/>
  <c r="BJ21" i="3"/>
  <c r="AP47" i="3"/>
  <c r="AP35" i="3"/>
  <c r="BJ20" i="3"/>
  <c r="AP46" i="3"/>
  <c r="AP45" i="3"/>
  <c r="AP44" i="3"/>
  <c r="AP43" i="3"/>
  <c r="AP42" i="3"/>
  <c r="AP41" i="3"/>
  <c r="AP40" i="3"/>
  <c r="AP39" i="3"/>
  <c r="BK24" i="3"/>
  <c r="AP38" i="3"/>
  <c r="BK23" i="3"/>
  <c r="AP37" i="3"/>
  <c r="AR12" i="3"/>
  <c r="AP5" i="3"/>
  <c r="AV28" i="3"/>
  <c r="AV25" i="3"/>
  <c r="AX25" i="3" s="1"/>
  <c r="AU20" i="3"/>
  <c r="AW20" i="3" s="1"/>
  <c r="AV24" i="3"/>
  <c r="AV26" i="3"/>
  <c r="AX26" i="3" s="1"/>
  <c r="AU21" i="3"/>
  <c r="AW21" i="3" s="1"/>
  <c r="AV27" i="3"/>
  <c r="AU22" i="3"/>
  <c r="AW22" i="3" s="1"/>
  <c r="AP8" i="3"/>
  <c r="AP13" i="3"/>
  <c r="AQ11" i="3"/>
  <c r="AQ9" i="3"/>
  <c r="AQ13" i="3"/>
  <c r="AQ10" i="3"/>
  <c r="AQ5" i="3"/>
  <c r="AP11" i="3"/>
  <c r="AP10" i="3"/>
  <c r="AP4" i="3"/>
  <c r="AP7" i="3"/>
  <c r="AQ4" i="3"/>
  <c r="AQ7" i="3"/>
  <c r="AQ8" i="3"/>
  <c r="AP12" i="3"/>
  <c r="AP9" i="3"/>
  <c r="AQ6" i="3"/>
  <c r="AQ12" i="3"/>
  <c r="AP6" i="3"/>
  <c r="AS11" i="3"/>
  <c r="AS13" i="3"/>
  <c r="AR5" i="3"/>
  <c r="AR6" i="3"/>
  <c r="AR9" i="3"/>
  <c r="AS10" i="3"/>
  <c r="AR10" i="3"/>
  <c r="AS8" i="3"/>
  <c r="AR8" i="3"/>
  <c r="AS7" i="3"/>
  <c r="AR7" i="3"/>
  <c r="BK41" i="3" l="1"/>
  <c r="BK40" i="3"/>
  <c r="BK39" i="3"/>
  <c r="BK38" i="3"/>
  <c r="BK37" i="3"/>
  <c r="BK36" i="3"/>
  <c r="BK35" i="3"/>
  <c r="AY20" i="3"/>
  <c r="BA20" i="3" s="1"/>
  <c r="AT39" i="3"/>
  <c r="AY22" i="3"/>
  <c r="BA22" i="3" s="1"/>
  <c r="AT43" i="3"/>
  <c r="AV43" i="3" s="1"/>
  <c r="BB43" i="3" s="1"/>
  <c r="AX27" i="3"/>
  <c r="AZ26" i="3" s="1"/>
  <c r="BB26" i="3" s="1"/>
  <c r="AY21" i="3"/>
  <c r="BA21" i="3" s="1"/>
  <c r="AT45" i="3"/>
  <c r="AT40" i="3"/>
  <c r="AV40" i="3" s="1"/>
  <c r="BB40" i="3" s="1"/>
  <c r="AZ25" i="3" l="1"/>
  <c r="BB25" i="3" s="1"/>
  <c r="AT46" i="3"/>
  <c r="AV46" i="3" s="1"/>
  <c r="BB46" i="3" s="1"/>
  <c r="AV45" i="3"/>
  <c r="BB45" i="3" s="1"/>
  <c r="AT44" i="3"/>
  <c r="BF26" i="3"/>
  <c r="BF42" i="3"/>
  <c r="BF37" i="3"/>
  <c r="BF41" i="3"/>
  <c r="BF40" i="3"/>
  <c r="BF39" i="3"/>
  <c r="BF38" i="3"/>
  <c r="BF43" i="3"/>
  <c r="BF36" i="3"/>
  <c r="BF47" i="3"/>
  <c r="BF35" i="3"/>
  <c r="BF46" i="3"/>
  <c r="BF45" i="3"/>
  <c r="BF44" i="3"/>
  <c r="BE22" i="3"/>
  <c r="BF24" i="3"/>
  <c r="BE21" i="3"/>
  <c r="BF23" i="3"/>
  <c r="BF28" i="3"/>
  <c r="BF25" i="3"/>
  <c r="BE20" i="3"/>
  <c r="BF27" i="3"/>
  <c r="AV39" i="3"/>
  <c r="BB39" i="3" s="1"/>
  <c r="AT37" i="3"/>
  <c r="AT35" i="3" s="1"/>
  <c r="L140" i="1"/>
  <c r="F201" i="2"/>
  <c r="S186" i="2"/>
  <c r="F222" i="2" s="1"/>
  <c r="S184" i="2"/>
  <c r="O184" i="2"/>
  <c r="S183" i="2"/>
  <c r="O183" i="2"/>
  <c r="BW36" i="3" l="1"/>
  <c r="BO36" i="3"/>
  <c r="BQ36" i="3"/>
  <c r="BO23" i="3"/>
  <c r="BS23" i="3"/>
  <c r="BQ23" i="3"/>
  <c r="BU23" i="3"/>
  <c r="BU24" i="3"/>
  <c r="BO24" i="3"/>
  <c r="BS24" i="3"/>
  <c r="BQ24" i="3"/>
  <c r="BW38" i="3"/>
  <c r="BO38" i="3"/>
  <c r="BQ38" i="3"/>
  <c r="BO40" i="3"/>
  <c r="BW40" i="3"/>
  <c r="BQ40" i="3"/>
  <c r="BT22" i="3"/>
  <c r="BN22" i="3"/>
  <c r="BR22" i="3"/>
  <c r="BP22" i="3"/>
  <c r="BO35" i="3"/>
  <c r="AV37" i="3"/>
  <c r="BQ37" i="3" s="1"/>
  <c r="AT42" i="3"/>
  <c r="AV44" i="3"/>
  <c r="BB44" i="3" s="1"/>
  <c r="BP20" i="3"/>
  <c r="BT20" i="3"/>
  <c r="BN20" i="3"/>
  <c r="BR20" i="3"/>
  <c r="BN21" i="3"/>
  <c r="BR21" i="3"/>
  <c r="BP21" i="3"/>
  <c r="BT21" i="3"/>
  <c r="BO37" i="3"/>
  <c r="AT47" i="3" l="1"/>
  <c r="AV42" i="3"/>
  <c r="BB37" i="3"/>
  <c r="BW37" i="3" s="1"/>
  <c r="AV35" i="3"/>
  <c r="BQ35" i="3" s="1"/>
  <c r="BY38" i="3" s="1"/>
  <c r="AT41" i="3"/>
  <c r="AX39" i="3" s="1"/>
  <c r="L42" i="1"/>
  <c r="L41" i="1"/>
  <c r="G42" i="1"/>
  <c r="BY36" i="3" l="1"/>
  <c r="BY37" i="3"/>
  <c r="BY39" i="3"/>
  <c r="BY41" i="3"/>
  <c r="BY40" i="3"/>
  <c r="BY35" i="3"/>
  <c r="BO41" i="3"/>
  <c r="AX42" i="3"/>
  <c r="AX43" i="3"/>
  <c r="AX44" i="3"/>
  <c r="AX45" i="3"/>
  <c r="AX46" i="3"/>
  <c r="AV47" i="3"/>
  <c r="AZ42" i="3" s="1"/>
  <c r="AX47" i="3"/>
  <c r="AX35" i="3"/>
  <c r="BS35" i="3" s="1"/>
  <c r="AX36" i="3"/>
  <c r="BS36" i="3" s="1"/>
  <c r="AV41" i="3"/>
  <c r="BQ41" i="3" s="1"/>
  <c r="AX41" i="3"/>
  <c r="BS41" i="3" s="1"/>
  <c r="AX38" i="3"/>
  <c r="BS38" i="3" s="1"/>
  <c r="AX40" i="3"/>
  <c r="BS40" i="3" s="1"/>
  <c r="AX37" i="3"/>
  <c r="BS37" i="3" s="1"/>
  <c r="BB35" i="3"/>
  <c r="BW35" i="3" s="1"/>
  <c r="BB42" i="3"/>
  <c r="E34" i="1"/>
  <c r="E37" i="1"/>
  <c r="Q37" i="1" s="1"/>
  <c r="Q28" i="1"/>
  <c r="Q34" i="1"/>
  <c r="I40" i="1" s="1"/>
  <c r="E22" i="1"/>
  <c r="Q22" i="1"/>
  <c r="E24" i="1"/>
  <c r="E23" i="1"/>
  <c r="Q30" i="1"/>
  <c r="F24" i="1"/>
  <c r="Q24" i="1"/>
  <c r="E35" i="1"/>
  <c r="E29" i="1"/>
  <c r="N22" i="1"/>
  <c r="H37" i="1"/>
  <c r="BB41" i="3" l="1"/>
  <c r="BW41" i="3" s="1"/>
  <c r="AZ39" i="3"/>
  <c r="AZ36" i="3"/>
  <c r="BU36" i="3" s="1"/>
  <c r="AZ38" i="3"/>
  <c r="BU38" i="3" s="1"/>
  <c r="AZ40" i="3"/>
  <c r="BU40" i="3" s="1"/>
  <c r="AZ41" i="3"/>
  <c r="BU41" i="3" s="1"/>
  <c r="AZ37" i="3"/>
  <c r="BU37" i="3" s="1"/>
  <c r="BB47" i="3"/>
  <c r="AZ47" i="3"/>
  <c r="AZ44" i="3"/>
  <c r="AZ43" i="3"/>
  <c r="AZ46" i="3"/>
  <c r="AZ45" i="3"/>
  <c r="AZ35" i="3"/>
  <c r="BU35" i="3" s="1"/>
  <c r="Q175" i="1"/>
  <c r="Q125" i="1"/>
  <c r="M125" i="1"/>
  <c r="I125" i="1"/>
  <c r="E125" i="1"/>
  <c r="I124" i="1"/>
  <c r="Q123" i="1"/>
  <c r="M123" i="1"/>
  <c r="I123" i="1"/>
  <c r="Q121" i="1"/>
  <c r="M121" i="1"/>
  <c r="I121" i="1"/>
  <c r="E121" i="1"/>
  <c r="Q119" i="1"/>
  <c r="M119" i="1"/>
  <c r="I119" i="1"/>
  <c r="E119" i="1"/>
  <c r="P116" i="1"/>
  <c r="M116" i="1"/>
  <c r="J111" i="1"/>
  <c r="J110" i="1"/>
  <c r="F110" i="1"/>
  <c r="F111" i="1" s="1"/>
  <c r="G111" i="1" s="1"/>
  <c r="J108" i="1"/>
  <c r="F108" i="1"/>
  <c r="F69" i="1"/>
  <c r="M69" i="1" s="1"/>
  <c r="M68" i="1"/>
  <c r="F68" i="1"/>
  <c r="F66" i="1"/>
  <c r="M66" i="1" s="1"/>
  <c r="M65" i="1"/>
  <c r="F65" i="1"/>
  <c r="K62" i="1"/>
  <c r="L60" i="1"/>
  <c r="F60" i="1"/>
  <c r="L55" i="1"/>
  <c r="J55" i="1"/>
  <c r="F55" i="1"/>
  <c r="N54" i="1"/>
  <c r="N55" i="1" s="1"/>
  <c r="J54" i="1"/>
  <c r="J59" i="1" s="1"/>
  <c r="F54" i="1"/>
  <c r="N38" i="1"/>
  <c r="M38" i="1"/>
  <c r="L38" i="1"/>
  <c r="K38" i="1"/>
  <c r="J38" i="1"/>
  <c r="I38" i="1"/>
  <c r="H38" i="1"/>
  <c r="G38" i="1"/>
  <c r="F38" i="1"/>
  <c r="E38" i="1"/>
  <c r="O38" i="1" s="1"/>
  <c r="N37" i="1"/>
  <c r="M37" i="1"/>
  <c r="L37" i="1"/>
  <c r="K37" i="1"/>
  <c r="J37" i="1"/>
  <c r="I37" i="1"/>
  <c r="G37" i="1"/>
  <c r="F37" i="1"/>
  <c r="N36" i="1"/>
  <c r="M36" i="1"/>
  <c r="L36" i="1"/>
  <c r="K36" i="1"/>
  <c r="J36" i="1"/>
  <c r="I36" i="1"/>
  <c r="H36" i="1"/>
  <c r="G36" i="1"/>
  <c r="F36" i="1"/>
  <c r="E36" i="1"/>
  <c r="N35" i="1"/>
  <c r="M35" i="1"/>
  <c r="L35" i="1"/>
  <c r="K35" i="1"/>
  <c r="J35" i="1"/>
  <c r="I35" i="1"/>
  <c r="H35" i="1"/>
  <c r="G35" i="1"/>
  <c r="G62" i="1" s="1"/>
  <c r="F35" i="1"/>
  <c r="O35" i="1"/>
  <c r="N34" i="1"/>
  <c r="M34" i="1"/>
  <c r="L34" i="1"/>
  <c r="K34" i="1"/>
  <c r="J34" i="1"/>
  <c r="I34" i="1"/>
  <c r="H34" i="1"/>
  <c r="G34" i="1"/>
  <c r="F34" i="1"/>
  <c r="P33" i="1"/>
  <c r="O33" i="1"/>
  <c r="C33" i="1"/>
  <c r="P32" i="1"/>
  <c r="O32" i="1"/>
  <c r="C32" i="1"/>
  <c r="P31" i="1"/>
  <c r="O31" i="1"/>
  <c r="C31" i="1"/>
  <c r="N30" i="1"/>
  <c r="M30" i="1"/>
  <c r="L30" i="1"/>
  <c r="K30" i="1"/>
  <c r="J30" i="1"/>
  <c r="I30" i="1"/>
  <c r="H30" i="1"/>
  <c r="G30" i="1"/>
  <c r="F30" i="1"/>
  <c r="E30" i="1"/>
  <c r="N29" i="1"/>
  <c r="M29" i="1"/>
  <c r="L29" i="1"/>
  <c r="K29" i="1"/>
  <c r="J29" i="1"/>
  <c r="I29" i="1"/>
  <c r="H29" i="1"/>
  <c r="G29" i="1"/>
  <c r="F29" i="1"/>
  <c r="O29" i="1"/>
  <c r="N28" i="1"/>
  <c r="M28" i="1"/>
  <c r="L28" i="1"/>
  <c r="K28" i="1"/>
  <c r="J28" i="1"/>
  <c r="I28" i="1"/>
  <c r="H28" i="1"/>
  <c r="G28" i="1"/>
  <c r="F28" i="1"/>
  <c r="E28" i="1"/>
  <c r="P27" i="1"/>
  <c r="O27" i="1"/>
  <c r="C27" i="1"/>
  <c r="P26" i="1"/>
  <c r="O26" i="1"/>
  <c r="C26" i="1"/>
  <c r="P25" i="1"/>
  <c r="O25" i="1"/>
  <c r="C25" i="1"/>
  <c r="N24" i="1"/>
  <c r="M24" i="1"/>
  <c r="L24" i="1"/>
  <c r="K24" i="1"/>
  <c r="J24" i="1"/>
  <c r="I24" i="1"/>
  <c r="H24" i="1"/>
  <c r="G24" i="1"/>
  <c r="N23" i="1"/>
  <c r="M23" i="1"/>
  <c r="L23" i="1"/>
  <c r="K23" i="1"/>
  <c r="J23" i="1"/>
  <c r="I23" i="1"/>
  <c r="H23" i="1"/>
  <c r="G23" i="1"/>
  <c r="F23" i="1"/>
  <c r="O23" i="1"/>
  <c r="M22" i="1"/>
  <c r="L22" i="1"/>
  <c r="K22" i="1"/>
  <c r="J22" i="1"/>
  <c r="I22" i="1"/>
  <c r="H22" i="1"/>
  <c r="G22" i="1"/>
  <c r="F22" i="1"/>
  <c r="P21" i="1"/>
  <c r="O21" i="1"/>
  <c r="C21" i="1"/>
  <c r="P20" i="1"/>
  <c r="O20" i="1"/>
  <c r="C20" i="1"/>
  <c r="P19" i="1"/>
  <c r="O19" i="1"/>
  <c r="C19" i="1"/>
  <c r="AF3" i="1"/>
  <c r="AF2" i="1"/>
  <c r="AF1" i="1"/>
  <c r="Q38" i="1" l="1"/>
  <c r="Q36" i="1"/>
  <c r="I39" i="1" s="1"/>
  <c r="K61" i="1"/>
  <c r="F61" i="1"/>
  <c r="G69" i="1" s="1"/>
  <c r="F67" i="1"/>
  <c r="G68" i="1"/>
  <c r="H68" i="1" s="1"/>
  <c r="F73" i="1" s="1"/>
  <c r="L54" i="1"/>
  <c r="N58" i="1"/>
  <c r="N57" i="1"/>
  <c r="N56" i="1"/>
  <c r="F58" i="1"/>
  <c r="F59" i="1"/>
  <c r="F57" i="1"/>
  <c r="F56" i="1"/>
  <c r="J58" i="1"/>
  <c r="J57" i="1"/>
  <c r="J56" i="1"/>
  <c r="N59" i="1"/>
  <c r="O61" i="1"/>
  <c r="L58" i="1"/>
  <c r="L57" i="1"/>
  <c r="L56" i="1"/>
  <c r="G108" i="1"/>
  <c r="L59" i="1"/>
  <c r="G110" i="1"/>
  <c r="N69" i="1" l="1"/>
  <c r="G65" i="1"/>
  <c r="G66" i="1"/>
  <c r="N68" i="1"/>
  <c r="O68" i="1" s="1"/>
  <c r="M73" i="1" s="1"/>
  <c r="N73" i="1" s="1"/>
  <c r="G73" i="1"/>
  <c r="N65" i="1"/>
  <c r="O65" i="1" s="1"/>
  <c r="H65" i="1"/>
  <c r="G67" i="1"/>
  <c r="H67" i="1" s="1"/>
  <c r="N66" i="1"/>
  <c r="O66" i="1" s="1"/>
  <c r="H66" i="1"/>
  <c r="F75" i="1" l="1"/>
  <c r="I66" i="1"/>
  <c r="J66" i="1" s="1"/>
  <c r="M75" i="1"/>
  <c r="P66" i="1"/>
  <c r="Q66" i="1" s="1"/>
  <c r="I67" i="1"/>
  <c r="J67" i="1" s="1"/>
  <c r="F76" i="1"/>
  <c r="I65" i="1"/>
  <c r="J65" i="1" s="1"/>
  <c r="F77" i="1"/>
  <c r="P65" i="1"/>
  <c r="Q65" i="1" s="1"/>
  <c r="M77" i="1"/>
  <c r="J73" i="1"/>
  <c r="M49" i="1"/>
  <c r="L49" i="1"/>
  <c r="K49" i="1"/>
  <c r="J49" i="1"/>
  <c r="I49" i="1"/>
  <c r="H49" i="1"/>
  <c r="G49" i="1"/>
  <c r="F49" i="1"/>
  <c r="E49" i="1"/>
  <c r="N49" i="1"/>
  <c r="N50" i="1"/>
  <c r="M50" i="1"/>
  <c r="L50" i="1"/>
  <c r="K50" i="1"/>
  <c r="J50" i="1"/>
  <c r="I50" i="1"/>
  <c r="H50" i="1"/>
  <c r="G50" i="1"/>
  <c r="F50" i="1"/>
  <c r="E50" i="1"/>
  <c r="Q73" i="1"/>
  <c r="N77" i="1" l="1"/>
  <c r="G77" i="1"/>
  <c r="G76" i="1"/>
  <c r="E128" i="1"/>
  <c r="N75" i="1"/>
  <c r="M74" i="1"/>
  <c r="G75" i="1"/>
  <c r="F74" i="1"/>
  <c r="G74" i="1" l="1"/>
  <c r="H139" i="1" s="1"/>
  <c r="F72" i="1"/>
  <c r="J75" i="1"/>
  <c r="N140" i="1" s="1"/>
  <c r="N74" i="1"/>
  <c r="M72" i="1"/>
  <c r="Q75" i="1"/>
  <c r="H134" i="1"/>
  <c r="F134" i="1"/>
  <c r="H140" i="1"/>
  <c r="J133" i="1"/>
  <c r="F140" i="1"/>
  <c r="H133" i="1"/>
  <c r="F133" i="1"/>
  <c r="L132" i="1"/>
  <c r="F138" i="1"/>
  <c r="C144" i="1"/>
  <c r="J132" i="1"/>
  <c r="H132" i="1"/>
  <c r="F132" i="1"/>
  <c r="L131" i="1"/>
  <c r="H142" i="1"/>
  <c r="F142" i="1"/>
  <c r="F139" i="1"/>
  <c r="N138" i="1"/>
  <c r="H138" i="1"/>
  <c r="L130" i="1"/>
  <c r="J131" i="1"/>
  <c r="H131" i="1"/>
  <c r="J76" i="1"/>
  <c r="J77" i="1"/>
  <c r="N142" i="1" s="1"/>
  <c r="Q77" i="1"/>
  <c r="N72" i="1" l="1"/>
  <c r="M78" i="1"/>
  <c r="Q74" i="1"/>
  <c r="G72" i="1"/>
  <c r="F78" i="1"/>
  <c r="J74" i="1"/>
  <c r="N139" i="1" s="1"/>
  <c r="H78" i="1" l="1"/>
  <c r="J143" i="1" s="1"/>
  <c r="G78" i="1"/>
  <c r="I72" i="1" s="1"/>
  <c r="P160" i="1" s="1"/>
  <c r="N166" i="1" s="1"/>
  <c r="H73" i="1"/>
  <c r="J138" i="1" s="1"/>
  <c r="H77" i="1"/>
  <c r="J142" i="1" s="1"/>
  <c r="H76" i="1"/>
  <c r="H75" i="1"/>
  <c r="J140" i="1" s="1"/>
  <c r="H74" i="1"/>
  <c r="J139" i="1" s="1"/>
  <c r="F143" i="1"/>
  <c r="J72" i="1"/>
  <c r="P162" i="1" s="1"/>
  <c r="N167" i="1" s="1"/>
  <c r="K170" i="1" s="1"/>
  <c r="H137" i="1"/>
  <c r="H72" i="1"/>
  <c r="O78" i="1"/>
  <c r="N78" i="1"/>
  <c r="P72" i="1" s="1"/>
  <c r="O73" i="1"/>
  <c r="O77" i="1"/>
  <c r="O75" i="1"/>
  <c r="O74" i="1"/>
  <c r="Q72" i="1"/>
  <c r="O72" i="1"/>
  <c r="Q78" i="1" l="1"/>
  <c r="P78" i="1"/>
  <c r="P73" i="1"/>
  <c r="P75" i="1"/>
  <c r="P77" i="1"/>
  <c r="P74" i="1"/>
  <c r="N162" i="1"/>
  <c r="N160" i="1"/>
  <c r="J78" i="1"/>
  <c r="N143" i="1" s="1"/>
  <c r="I78" i="1"/>
  <c r="L143" i="1" s="1"/>
  <c r="I73" i="1"/>
  <c r="L138" i="1" s="1"/>
  <c r="I77" i="1"/>
  <c r="L142" i="1" s="1"/>
  <c r="I75" i="1"/>
  <c r="H143" i="1"/>
  <c r="I76" i="1"/>
  <c r="I74" i="1"/>
  <c r="L139" i="1" s="1"/>
  <c r="G41" i="1"/>
  <c r="E48" i="1"/>
  <c r="H47" i="1" l="1"/>
  <c r="F47" i="1"/>
  <c r="E47" i="1"/>
  <c r="G47" i="1"/>
  <c r="N47" i="1"/>
  <c r="M47" i="1"/>
  <c r="L47" i="1"/>
  <c r="K47" i="1"/>
  <c r="J47" i="1"/>
  <c r="I47" i="1"/>
  <c r="H48" i="1"/>
  <c r="I48" i="1"/>
  <c r="K48" i="1"/>
  <c r="L48" i="1"/>
  <c r="J48" i="1"/>
  <c r="G48" i="1"/>
  <c r="M48" i="1"/>
  <c r="N48" i="1"/>
  <c r="F48" i="1"/>
  <c r="H110" i="1" l="1"/>
  <c r="H111" i="1"/>
  <c r="H108" i="1"/>
</calcChain>
</file>

<file path=xl/comments1.xml><?xml version="1.0" encoding="utf-8"?>
<comments xmlns="http://schemas.openxmlformats.org/spreadsheetml/2006/main">
  <authors>
    <author>作者</author>
  </authors>
  <commentList>
    <comment ref="P4" authorId="0" shapeId="0">
      <text>
        <r>
          <rPr>
            <sz val="8"/>
            <color indexed="81"/>
            <rFont val="宋体"/>
            <family val="3"/>
            <charset val="134"/>
          </rPr>
          <t>报告编号的一般规则为：部门工位代码-流水号，如：IPQA-001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输入1、过程变差σ
    2、过程能力PP</t>
        </r>
      </text>
    </comment>
    <comment ref="P116" authorId="0" shapeId="0">
      <text>
        <r>
          <rPr>
            <b/>
            <sz val="8"/>
            <color indexed="81"/>
            <rFont val="宋体"/>
            <family val="3"/>
            <charset val="134"/>
          </rPr>
          <t>报告编号的一般规则为：部门工位代码-流水号，如：IPQA-001</t>
        </r>
      </text>
    </comment>
    <comment ref="E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P值小于设定值=With
P值大于设定值=Without</t>
        </r>
      </text>
    </comment>
    <comment ref="K1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一般设定为显著P值分界点为0.25，可参看Mintab14版，可手动修改。</t>
        </r>
      </text>
    </comment>
  </commentList>
</comments>
</file>

<file path=xl/sharedStrings.xml><?xml version="1.0" encoding="utf-8"?>
<sst xmlns="http://schemas.openxmlformats.org/spreadsheetml/2006/main" count="1571" uniqueCount="546">
  <si>
    <r>
      <t xml:space="preserve">      </t>
    </r>
    <r>
      <rPr>
        <b/>
        <sz val="10"/>
        <rFont val="宋体"/>
        <family val="3"/>
        <charset val="134"/>
      </rPr>
      <t>测量系统分析</t>
    </r>
    <r>
      <rPr>
        <b/>
        <sz val="10"/>
        <rFont val="Arial"/>
        <family val="2"/>
      </rPr>
      <t xml:space="preserve">MSA  </t>
    </r>
    <r>
      <rPr>
        <b/>
        <i/>
        <sz val="10"/>
        <rFont val="Arial"/>
        <family val="2"/>
      </rPr>
      <t>GR&amp;R---</t>
    </r>
    <r>
      <rPr>
        <b/>
        <i/>
        <sz val="10"/>
        <rFont val="宋体"/>
        <family val="3"/>
        <charset val="134"/>
      </rPr>
      <t>数据记录表</t>
    </r>
    <r>
      <rPr>
        <b/>
        <i/>
        <sz val="10"/>
        <rFont val="Arial"/>
        <family val="2"/>
      </rPr>
      <t xml:space="preserve"> Data Worksheet</t>
    </r>
  </si>
  <si>
    <r>
      <rPr>
        <b/>
        <sz val="8"/>
        <rFont val="宋体"/>
        <family val="3"/>
        <charset val="134"/>
      </rPr>
      <t>报告编号</t>
    </r>
    <r>
      <rPr>
        <b/>
        <sz val="8"/>
        <rFont val="Arial"/>
        <family val="2"/>
      </rPr>
      <t>Report NO.</t>
    </r>
  </si>
  <si>
    <r>
      <rPr>
        <sz val="8"/>
        <rFont val="宋体"/>
        <family val="3"/>
        <charset val="134"/>
      </rPr>
      <t xml:space="preserve">量具名称
</t>
    </r>
    <r>
      <rPr>
        <sz val="8"/>
        <rFont val="Arial"/>
        <family val="2"/>
      </rPr>
      <t>Equipment Name</t>
    </r>
  </si>
  <si>
    <t>T2-40-107</t>
  </si>
  <si>
    <r>
      <rPr>
        <sz val="8"/>
        <rFont val="宋体"/>
        <family val="3"/>
        <charset val="134"/>
      </rPr>
      <t xml:space="preserve">产品类型
</t>
    </r>
    <r>
      <rPr>
        <sz val="8"/>
        <rFont val="Arial"/>
        <family val="2"/>
      </rPr>
      <t>Description</t>
    </r>
  </si>
  <si>
    <t>FPC</t>
  </si>
  <si>
    <r>
      <rPr>
        <sz val="8"/>
        <rFont val="宋体"/>
        <family val="3"/>
        <charset val="134"/>
      </rPr>
      <t>测量人员</t>
    </r>
    <r>
      <rPr>
        <sz val="8"/>
        <rFont val="Arial"/>
        <family val="2"/>
      </rPr>
      <t xml:space="preserve">
Operator</t>
    </r>
    <r>
      <rPr>
        <sz val="8"/>
        <rFont val="宋体"/>
        <family val="3"/>
        <charset val="134"/>
      </rPr>
      <t>Ａ</t>
    </r>
  </si>
  <si>
    <t>5002727</t>
  </si>
  <si>
    <r>
      <rPr>
        <sz val="8"/>
        <rFont val="宋体"/>
        <family val="3"/>
        <charset val="134"/>
      </rPr>
      <t xml:space="preserve">测试日期
</t>
    </r>
    <r>
      <rPr>
        <sz val="8"/>
        <rFont val="Arial"/>
        <family val="2"/>
      </rPr>
      <t>Test Date</t>
    </r>
  </si>
  <si>
    <r>
      <rPr>
        <sz val="8"/>
        <rFont val="宋体"/>
        <family val="3"/>
        <charset val="134"/>
      </rPr>
      <t xml:space="preserve">量具编号
</t>
    </r>
    <r>
      <rPr>
        <sz val="8"/>
        <rFont val="Arial"/>
        <family val="2"/>
      </rPr>
      <t>Equipment NO.</t>
    </r>
  </si>
  <si>
    <t>OSTM-T-17-03-070</t>
  </si>
  <si>
    <r>
      <rPr>
        <sz val="8"/>
        <rFont val="宋体"/>
        <family val="3"/>
        <charset val="134"/>
      </rPr>
      <t xml:space="preserve">基件编号
</t>
    </r>
    <r>
      <rPr>
        <sz val="8"/>
        <rFont val="Arial"/>
        <family val="2"/>
      </rPr>
      <t>P/N</t>
    </r>
  </si>
  <si>
    <t>RGPZ-030MW-2C</t>
  </si>
  <si>
    <r>
      <rPr>
        <sz val="8"/>
        <rFont val="宋体"/>
        <family val="3"/>
        <charset val="134"/>
      </rPr>
      <t>测量人员</t>
    </r>
    <r>
      <rPr>
        <sz val="8"/>
        <rFont val="Arial"/>
        <family val="2"/>
      </rPr>
      <t xml:space="preserve">
Operator</t>
    </r>
    <r>
      <rPr>
        <sz val="8"/>
        <rFont val="宋体"/>
        <family val="3"/>
        <charset val="134"/>
      </rPr>
      <t>Ｂ</t>
    </r>
  </si>
  <si>
    <t>S059818</t>
  </si>
  <si>
    <r>
      <rPr>
        <sz val="8"/>
        <rFont val="宋体"/>
        <family val="3"/>
        <charset val="134"/>
      </rPr>
      <t xml:space="preserve">评价人数
</t>
    </r>
    <r>
      <rPr>
        <sz val="8"/>
        <rFont val="Arial"/>
        <family val="2"/>
      </rPr>
      <t>Appraisers</t>
    </r>
  </si>
  <si>
    <r>
      <rPr>
        <sz val="8"/>
        <rFont val="宋体"/>
        <family val="3"/>
        <charset val="134"/>
      </rPr>
      <t xml:space="preserve">参数规格
</t>
    </r>
    <r>
      <rPr>
        <sz val="8"/>
        <rFont val="Arial"/>
        <family val="2"/>
      </rPr>
      <t>Dimension</t>
    </r>
  </si>
  <si>
    <t>1A TO 1B</t>
  </si>
  <si>
    <r>
      <rPr>
        <sz val="8"/>
        <rFont val="宋体"/>
        <family val="3"/>
        <charset val="134"/>
      </rPr>
      <t xml:space="preserve">规格上限
</t>
    </r>
    <r>
      <rPr>
        <sz val="8"/>
        <rFont val="Arial"/>
        <family val="2"/>
      </rPr>
      <t>USL</t>
    </r>
  </si>
  <si>
    <t>5</t>
  </si>
  <si>
    <r>
      <rPr>
        <sz val="8"/>
        <rFont val="宋体"/>
        <family val="3"/>
        <charset val="134"/>
      </rPr>
      <t>测量人员</t>
    </r>
    <r>
      <rPr>
        <sz val="8"/>
        <rFont val="Arial"/>
        <family val="2"/>
      </rPr>
      <t xml:space="preserve">
Operator</t>
    </r>
    <r>
      <rPr>
        <sz val="8"/>
        <rFont val="宋体"/>
        <family val="3"/>
        <charset val="134"/>
      </rPr>
      <t>Ｃ</t>
    </r>
  </si>
  <si>
    <t>6019635</t>
  </si>
  <si>
    <r>
      <rPr>
        <sz val="8"/>
        <rFont val="宋体"/>
        <family val="3"/>
        <charset val="134"/>
      </rPr>
      <t xml:space="preserve">试验次数
</t>
    </r>
    <r>
      <rPr>
        <sz val="8"/>
        <rFont val="Arial"/>
        <family val="2"/>
      </rPr>
      <t>Trials</t>
    </r>
  </si>
  <si>
    <r>
      <rPr>
        <sz val="8"/>
        <rFont val="宋体"/>
        <family val="3"/>
        <charset val="134"/>
      </rPr>
      <t xml:space="preserve">单位
</t>
    </r>
    <r>
      <rPr>
        <sz val="8"/>
        <rFont val="Arial"/>
        <family val="2"/>
      </rPr>
      <t>Unit</t>
    </r>
  </si>
  <si>
    <t>Ohm</t>
  </si>
  <si>
    <r>
      <rPr>
        <sz val="8"/>
        <rFont val="宋体"/>
        <family val="3"/>
        <charset val="134"/>
      </rPr>
      <t xml:space="preserve">规格下限
</t>
    </r>
    <r>
      <rPr>
        <sz val="8"/>
        <rFont val="Arial"/>
        <family val="2"/>
      </rPr>
      <t>LSL</t>
    </r>
  </si>
  <si>
    <t>0</t>
  </si>
  <si>
    <r>
      <rPr>
        <sz val="8"/>
        <rFont val="宋体"/>
        <family val="3"/>
        <charset val="134"/>
      </rPr>
      <t>过程变差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 xml:space="preserve">过程能力
</t>
    </r>
    <r>
      <rPr>
        <sz val="8"/>
        <rFont val="Arial"/>
        <family val="2"/>
      </rPr>
      <t>Process Variation(σ/PP)</t>
    </r>
  </si>
  <si>
    <t>ELT</t>
  </si>
  <si>
    <r>
      <rPr>
        <sz val="8"/>
        <rFont val="宋体"/>
        <family val="3"/>
        <charset val="134"/>
      </rPr>
      <t>样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>品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数
</t>
    </r>
    <r>
      <rPr>
        <sz val="8"/>
        <rFont val="Arial"/>
        <family val="2"/>
      </rPr>
      <t>Samples</t>
    </r>
  </si>
  <si>
    <r>
      <rPr>
        <sz val="8"/>
        <rFont val="宋体"/>
        <family val="3"/>
        <charset val="134"/>
      </rPr>
      <t>分析时机</t>
    </r>
    <r>
      <rPr>
        <sz val="8"/>
        <rFont val="Arial"/>
        <family val="2"/>
      </rPr>
      <t>Analytical Occasion</t>
    </r>
  </si>
  <si>
    <r>
      <rPr>
        <sz val="8"/>
        <rFont val="宋体"/>
        <family val="3"/>
        <charset val="134"/>
      </rPr>
      <t>零件编号</t>
    </r>
    <r>
      <rPr>
        <sz val="8"/>
        <rFont val="Arial"/>
        <family val="2"/>
      </rPr>
      <t>Parts NO.</t>
    </r>
  </si>
  <si>
    <t>Total</t>
    <phoneticPr fontId="0" type="noConversion"/>
  </si>
  <si>
    <r>
      <rPr>
        <sz val="8"/>
        <rFont val="宋体"/>
        <family val="3"/>
        <charset val="134"/>
      </rPr>
      <t>平均值</t>
    </r>
    <r>
      <rPr>
        <sz val="8"/>
        <rFont val="Arial"/>
        <family val="2"/>
      </rPr>
      <t xml:space="preserve">Average </t>
    </r>
  </si>
  <si>
    <t>1.</t>
    <phoneticPr fontId="0" type="noConversion"/>
  </si>
  <si>
    <t>A</t>
    <phoneticPr fontId="0" type="noConversion"/>
  </si>
  <si>
    <t>2.</t>
  </si>
  <si>
    <t>3.</t>
  </si>
  <si>
    <t>4.</t>
  </si>
  <si>
    <r>
      <rPr>
        <sz val="8"/>
        <rFont val="宋体"/>
        <family val="3"/>
        <charset val="134"/>
      </rPr>
      <t>均值</t>
    </r>
    <r>
      <rPr>
        <sz val="8"/>
        <rFont val="Arial"/>
        <family val="2"/>
      </rPr>
      <t>Average</t>
    </r>
  </si>
  <si>
    <t>Sum A</t>
    <phoneticPr fontId="0" type="noConversion"/>
  </si>
  <si>
    <t>5.</t>
  </si>
  <si>
    <r>
      <t xml:space="preserve"> </t>
    </r>
    <r>
      <rPr>
        <sz val="8"/>
        <rFont val="宋体"/>
        <family val="3"/>
        <charset val="134"/>
      </rPr>
      <t>极差</t>
    </r>
    <r>
      <rPr>
        <sz val="8"/>
        <rFont val="Arial"/>
        <family val="2"/>
      </rPr>
      <t>Range</t>
    </r>
  </si>
  <si>
    <t>6.</t>
  </si>
  <si>
    <t>B</t>
    <phoneticPr fontId="0" type="noConversion"/>
  </si>
  <si>
    <t>7.</t>
  </si>
  <si>
    <t>8.</t>
  </si>
  <si>
    <t>9.</t>
  </si>
  <si>
    <t>Sum B</t>
    <phoneticPr fontId="0" type="noConversion"/>
  </si>
  <si>
    <t>10.</t>
  </si>
  <si>
    <t>11.</t>
  </si>
  <si>
    <t>C</t>
    <phoneticPr fontId="0" type="noConversion"/>
  </si>
  <si>
    <t>12.</t>
  </si>
  <si>
    <t>13.</t>
  </si>
  <si>
    <t>14.</t>
  </si>
  <si>
    <t>15.</t>
  </si>
  <si>
    <r>
      <rPr>
        <sz val="8"/>
        <rFont val="宋体"/>
        <family val="3"/>
        <charset val="134"/>
      </rPr>
      <t xml:space="preserve">零件均值
</t>
    </r>
    <r>
      <rPr>
        <sz val="8"/>
        <rFont val="Arial"/>
        <family val="2"/>
      </rPr>
      <t>Parts Average</t>
    </r>
  </si>
  <si>
    <r>
      <rPr>
        <sz val="8"/>
        <rFont val="宋体"/>
        <family val="3"/>
        <charset val="134"/>
      </rPr>
      <t>试验次数</t>
    </r>
    <r>
      <rPr>
        <sz val="8"/>
        <rFont val="Arial"/>
        <family val="2"/>
      </rPr>
      <t>Trials</t>
    </r>
  </si>
  <si>
    <t>D4</t>
  </si>
  <si>
    <t>D3</t>
  </si>
  <si>
    <t>A2</t>
  </si>
  <si>
    <t xml:space="preserve">    注:当分析结果超出要求后，利用均值极差图分析原因When analysis result is out of spec,need analyse the root cause by Average and range chart 。</t>
  </si>
  <si>
    <r>
      <rPr>
        <sz val="7"/>
        <color indexed="8"/>
        <rFont val="宋体"/>
        <family val="3"/>
        <charset val="134"/>
      </rPr>
      <t xml:space="preserve">均值图
</t>
    </r>
    <r>
      <rPr>
        <sz val="7"/>
        <color indexed="8"/>
        <rFont val="Arial"/>
        <family val="2"/>
      </rPr>
      <t>Average chart</t>
    </r>
  </si>
  <si>
    <t>UCLx</t>
    <phoneticPr fontId="0" type="noConversion"/>
  </si>
  <si>
    <t>LCLx</t>
    <phoneticPr fontId="0" type="noConversion"/>
  </si>
  <si>
    <t>6σ</t>
    <phoneticPr fontId="0" type="noConversion"/>
  </si>
  <si>
    <t>pp</t>
    <phoneticPr fontId="0" type="noConversion"/>
  </si>
  <si>
    <t>PV</t>
    <phoneticPr fontId="0" type="noConversion"/>
  </si>
  <si>
    <t>TV</t>
    <phoneticPr fontId="0" type="noConversion"/>
  </si>
  <si>
    <t>%EV</t>
    <phoneticPr fontId="0" type="noConversion"/>
  </si>
  <si>
    <t>%AV</t>
    <phoneticPr fontId="0" type="noConversion"/>
  </si>
  <si>
    <t>%RR</t>
    <phoneticPr fontId="0" type="noConversion"/>
  </si>
  <si>
    <t>%PV</t>
    <phoneticPr fontId="0" type="noConversion"/>
  </si>
  <si>
    <t>ndc</t>
    <phoneticPr fontId="0" type="noConversion"/>
  </si>
  <si>
    <t>X^2/nkr</t>
    <phoneticPr fontId="0" type="noConversion"/>
  </si>
  <si>
    <t>sumSQ(sum(men))/nr</t>
    <phoneticPr fontId="0" type="noConversion"/>
  </si>
  <si>
    <t>SUMSQ(sum(1-10part))/kr</t>
    <phoneticPr fontId="0" type="noConversion"/>
  </si>
  <si>
    <r>
      <rPr>
        <sz val="7"/>
        <rFont val="宋体"/>
        <family val="3"/>
        <charset val="134"/>
      </rPr>
      <t xml:space="preserve">极差图
</t>
    </r>
    <r>
      <rPr>
        <sz val="7"/>
        <rFont val="Arial"/>
        <family val="2"/>
      </rPr>
      <t>Range chart</t>
    </r>
  </si>
  <si>
    <t>SUMSQ(sum(men-part))/r</t>
    <phoneticPr fontId="0" type="noConversion"/>
  </si>
  <si>
    <t>sumSQ(all)</t>
    <phoneticPr fontId="0" type="noConversion"/>
  </si>
  <si>
    <t>n=part  k=men r=time</t>
    <phoneticPr fontId="0" type="noConversion"/>
  </si>
  <si>
    <t>ANOVA Table With Operator*Part Interaction</t>
    <phoneticPr fontId="0" type="noConversion"/>
  </si>
  <si>
    <t>ANOVA Table Without Operator*Part Interaction</t>
  </si>
  <si>
    <t>Source</t>
  </si>
  <si>
    <t>DF</t>
  </si>
  <si>
    <t>SS</t>
  </si>
  <si>
    <t>MS</t>
  </si>
  <si>
    <t>F</t>
  </si>
  <si>
    <t>P</t>
  </si>
  <si>
    <t>Parts</t>
  </si>
  <si>
    <t>Parts</t>
    <phoneticPr fontId="0" type="noConversion"/>
  </si>
  <si>
    <t>Operators</t>
  </si>
  <si>
    <t>Operators</t>
    <phoneticPr fontId="0" type="noConversion"/>
  </si>
  <si>
    <t>Operators*Part</t>
    <phoneticPr fontId="0" type="noConversion"/>
  </si>
  <si>
    <t>Repeatability</t>
  </si>
  <si>
    <t>Repeatability</t>
    <phoneticPr fontId="0" type="noConversion"/>
  </si>
  <si>
    <t>Total</t>
  </si>
  <si>
    <t>Gauge R&amp;R With Operator*Part Interaction</t>
    <phoneticPr fontId="0" type="noConversion"/>
  </si>
  <si>
    <t>Gauge R&amp;R Without Operator*Part Interaction</t>
  </si>
  <si>
    <t>VarComp</t>
  </si>
  <si>
    <t>Stdev</t>
  </si>
  <si>
    <t>%Contribution</t>
  </si>
  <si>
    <t>%TV</t>
    <phoneticPr fontId="0" type="noConversion"/>
  </si>
  <si>
    <t>%Tolerance</t>
  </si>
  <si>
    <t>Total Gauge R&amp;R</t>
    <phoneticPr fontId="0" type="noConversion"/>
  </si>
  <si>
    <t xml:space="preserve">     Repeatability</t>
  </si>
  <si>
    <t xml:space="preserve">     Repeatability</t>
    <phoneticPr fontId="0" type="noConversion"/>
  </si>
  <si>
    <t xml:space="preserve">     Reproducibility</t>
    <phoneticPr fontId="0" type="noConversion"/>
  </si>
  <si>
    <t xml:space="preserve">     Reproducibility</t>
  </si>
  <si>
    <t xml:space="preserve">          Operator</t>
  </si>
  <si>
    <t xml:space="preserve">          Operator</t>
    <phoneticPr fontId="0" type="noConversion"/>
  </si>
  <si>
    <t>Part - To - Part</t>
  </si>
  <si>
    <t>Part - To - Part</t>
    <phoneticPr fontId="0" type="noConversion"/>
  </si>
  <si>
    <t>Total Variation</t>
    <phoneticPr fontId="0" type="noConversion"/>
  </si>
  <si>
    <t>Total Variation</t>
  </si>
  <si>
    <t>Ref : QAI-A1-TDD-080-0074</t>
  </si>
  <si>
    <t>QF-A1-TDD-0018  Rev.5</t>
  </si>
  <si>
    <r>
      <t xml:space="preserve">      </t>
    </r>
    <r>
      <rPr>
        <b/>
        <sz val="10"/>
        <rFont val="宋体"/>
        <family val="3"/>
        <charset val="134"/>
      </rPr>
      <t>测量系统分析</t>
    </r>
    <r>
      <rPr>
        <b/>
        <sz val="10"/>
        <rFont val="Arial"/>
        <family val="2"/>
      </rPr>
      <t>MSA  GR&amp;R---</t>
    </r>
    <r>
      <rPr>
        <b/>
        <sz val="10"/>
        <rFont val="宋体"/>
        <family val="3"/>
        <charset val="134"/>
      </rPr>
      <t>方差分析法</t>
    </r>
    <r>
      <rPr>
        <b/>
        <sz val="10"/>
        <rFont val="Arial"/>
        <family val="2"/>
      </rPr>
      <t xml:space="preserve"> ANOVA Method</t>
    </r>
  </si>
  <si>
    <r>
      <rPr>
        <sz val="8"/>
        <rFont val="宋体"/>
        <family val="3"/>
        <charset val="134"/>
      </rPr>
      <t xml:space="preserve">量具名称
</t>
    </r>
    <r>
      <rPr>
        <sz val="8"/>
        <rFont val="Arial"/>
        <family val="2"/>
      </rPr>
      <t>Equipment</t>
    </r>
  </si>
  <si>
    <r>
      <rPr>
        <sz val="7"/>
        <rFont val="宋体"/>
        <family val="3"/>
        <charset val="134"/>
      </rPr>
      <t xml:space="preserve">测量人员
</t>
    </r>
    <r>
      <rPr>
        <sz val="7"/>
        <rFont val="Arial"/>
        <family val="2"/>
      </rPr>
      <t>Operator</t>
    </r>
    <r>
      <rPr>
        <sz val="7"/>
        <rFont val="宋体"/>
        <family val="3"/>
        <charset val="134"/>
      </rPr>
      <t>Ａ</t>
    </r>
  </si>
  <si>
    <r>
      <rPr>
        <sz val="7"/>
        <rFont val="宋体"/>
        <family val="3"/>
        <charset val="134"/>
      </rPr>
      <t xml:space="preserve">测试日期
</t>
    </r>
    <r>
      <rPr>
        <sz val="7"/>
        <rFont val="Arial"/>
        <family val="2"/>
      </rPr>
      <t>Test Tate</t>
    </r>
  </si>
  <si>
    <r>
      <rPr>
        <sz val="8"/>
        <rFont val="宋体"/>
        <family val="3"/>
        <charset val="134"/>
      </rPr>
      <t xml:space="preserve">基件编号
</t>
    </r>
    <r>
      <rPr>
        <sz val="8"/>
        <rFont val="Arial"/>
        <family val="2"/>
      </rPr>
      <t>Part NO.</t>
    </r>
  </si>
  <si>
    <r>
      <rPr>
        <sz val="7"/>
        <rFont val="宋体"/>
        <family val="3"/>
        <charset val="134"/>
      </rPr>
      <t xml:space="preserve">测量人员
</t>
    </r>
    <r>
      <rPr>
        <sz val="7"/>
        <rFont val="Arial"/>
        <family val="2"/>
      </rPr>
      <t>Operator</t>
    </r>
    <r>
      <rPr>
        <sz val="7"/>
        <rFont val="宋体"/>
        <family val="3"/>
        <charset val="134"/>
      </rPr>
      <t>Ｂ</t>
    </r>
  </si>
  <si>
    <r>
      <rPr>
        <sz val="7"/>
        <rFont val="宋体"/>
        <family val="3"/>
        <charset val="134"/>
      </rPr>
      <t xml:space="preserve">评价人数
</t>
    </r>
    <r>
      <rPr>
        <sz val="7"/>
        <rFont val="Arial"/>
        <family val="2"/>
      </rPr>
      <t>Appraisers</t>
    </r>
  </si>
  <si>
    <r>
      <rPr>
        <sz val="8"/>
        <rFont val="宋体"/>
        <family val="3"/>
        <charset val="134"/>
      </rPr>
      <t xml:space="preserve">参数规格
</t>
    </r>
    <r>
      <rPr>
        <sz val="8"/>
        <rFont val="Arial"/>
        <family val="2"/>
      </rPr>
      <t>Specification</t>
    </r>
  </si>
  <si>
    <t>-</t>
  </si>
  <si>
    <r>
      <rPr>
        <sz val="8"/>
        <rFont val="宋体"/>
        <family val="3"/>
        <charset val="134"/>
      </rPr>
      <t xml:space="preserve">规格上限
</t>
    </r>
    <r>
      <rPr>
        <sz val="8"/>
        <rFont val="Arial"/>
        <family val="2"/>
      </rPr>
      <t>Upper limit</t>
    </r>
  </si>
  <si>
    <r>
      <rPr>
        <sz val="7"/>
        <rFont val="宋体"/>
        <family val="3"/>
        <charset val="134"/>
      </rPr>
      <t xml:space="preserve">测量人员
</t>
    </r>
    <r>
      <rPr>
        <sz val="7"/>
        <rFont val="Arial"/>
        <family val="2"/>
      </rPr>
      <t>Operator</t>
    </r>
    <r>
      <rPr>
        <sz val="7"/>
        <rFont val="宋体"/>
        <family val="3"/>
        <charset val="134"/>
      </rPr>
      <t>Ｃ</t>
    </r>
  </si>
  <si>
    <r>
      <rPr>
        <sz val="7"/>
        <rFont val="宋体"/>
        <family val="3"/>
        <charset val="134"/>
      </rPr>
      <t xml:space="preserve">试验次数
</t>
    </r>
    <r>
      <rPr>
        <sz val="7"/>
        <rFont val="Arial"/>
        <family val="2"/>
      </rPr>
      <t>Trials</t>
    </r>
  </si>
  <si>
    <r>
      <rPr>
        <sz val="8"/>
        <rFont val="宋体"/>
        <family val="3"/>
        <charset val="134"/>
      </rPr>
      <t xml:space="preserve">测量单位
</t>
    </r>
    <r>
      <rPr>
        <sz val="8"/>
        <rFont val="Arial"/>
        <family val="2"/>
      </rPr>
      <t>Unit</t>
    </r>
  </si>
  <si>
    <r>
      <rPr>
        <sz val="8"/>
        <rFont val="宋体"/>
        <family val="3"/>
        <charset val="134"/>
      </rPr>
      <t xml:space="preserve">规格下限
</t>
    </r>
    <r>
      <rPr>
        <sz val="8"/>
        <rFont val="Arial"/>
        <family val="2"/>
      </rPr>
      <t xml:space="preserve">Lower Limit </t>
    </r>
  </si>
  <si>
    <r>
      <rPr>
        <sz val="7"/>
        <rFont val="宋体"/>
        <family val="3"/>
        <charset val="134"/>
      </rPr>
      <t xml:space="preserve">过程变差
</t>
    </r>
    <r>
      <rPr>
        <sz val="7"/>
        <rFont val="Arial"/>
        <family val="2"/>
      </rPr>
      <t>Process Variation(6σ)</t>
    </r>
  </si>
  <si>
    <r>
      <rPr>
        <sz val="7"/>
        <rFont val="宋体"/>
        <family val="3"/>
        <charset val="134"/>
      </rPr>
      <t>样</t>
    </r>
    <r>
      <rPr>
        <sz val="7"/>
        <rFont val="Arial"/>
        <family val="2"/>
      </rPr>
      <t xml:space="preserve"> </t>
    </r>
    <r>
      <rPr>
        <sz val="7"/>
        <rFont val="宋体"/>
        <family val="3"/>
        <charset val="134"/>
      </rPr>
      <t>品</t>
    </r>
    <r>
      <rPr>
        <sz val="7"/>
        <rFont val="Arial"/>
        <family val="2"/>
      </rPr>
      <t xml:space="preserve"> </t>
    </r>
    <r>
      <rPr>
        <sz val="7"/>
        <rFont val="宋体"/>
        <family val="3"/>
        <charset val="134"/>
      </rPr>
      <t xml:space="preserve">数
</t>
    </r>
    <r>
      <rPr>
        <sz val="7"/>
        <rFont val="Arial"/>
        <family val="2"/>
      </rPr>
      <t>Samples</t>
    </r>
  </si>
  <si>
    <r>
      <rPr>
        <sz val="8"/>
        <rFont val="宋体"/>
        <family val="3"/>
        <charset val="134"/>
      </rPr>
      <t xml:space="preserve">方差分析表格
</t>
    </r>
    <r>
      <rPr>
        <sz val="8"/>
        <rFont val="Arial"/>
        <family val="2"/>
      </rPr>
      <t xml:space="preserve">ANOVA Table </t>
    </r>
  </si>
  <si>
    <r>
      <rPr>
        <sz val="8"/>
        <rFont val="宋体"/>
        <family val="3"/>
        <charset val="134"/>
      </rPr>
      <t>操作员和零件的相互作用</t>
    </r>
    <r>
      <rPr>
        <sz val="8"/>
        <rFont val="Arial"/>
        <family val="2"/>
      </rPr>
      <t xml:space="preserve"> Operator*Part Interaction</t>
    </r>
  </si>
  <si>
    <r>
      <rPr>
        <sz val="8"/>
        <rFont val="宋体"/>
        <family val="3"/>
        <charset val="134"/>
      </rPr>
      <t xml:space="preserve">变差来源
</t>
    </r>
    <r>
      <rPr>
        <sz val="8"/>
        <rFont val="Arial"/>
        <family val="2"/>
      </rPr>
      <t>Source</t>
    </r>
  </si>
  <si>
    <r>
      <rPr>
        <sz val="8"/>
        <rFont val="宋体"/>
        <family val="3"/>
        <charset val="134"/>
      </rPr>
      <t>自由</t>
    </r>
    <r>
      <rPr>
        <sz val="8"/>
        <rFont val="Arial"/>
        <family val="2"/>
      </rPr>
      <t>DF
Degree of freedom</t>
    </r>
  </si>
  <si>
    <r>
      <rPr>
        <sz val="8"/>
        <rFont val="宋体"/>
        <family val="3"/>
        <charset val="134"/>
      </rPr>
      <t>平方的总和</t>
    </r>
    <r>
      <rPr>
        <sz val="8"/>
        <rFont val="Arial"/>
        <family val="2"/>
      </rPr>
      <t>SS
Sum of squares</t>
    </r>
  </si>
  <si>
    <r>
      <rPr>
        <sz val="8"/>
        <rFont val="宋体"/>
        <family val="3"/>
        <charset val="134"/>
      </rPr>
      <t>平均平方</t>
    </r>
    <r>
      <rPr>
        <sz val="8"/>
        <rFont val="Arial"/>
        <family val="2"/>
      </rPr>
      <t>MS
Average square</t>
    </r>
  </si>
  <si>
    <r>
      <t>F-</t>
    </r>
    <r>
      <rPr>
        <sz val="8"/>
        <rFont val="宋体"/>
        <family val="3"/>
        <charset val="134"/>
      </rPr>
      <t xml:space="preserve">比率
</t>
    </r>
    <r>
      <rPr>
        <sz val="8"/>
        <rFont val="Arial"/>
        <family val="2"/>
      </rPr>
      <t>F-ratio</t>
    </r>
  </si>
  <si>
    <r>
      <rPr>
        <sz val="8"/>
        <rFont val="宋体"/>
        <family val="3"/>
        <charset val="134"/>
      </rPr>
      <t>有效分辨率</t>
    </r>
    <r>
      <rPr>
        <sz val="8"/>
        <rFont val="Arial"/>
        <family val="2"/>
      </rPr>
      <t>Availability Resolution(NDC)</t>
    </r>
  </si>
  <si>
    <r>
      <rPr>
        <sz val="8"/>
        <rFont val="宋体"/>
        <family val="3"/>
        <charset val="134"/>
      </rPr>
      <t>零件</t>
    </r>
    <r>
      <rPr>
        <sz val="8"/>
        <rFont val="Arial"/>
        <family val="2"/>
      </rPr>
      <t>Parts</t>
    </r>
  </si>
  <si>
    <r>
      <rPr>
        <sz val="8"/>
        <rFont val="宋体"/>
        <family val="3"/>
        <charset val="134"/>
      </rPr>
      <t>评价者</t>
    </r>
    <r>
      <rPr>
        <sz val="8"/>
        <rFont val="Arial"/>
        <family val="2"/>
      </rPr>
      <t>Operators</t>
    </r>
  </si>
  <si>
    <r>
      <rPr>
        <sz val="7"/>
        <rFont val="宋体"/>
        <family val="3"/>
        <charset val="134"/>
      </rPr>
      <t>评价者和零件</t>
    </r>
    <r>
      <rPr>
        <sz val="7"/>
        <rFont val="Arial"/>
        <family val="2"/>
      </rPr>
      <t>Operators*Part</t>
    </r>
  </si>
  <si>
    <r>
      <rPr>
        <sz val="8"/>
        <rFont val="宋体"/>
        <family val="3"/>
        <charset val="134"/>
      </rPr>
      <t>设备</t>
    </r>
    <r>
      <rPr>
        <sz val="8"/>
        <rFont val="Arial"/>
        <family val="2"/>
      </rPr>
      <t>Equipment</t>
    </r>
  </si>
  <si>
    <r>
      <rPr>
        <sz val="8"/>
        <rFont val="宋体"/>
        <family val="3"/>
        <charset val="134"/>
      </rPr>
      <t>汇总</t>
    </r>
    <r>
      <rPr>
        <sz val="8"/>
        <rFont val="Arial"/>
        <family val="2"/>
      </rPr>
      <t>Total</t>
    </r>
  </si>
  <si>
    <r>
      <rPr>
        <sz val="8"/>
        <rFont val="宋体"/>
        <family val="3"/>
        <charset val="134"/>
      </rPr>
      <t xml:space="preserve">变差估计值
</t>
    </r>
    <r>
      <rPr>
        <sz val="6"/>
        <rFont val="Arial"/>
        <family val="2"/>
      </rPr>
      <t>Estimate of vaiance</t>
    </r>
  </si>
  <si>
    <r>
      <rPr>
        <sz val="8"/>
        <rFont val="宋体"/>
        <family val="3"/>
        <charset val="134"/>
      </rPr>
      <t xml:space="preserve">标准偏差
</t>
    </r>
    <r>
      <rPr>
        <sz val="8"/>
        <rFont val="Arial"/>
        <family val="2"/>
      </rPr>
      <t>Stdev</t>
    </r>
  </si>
  <si>
    <r>
      <t>%</t>
    </r>
    <r>
      <rPr>
        <sz val="8"/>
        <rFont val="宋体"/>
        <family val="3"/>
        <charset val="134"/>
      </rPr>
      <t>贡献率</t>
    </r>
    <r>
      <rPr>
        <sz val="8"/>
        <rFont val="Arial"/>
        <family val="2"/>
      </rPr>
      <t>Contribution</t>
    </r>
  </si>
  <si>
    <r>
      <t>%</t>
    </r>
    <r>
      <rPr>
        <sz val="8"/>
        <rFont val="宋体"/>
        <family val="3"/>
        <charset val="134"/>
      </rPr>
      <t>总变差</t>
    </r>
    <r>
      <rPr>
        <sz val="8"/>
        <rFont val="Arial"/>
        <family val="2"/>
      </rPr>
      <t>TV</t>
    </r>
  </si>
  <si>
    <r>
      <t>%</t>
    </r>
    <r>
      <rPr>
        <sz val="8"/>
        <rFont val="宋体"/>
        <family val="3"/>
        <charset val="134"/>
      </rPr>
      <t>公差</t>
    </r>
    <r>
      <rPr>
        <sz val="8"/>
        <rFont val="Arial"/>
        <family val="2"/>
      </rPr>
      <t>Tolerance</t>
    </r>
  </si>
  <si>
    <r>
      <rPr>
        <sz val="8"/>
        <rFont val="宋体"/>
        <family val="3"/>
        <charset val="134"/>
      </rPr>
      <t>系统</t>
    </r>
    <r>
      <rPr>
        <sz val="6"/>
        <rFont val="Arial"/>
        <family val="2"/>
      </rPr>
      <t>Total Gauge R&amp;R</t>
    </r>
  </si>
  <si>
    <r>
      <rPr>
        <sz val="8"/>
        <rFont val="宋体"/>
        <family val="3"/>
        <charset val="134"/>
      </rPr>
      <t>重复性</t>
    </r>
    <r>
      <rPr>
        <sz val="6"/>
        <rFont val="Arial"/>
        <family val="2"/>
      </rPr>
      <t>Repeatability</t>
    </r>
  </si>
  <si>
    <r>
      <rPr>
        <sz val="8"/>
        <rFont val="宋体"/>
        <family val="3"/>
        <charset val="134"/>
      </rPr>
      <t>再现性</t>
    </r>
    <r>
      <rPr>
        <sz val="6"/>
        <rFont val="Arial"/>
        <family val="2"/>
      </rPr>
      <t>Reproducibility</t>
    </r>
  </si>
  <si>
    <r>
      <rPr>
        <sz val="8"/>
        <rFont val="宋体"/>
        <family val="3"/>
        <charset val="134"/>
      </rPr>
      <t>评价者</t>
    </r>
    <r>
      <rPr>
        <sz val="8"/>
        <rFont val="Arial"/>
        <family val="2"/>
      </rPr>
      <t>Operator</t>
    </r>
  </si>
  <si>
    <r>
      <rPr>
        <sz val="6"/>
        <rFont val="宋体"/>
        <family val="3"/>
        <charset val="134"/>
      </rPr>
      <t>相互作用</t>
    </r>
    <r>
      <rPr>
        <sz val="6"/>
        <rFont val="Arial"/>
        <family val="2"/>
      </rPr>
      <t>InteractionINT=0</t>
    </r>
  </si>
  <si>
    <r>
      <rPr>
        <sz val="8"/>
        <rFont val="宋体"/>
        <family val="3"/>
        <charset val="134"/>
      </rPr>
      <t>零件</t>
    </r>
    <r>
      <rPr>
        <sz val="8"/>
        <rFont val="Arial"/>
        <family val="2"/>
      </rPr>
      <t xml:space="preserve">Part </t>
    </r>
  </si>
  <si>
    <r>
      <rPr>
        <sz val="8"/>
        <rFont val="宋体"/>
        <family val="3"/>
        <charset val="134"/>
      </rPr>
      <t>总变差</t>
    </r>
    <r>
      <rPr>
        <sz val="6"/>
        <rFont val="Arial"/>
        <family val="2"/>
      </rPr>
      <t>Total Variation</t>
    </r>
  </si>
  <si>
    <r>
      <rPr>
        <sz val="8"/>
        <rFont val="宋体"/>
        <family val="3"/>
        <charset val="134"/>
      </rPr>
      <t>人与零件相互作用分界</t>
    </r>
    <r>
      <rPr>
        <sz val="8"/>
        <rFont val="Arial"/>
        <family val="2"/>
      </rPr>
      <t xml:space="preserve"> P</t>
    </r>
    <r>
      <rPr>
        <sz val="8"/>
        <rFont val="宋体"/>
        <family val="3"/>
        <charset val="134"/>
      </rPr>
      <t>值</t>
    </r>
    <r>
      <rPr>
        <sz val="8"/>
        <rFont val="Arial"/>
        <family val="2"/>
      </rPr>
      <t xml:space="preserve">
The interaction between Operator and part boundaries P value is </t>
    </r>
  </si>
  <si>
    <r>
      <rPr>
        <sz val="8"/>
        <rFont val="宋体"/>
        <family val="3"/>
        <charset val="134"/>
      </rPr>
      <t>实际</t>
    </r>
    <r>
      <rPr>
        <sz val="8"/>
        <rFont val="Arial"/>
        <family val="2"/>
      </rPr>
      <t>P</t>
    </r>
    <r>
      <rPr>
        <sz val="8"/>
        <rFont val="宋体"/>
        <family val="3"/>
        <charset val="134"/>
      </rPr>
      <t xml:space="preserve">值
</t>
    </r>
    <r>
      <rPr>
        <sz val="8"/>
        <rFont val="Arial"/>
        <family val="2"/>
      </rPr>
      <t>Actual P Value</t>
    </r>
  </si>
  <si>
    <r>
      <rPr>
        <sz val="8"/>
        <rFont val="宋体"/>
        <family val="3"/>
        <charset val="134"/>
      </rPr>
      <t xml:space="preserve">基于零件变差
</t>
    </r>
    <r>
      <rPr>
        <sz val="8"/>
        <rFont val="Arial"/>
        <family val="2"/>
      </rPr>
      <t>Base on parts variation</t>
    </r>
  </si>
  <si>
    <r>
      <rPr>
        <sz val="8"/>
        <rFont val="宋体"/>
        <family val="3"/>
        <charset val="134"/>
      </rPr>
      <t xml:space="preserve">基于公差
</t>
    </r>
    <r>
      <rPr>
        <sz val="8"/>
        <rFont val="Arial"/>
        <family val="2"/>
      </rPr>
      <t>Base on parts spec</t>
    </r>
  </si>
  <si>
    <r>
      <rPr>
        <sz val="8"/>
        <rFont val="宋体"/>
        <family val="3"/>
        <charset val="134"/>
      </rPr>
      <t xml:space="preserve">分析方法
</t>
    </r>
    <r>
      <rPr>
        <sz val="8"/>
        <rFont val="Arial"/>
        <family val="2"/>
      </rPr>
      <t>Analysis method</t>
    </r>
  </si>
  <si>
    <r>
      <rPr>
        <i/>
        <sz val="10"/>
        <rFont val="ＭＳ Ｐゴシック"/>
        <family val="3"/>
        <charset val="128"/>
      </rPr>
      <t>基于公差</t>
    </r>
    <r>
      <rPr>
        <i/>
        <sz val="10"/>
        <rFont val="Arial"/>
        <family val="2"/>
      </rPr>
      <t>Base on parts spec</t>
    </r>
  </si>
  <si>
    <r>
      <rPr>
        <i/>
        <sz val="10"/>
        <rFont val="宋体"/>
        <family val="3"/>
        <charset val="134"/>
      </rPr>
      <t xml:space="preserve">结论
</t>
    </r>
    <r>
      <rPr>
        <i/>
        <sz val="10"/>
        <rFont val="Arial"/>
        <family val="2"/>
      </rPr>
      <t>Result</t>
    </r>
  </si>
  <si>
    <r>
      <rPr>
        <sz val="8"/>
        <rFont val="宋体"/>
        <family val="3"/>
        <charset val="134"/>
      </rPr>
      <t xml:space="preserve">分析评价措施
</t>
    </r>
    <r>
      <rPr>
        <sz val="8"/>
        <rFont val="Arial"/>
        <family val="2"/>
      </rPr>
      <t>Analysis and action</t>
    </r>
  </si>
  <si>
    <r>
      <rPr>
        <sz val="8"/>
        <rFont val="宋体"/>
        <family val="3"/>
        <charset val="134"/>
      </rPr>
      <t>分析人</t>
    </r>
    <r>
      <rPr>
        <sz val="8"/>
        <rFont val="Arial"/>
        <family val="2"/>
      </rPr>
      <t>Analyst</t>
    </r>
  </si>
  <si>
    <t>Jakkapan.P</t>
  </si>
  <si>
    <r>
      <rPr>
        <sz val="8"/>
        <rFont val="宋体"/>
        <family val="3"/>
        <charset val="134"/>
      </rPr>
      <t>日期</t>
    </r>
    <r>
      <rPr>
        <sz val="8"/>
        <rFont val="Arial"/>
        <family val="2"/>
      </rPr>
      <t>Date</t>
    </r>
  </si>
  <si>
    <t>UCLR</t>
  </si>
  <si>
    <t>LCLR</t>
  </si>
  <si>
    <t>公差：</t>
  </si>
  <si>
    <t>变差</t>
  </si>
  <si>
    <t>基于公差base on parts spec</t>
  </si>
  <si>
    <t>基于零件变差base on parts variation</t>
  </si>
  <si>
    <t>基于过程变差base on process variation</t>
  </si>
  <si>
    <t>基于过程能力Base on process PP</t>
  </si>
  <si>
    <t>公式A Formula A</t>
  </si>
  <si>
    <t>公式B Formula B</t>
  </si>
  <si>
    <t>Main Step 1.</t>
  </si>
  <si>
    <t>ทำการตรวจ Raw Data ที่ได้มาจาก 10.17.72.74 จะเป็น Raw Data ผลการทดสอบเพื่อเก็บมาทำ GRR แต่ละ Tester (Code) ในแต่ละรอบที่ทำการเก็บ Raw Data เพื่อทำ GRR</t>
  </si>
  <si>
    <t>_จะใช้ Operator 3 คน</t>
  </si>
  <si>
    <t>O/P A</t>
  </si>
  <si>
    <t>O/P B</t>
  </si>
  <si>
    <t>O/P C</t>
  </si>
  <si>
    <t>_ทำการทดสอบ Sample Product ที่จะใช้คำนวณ GRR จำนวน 10 ชิ้น (ซึ่งจะมี 2D Code ที่ผ่านจาก Tester Code หรือ Machine นั้น 90 Data โดยการทดสอบ  Sample Product 10 ชิ้น ทดสอบ โดย O/P A 3 ครั้ง , O/P B 3 ครั้ง , O/P C 3 ครั้ง รวมเป็น 90 Data)</t>
  </si>
  <si>
    <t>เมื่อทำการตรวจจับเจอ Raw Data 90 Data ที่เป็น Individual ออกจาก Tester (Code) และ Machine Code นั้นๆ ให้ทำการรวมไฟล์เป็น ไฟล์ เดียว ที่มี Data 90 Data ในไฟล์นั้นเพื่อเตรียมการจัดเรียง ให้เข้ากับวิธีการที่จะ Analysis หรือ คำนวณ</t>
  </si>
  <si>
    <t>_โดยการเลือกตำแหน่ง SUS ส่วนมากจะอยู่ใน Collum แถวสุดท้ายของไฟล์ ซึ่งเป็นแนวตั้ง (ซึ่งอาจต้องนำมา หมุนกลับเป็นแนวนอน ให้กลายเป็น Data ของ Sample Product 10 ชิ้น , ชิ้นละ 3 Data ต่อ O/P หนึ่งคน (*HIOKI File)</t>
  </si>
  <si>
    <t>Main Step 2. Start Calculate</t>
  </si>
  <si>
    <t>Input Value Raw Data สำหรับ O/P A , B , C</t>
  </si>
  <si>
    <t>คำนวณ</t>
  </si>
  <si>
    <t>ตารางค่าคงที่ ใช้สำหรับการ คำนวณต่อ</t>
  </si>
  <si>
    <t>คำนวณ R bar bar</t>
  </si>
  <si>
    <t>ข้อที่ 9 (Ra+Rb+Rc)/3</t>
  </si>
  <si>
    <t>คำนวณ Xdiff</t>
  </si>
  <si>
    <t>ข้อที่8</t>
  </si>
  <si>
    <t>Max(Xa,Xb,Xc)-Min(Xa,Xb,Xc)</t>
  </si>
  <si>
    <t>คำนวณ UCLx</t>
  </si>
  <si>
    <t>ข้อที่ 13 + 1.023 x ข้อที่ 16</t>
  </si>
  <si>
    <t>คำนวณ LCLx</t>
  </si>
  <si>
    <t>ข้อที่ 13 - 1.023 x ข้อที่ 16</t>
  </si>
  <si>
    <t>คำนวณ UCLr</t>
  </si>
  <si>
    <t>2.575 x ข้อที่ 16</t>
  </si>
  <si>
    <t>คำนวณ LCLr</t>
  </si>
  <si>
    <t>0 x ข้อที่ 16</t>
  </si>
  <si>
    <r>
      <t xml:space="preserve">คำนวณ </t>
    </r>
    <r>
      <rPr>
        <sz val="11"/>
        <color rgb="FFFF0000"/>
        <rFont val="Tahoma"/>
        <family val="2"/>
        <scheme val="minor"/>
      </rPr>
      <t>Sum</t>
    </r>
    <r>
      <rPr>
        <sz val="11"/>
        <color theme="1"/>
        <rFont val="Tahoma"/>
        <family val="2"/>
        <scheme val="minor"/>
      </rPr>
      <t xml:space="preserve"> Value Raw Data ที่ O/P </t>
    </r>
    <r>
      <rPr>
        <sz val="11"/>
        <color rgb="FFFF0000"/>
        <rFont val="Tahoma"/>
        <family val="2"/>
        <scheme val="minor"/>
      </rPr>
      <t>A , B , C</t>
    </r>
    <r>
      <rPr>
        <sz val="11"/>
        <color theme="1"/>
        <rFont val="Tahoma"/>
        <family val="2"/>
        <scheme val="minor"/>
      </rPr>
      <t xml:space="preserve"> ทำการทดสอบแต่ละครั้ง (</t>
    </r>
    <r>
      <rPr>
        <sz val="11"/>
        <color rgb="FFFF0000"/>
        <rFont val="Tahoma"/>
        <family val="2"/>
        <scheme val="minor"/>
      </rPr>
      <t>แนวนอน</t>
    </r>
    <r>
      <rPr>
        <sz val="11"/>
        <color theme="1"/>
        <rFont val="Tahoma"/>
        <family val="2"/>
        <scheme val="minor"/>
      </rPr>
      <t>) ในแต่ละครั้งที่ทดสอบของ O/P นั้นๆ</t>
    </r>
  </si>
  <si>
    <r>
      <t>คำนวณ</t>
    </r>
    <r>
      <rPr>
        <sz val="11"/>
        <color rgb="FFFF0000"/>
        <rFont val="Tahoma"/>
        <family val="2"/>
        <scheme val="minor"/>
      </rPr>
      <t xml:space="preserve"> Sum</t>
    </r>
    <r>
      <rPr>
        <sz val="11"/>
        <color theme="1"/>
        <rFont val="Tahoma"/>
        <family val="2"/>
        <scheme val="minor"/>
      </rPr>
      <t xml:space="preserve"> Value Raw Data ที่ O/P </t>
    </r>
    <r>
      <rPr>
        <sz val="11"/>
        <color rgb="FFFF0000"/>
        <rFont val="Tahoma"/>
        <family val="2"/>
        <scheme val="minor"/>
      </rPr>
      <t>A , B , C</t>
    </r>
    <r>
      <rPr>
        <sz val="11"/>
        <color theme="1"/>
        <rFont val="Tahoma"/>
        <family val="2"/>
        <scheme val="minor"/>
      </rPr>
      <t xml:space="preserve"> ทำการทดสอบแต่ละครั้ง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</t>
    </r>
  </si>
  <si>
    <r>
      <t xml:space="preserve">คำนวณ </t>
    </r>
    <r>
      <rPr>
        <sz val="11"/>
        <color rgb="FFFF0000"/>
        <rFont val="Tahoma"/>
        <family val="2"/>
        <scheme val="minor"/>
      </rPr>
      <t>Average</t>
    </r>
    <r>
      <rPr>
        <sz val="11"/>
        <color theme="1"/>
        <rFont val="Tahoma"/>
        <family val="2"/>
        <scheme val="minor"/>
      </rPr>
      <t xml:space="preserve"> จาก Value Raw Data ที่ O/P</t>
    </r>
    <r>
      <rPr>
        <sz val="11"/>
        <color rgb="FFFF0000"/>
        <rFont val="Tahoma"/>
        <family val="2"/>
        <scheme val="minor"/>
      </rPr>
      <t xml:space="preserve"> A , B , C</t>
    </r>
    <r>
      <rPr>
        <sz val="11"/>
        <color theme="1"/>
        <rFont val="Tahoma"/>
        <family val="2"/>
        <scheme val="minor"/>
      </rPr>
      <t xml:space="preserve"> ทำการทดสอบแต่ละครั้ง </t>
    </r>
    <r>
      <rPr>
        <sz val="11"/>
        <color rgb="FFFF0000"/>
        <rFont val="Tahoma"/>
        <family val="2"/>
        <scheme val="minor"/>
      </rPr>
      <t>(แนวนอน</t>
    </r>
    <r>
      <rPr>
        <sz val="11"/>
        <color theme="1"/>
        <rFont val="Tahoma"/>
        <family val="2"/>
        <scheme val="minor"/>
      </rPr>
      <t>) ในแต่ละครั้งที่ทดสอบของ O/P นั้นๆ</t>
    </r>
  </si>
  <si>
    <r>
      <t>ใช้การคำนวณ</t>
    </r>
    <r>
      <rPr>
        <sz val="11"/>
        <color rgb="FFFF0000"/>
        <rFont val="Tahoma"/>
        <family val="2"/>
        <scheme val="minor"/>
      </rPr>
      <t xml:space="preserve"> Average</t>
    </r>
    <r>
      <rPr>
        <sz val="11"/>
        <color theme="1"/>
        <rFont val="Tahoma"/>
        <family val="2"/>
        <scheme val="minor"/>
      </rPr>
      <t xml:space="preserve"> 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2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 </t>
    </r>
    <r>
      <rPr>
        <sz val="11"/>
        <color rgb="FFFF0000"/>
        <rFont val="Tahoma"/>
        <family val="2"/>
        <scheme val="minor"/>
      </rPr>
      <t>A</t>
    </r>
    <r>
      <rPr>
        <sz val="11"/>
        <color theme="1"/>
        <rFont val="Tahoma"/>
        <family val="2"/>
        <scheme val="minor"/>
      </rPr>
      <t>)</t>
    </r>
  </si>
  <si>
    <r>
      <t xml:space="preserve">ใช้การคำนวณ </t>
    </r>
    <r>
      <rPr>
        <sz val="11"/>
        <color rgb="FFFF0000"/>
        <rFont val="Tahoma"/>
        <family val="2"/>
        <scheme val="minor"/>
      </rPr>
      <t>Average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2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 </t>
    </r>
    <r>
      <rPr>
        <sz val="11"/>
        <color rgb="FFFF0000"/>
        <rFont val="Tahoma"/>
        <family val="2"/>
        <scheme val="minor"/>
      </rPr>
      <t>B</t>
    </r>
    <r>
      <rPr>
        <sz val="11"/>
        <color theme="1"/>
        <rFont val="Tahoma"/>
        <family val="2"/>
        <scheme val="minor"/>
      </rPr>
      <t>)</t>
    </r>
  </si>
  <si>
    <r>
      <t>ใช้การคำนวณ</t>
    </r>
    <r>
      <rPr>
        <sz val="11"/>
        <color rgb="FFFF0000"/>
        <rFont val="Tahoma"/>
        <family val="2"/>
        <scheme val="minor"/>
      </rPr>
      <t xml:space="preserve"> Average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2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 </t>
    </r>
    <r>
      <rPr>
        <sz val="11"/>
        <color rgb="FFFF0000"/>
        <rFont val="Tahoma"/>
        <family val="2"/>
        <scheme val="minor"/>
      </rPr>
      <t>C</t>
    </r>
    <r>
      <rPr>
        <sz val="11"/>
        <color theme="1"/>
        <rFont val="Tahoma"/>
        <family val="2"/>
        <scheme val="minor"/>
      </rPr>
      <t>)</t>
    </r>
  </si>
  <si>
    <r>
      <t>ใช้การคำนวณ</t>
    </r>
    <r>
      <rPr>
        <sz val="11"/>
        <color rgb="FFFF0000"/>
        <rFont val="Tahoma"/>
        <family val="2"/>
        <scheme val="minor"/>
      </rPr>
      <t xml:space="preserve"> Average</t>
    </r>
    <r>
      <rPr>
        <sz val="11"/>
        <color theme="1"/>
        <rFont val="Tahoma"/>
        <family val="2"/>
        <scheme val="minor"/>
      </rPr>
      <t xml:space="preserve"> ที่ Range Value</t>
    </r>
    <r>
      <rPr>
        <sz val="11"/>
        <color rgb="FFFF0000"/>
        <rFont val="Tahoma"/>
        <family val="2"/>
        <scheme val="minor"/>
      </rPr>
      <t xml:space="preserve">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4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</t>
    </r>
    <r>
      <rPr>
        <sz val="11"/>
        <color rgb="FFFF0000"/>
        <rFont val="Tahoma"/>
        <family val="2"/>
        <scheme val="minor"/>
      </rPr>
      <t xml:space="preserve"> A</t>
    </r>
    <r>
      <rPr>
        <sz val="11"/>
        <color theme="1"/>
        <rFont val="Tahoma"/>
        <family val="2"/>
        <scheme val="minor"/>
      </rPr>
      <t>)</t>
    </r>
  </si>
  <si>
    <r>
      <t>คำนวณ</t>
    </r>
    <r>
      <rPr>
        <sz val="11"/>
        <color rgb="FFFF0000"/>
        <rFont val="Tahoma"/>
        <family val="2"/>
        <scheme val="minor"/>
      </rPr>
      <t xml:space="preserve"> Average </t>
    </r>
    <r>
      <rPr>
        <sz val="11"/>
        <color theme="1"/>
        <rFont val="Tahoma"/>
        <family val="2"/>
        <scheme val="minor"/>
      </rPr>
      <t xml:space="preserve">จาก Value Raw Data ที่ O/P </t>
    </r>
    <r>
      <rPr>
        <sz val="11"/>
        <color rgb="FFFF0000"/>
        <rFont val="Tahoma"/>
        <family val="2"/>
        <scheme val="minor"/>
      </rPr>
      <t>A , B , C</t>
    </r>
    <r>
      <rPr>
        <sz val="11"/>
        <color theme="1"/>
        <rFont val="Tahoma"/>
        <family val="2"/>
        <scheme val="minor"/>
      </rPr>
      <t xml:space="preserve"> ทำการทดสอบแต่ละครั้ง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</t>
    </r>
  </si>
  <si>
    <r>
      <t xml:space="preserve">คำนวณ </t>
    </r>
    <r>
      <rPr>
        <sz val="11"/>
        <color rgb="FFFF0000"/>
        <rFont val="Tahoma"/>
        <family val="2"/>
        <scheme val="minor"/>
      </rPr>
      <t>Range</t>
    </r>
    <r>
      <rPr>
        <sz val="11"/>
        <color theme="1"/>
        <rFont val="Tahoma"/>
        <family val="2"/>
        <scheme val="minor"/>
      </rPr>
      <t xml:space="preserve"> Value Raw Data ที่ O/P </t>
    </r>
    <r>
      <rPr>
        <sz val="11"/>
        <color rgb="FFFF0000"/>
        <rFont val="Tahoma"/>
        <family val="2"/>
        <scheme val="minor"/>
      </rPr>
      <t xml:space="preserve">A , B , C </t>
    </r>
    <r>
      <rPr>
        <sz val="11"/>
        <color theme="1"/>
        <rFont val="Tahoma"/>
        <family val="2"/>
        <scheme val="minor"/>
      </rPr>
      <t>ทำการทดสอบแต่ละครั้ง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 = MAX - MIN</t>
    </r>
  </si>
  <si>
    <r>
      <t xml:space="preserve">ใช้การคำนวณ </t>
    </r>
    <r>
      <rPr>
        <sz val="11"/>
        <color rgb="FFFF0000"/>
        <rFont val="Tahoma"/>
        <family val="2"/>
        <scheme val="minor"/>
      </rPr>
      <t>Average</t>
    </r>
    <r>
      <rPr>
        <sz val="11"/>
        <color theme="1"/>
        <rFont val="Tahoma"/>
        <family val="2"/>
        <scheme val="minor"/>
      </rPr>
      <t xml:space="preserve"> ที่ Range Value</t>
    </r>
    <r>
      <rPr>
        <sz val="11"/>
        <color rgb="FFFF0000"/>
        <rFont val="Tahoma"/>
        <family val="2"/>
        <scheme val="minor"/>
      </rPr>
      <t xml:space="preserve">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4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 </t>
    </r>
    <r>
      <rPr>
        <sz val="11"/>
        <color rgb="FFFF0000"/>
        <rFont val="Tahoma"/>
        <family val="2"/>
        <scheme val="minor"/>
      </rPr>
      <t>B</t>
    </r>
    <r>
      <rPr>
        <sz val="11"/>
        <color theme="1"/>
        <rFont val="Tahoma"/>
        <family val="2"/>
        <scheme val="minor"/>
      </rPr>
      <t xml:space="preserve"> )</t>
    </r>
  </si>
  <si>
    <r>
      <t xml:space="preserve">ใช้การคำนวณ </t>
    </r>
    <r>
      <rPr>
        <sz val="11"/>
        <color rgb="FFFF0000"/>
        <rFont val="Tahoma"/>
        <family val="2"/>
        <scheme val="minor"/>
      </rPr>
      <t>Average</t>
    </r>
    <r>
      <rPr>
        <sz val="11"/>
        <color theme="1"/>
        <rFont val="Tahoma"/>
        <family val="2"/>
        <scheme val="minor"/>
      </rPr>
      <t xml:space="preserve"> ที่ Range Value</t>
    </r>
    <r>
      <rPr>
        <sz val="11"/>
        <color rgb="FFFF0000"/>
        <rFont val="Tahoma"/>
        <family val="2"/>
        <scheme val="minor"/>
      </rPr>
      <t xml:space="preserve">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4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</t>
    </r>
    <r>
      <rPr>
        <sz val="11"/>
        <color rgb="FFFF0000"/>
        <rFont val="Tahoma"/>
        <family val="2"/>
        <scheme val="minor"/>
      </rPr>
      <t xml:space="preserve"> C</t>
    </r>
    <r>
      <rPr>
        <sz val="11"/>
        <color theme="1"/>
        <rFont val="Tahoma"/>
        <family val="2"/>
        <scheme val="minor"/>
      </rPr>
      <t>)</t>
    </r>
  </si>
  <si>
    <r>
      <t>การคำนวณ</t>
    </r>
    <r>
      <rPr>
        <sz val="11"/>
        <color rgb="FFFF0000"/>
        <rFont val="Tahoma"/>
        <family val="2"/>
        <scheme val="minor"/>
      </rPr>
      <t xml:space="preserve"> Average</t>
    </r>
    <r>
      <rPr>
        <sz val="11"/>
        <color theme="1"/>
        <rFont val="Tahoma"/>
        <family val="2"/>
        <scheme val="minor"/>
      </rPr>
      <t xml:space="preserve"> การทดสอบชิ้นงาน ชิ้นละ 3 ครั้ง ต่อ O/P แต่ละคน เป็นการ Average ทั้งหมดในแต่ละ ชิ้นงานด้วย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</t>
    </r>
  </si>
  <si>
    <r>
      <rPr>
        <sz val="11"/>
        <color rgb="FFFF0000"/>
        <rFont val="Tahoma"/>
        <family val="2"/>
        <scheme val="minor"/>
      </rPr>
      <t>Sum Total</t>
    </r>
    <r>
      <rPr>
        <sz val="11"/>
        <color theme="1"/>
        <rFont val="Tahoma"/>
        <family val="2"/>
        <scheme val="minor"/>
      </rPr>
      <t xml:space="preserve"> คือผลรวมการ รวมกันของ Value ในแต่ละ ชิ้นงาน และ แต่ละ O/P คนละ สามครั้งต่อชิ้นงาน ต่อการทดสอบ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</t>
    </r>
  </si>
  <si>
    <r>
      <rPr>
        <sz val="11"/>
        <color rgb="FFFF0000"/>
        <rFont val="Tahoma"/>
        <family val="2"/>
        <scheme val="minor"/>
      </rPr>
      <t>Sum Total</t>
    </r>
    <r>
      <rPr>
        <sz val="11"/>
        <color theme="1"/>
        <rFont val="Tahoma"/>
        <family val="2"/>
        <scheme val="minor"/>
      </rPr>
      <t xml:space="preserve"> คือผลรวมการ รวมกันของ Value ในแต่ละ ชิ้นงาน และ แต่ละ O/P คนละ สามครั้งต่อชิ้นงาน ต่อการทดสอบ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 แล้วนำมารวมกัน</t>
    </r>
    <r>
      <rPr>
        <sz val="11"/>
        <color rgb="FFFF0000"/>
        <rFont val="Tahoma"/>
        <family val="2"/>
        <scheme val="minor"/>
      </rPr>
      <t>ได้ค่าทั้งหมดเป็น แนวนอน</t>
    </r>
  </si>
  <si>
    <r>
      <t xml:space="preserve">การคำนวณ </t>
    </r>
    <r>
      <rPr>
        <sz val="11"/>
        <color rgb="FFFF0000"/>
        <rFont val="Tahoma"/>
        <family val="2"/>
        <scheme val="minor"/>
      </rPr>
      <t>Average</t>
    </r>
    <r>
      <rPr>
        <sz val="11"/>
        <color theme="1"/>
        <rFont val="Tahoma"/>
        <family val="2"/>
        <scheme val="minor"/>
      </rPr>
      <t xml:space="preserve"> การทดสอบชิ้นงาน</t>
    </r>
    <r>
      <rPr>
        <sz val="11"/>
        <color rgb="FFFF0000"/>
        <rFont val="Tahoma"/>
        <family val="2"/>
        <scheme val="minor"/>
      </rPr>
      <t xml:space="preserve"> ชิ้นละ 3 ครั้ง </t>
    </r>
    <r>
      <rPr>
        <sz val="11"/>
        <color theme="1"/>
        <rFont val="Tahoma"/>
        <family val="2"/>
        <scheme val="minor"/>
      </rPr>
      <t xml:space="preserve">ต่อ </t>
    </r>
    <r>
      <rPr>
        <sz val="11"/>
        <color rgb="FFFF0000"/>
        <rFont val="Tahoma"/>
        <family val="2"/>
        <scheme val="minor"/>
      </rPr>
      <t>O/P แต่ละคน</t>
    </r>
    <r>
      <rPr>
        <sz val="11"/>
        <color theme="1"/>
        <rFont val="Tahoma"/>
        <family val="2"/>
        <scheme val="minor"/>
      </rPr>
      <t xml:space="preserve"> เป็นการ Average ทั้งหมดในแต่ละ ชิ้นงานด้วย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 นำ</t>
    </r>
    <r>
      <rPr>
        <sz val="11"/>
        <color rgb="FFFF0000"/>
        <rFont val="Tahoma"/>
        <family val="2"/>
        <scheme val="minor"/>
      </rPr>
      <t>ค่าในข้อ 10 มา Average (แนวนอน)</t>
    </r>
  </si>
  <si>
    <r>
      <t>คำนวณ           ที่ O/P</t>
    </r>
    <r>
      <rPr>
        <sz val="11"/>
        <color rgb="FFFF0000"/>
        <rFont val="Tahoma"/>
        <family val="2"/>
        <scheme val="minor"/>
      </rPr>
      <t xml:space="preserve"> A , B , C</t>
    </r>
    <r>
      <rPr>
        <sz val="11"/>
        <color theme="1"/>
        <rFont val="Tahoma"/>
        <family val="2"/>
        <scheme val="minor"/>
      </rPr>
      <t xml:space="preserve"> ทำการทดสอบ</t>
    </r>
    <r>
      <rPr>
        <sz val="11"/>
        <color rgb="FFFF0000"/>
        <rFont val="Tahoma"/>
        <family val="2"/>
        <scheme val="minor"/>
      </rPr>
      <t>แต่ละครั้ง</t>
    </r>
    <r>
      <rPr>
        <sz val="11"/>
        <color theme="1"/>
        <rFont val="Tahoma"/>
        <family val="2"/>
        <scheme val="minor"/>
      </rPr>
      <t xml:space="preserve">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 = MAX - MIN</t>
    </r>
  </si>
  <si>
    <t>X-40-203</t>
  </si>
  <si>
    <t>lsl</t>
  </si>
  <si>
    <t>usl</t>
  </si>
  <si>
    <t>X-40-xxx</t>
  </si>
  <si>
    <t>XXXXXXXXXXXXXXXX</t>
  </si>
  <si>
    <t>mc_code</t>
  </si>
  <si>
    <t>mc_type</t>
  </si>
  <si>
    <t>sn</t>
  </si>
  <si>
    <t>op_id</t>
  </si>
  <si>
    <t>dimension</t>
  </si>
  <si>
    <t>value</t>
  </si>
  <si>
    <t>meas_time</t>
  </si>
  <si>
    <t>Hioki</t>
  </si>
  <si>
    <t>Syscom</t>
  </si>
  <si>
    <t>Y-40-111</t>
  </si>
  <si>
    <t>THA41420DUB17J2AM</t>
  </si>
  <si>
    <t>CH1</t>
  </si>
  <si>
    <t>FCT</t>
  </si>
  <si>
    <t>DFET::VDROP_SDA</t>
  </si>
  <si>
    <t>DFET::VDROP_SCL</t>
  </si>
  <si>
    <t>DFET::VDROP_INTB</t>
  </si>
  <si>
    <t>C1</t>
  </si>
  <si>
    <t>DFET::VDD_ACTIVE</t>
  </si>
  <si>
    <t>DFET::VDD_SLEEP</t>
  </si>
  <si>
    <t>T2-40-101</t>
  </si>
  <si>
    <t>Y-40-xxx</t>
  </si>
  <si>
    <t>THA322500C01Y701Z</t>
  </si>
  <si>
    <t>T2-40-xxx</t>
  </si>
  <si>
    <t>LCLx</t>
  </si>
  <si>
    <t>UCLr</t>
  </si>
  <si>
    <t xml:space="preserve"> LCLr</t>
  </si>
  <si>
    <t>x_bar</t>
  </si>
  <si>
    <t>x_bar_bar</t>
  </si>
  <si>
    <t>x_bar_p</t>
  </si>
  <si>
    <t>r_bar</t>
  </si>
  <si>
    <t>x_diff</t>
  </si>
  <si>
    <t>rp</t>
  </si>
  <si>
    <t>sum</t>
  </si>
  <si>
    <t>Sum C</t>
  </si>
  <si>
    <t>range</t>
  </si>
  <si>
    <t>avg(range)</t>
  </si>
  <si>
    <t>d3</t>
  </si>
  <si>
    <t>d4</t>
  </si>
  <si>
    <t>a2</t>
  </si>
  <si>
    <t>r_bar_bar</t>
  </si>
  <si>
    <t>(r_bar)/3</t>
  </si>
  <si>
    <t>avg (x_bar_p)</t>
  </si>
  <si>
    <t>Max(x_bar)-Min(x_bar)</t>
  </si>
  <si>
    <t>UCLx</t>
  </si>
  <si>
    <t>sn_no</t>
  </si>
  <si>
    <t>x_bar_p(max-min)</t>
  </si>
  <si>
    <t>avg</t>
  </si>
  <si>
    <t>Appraisers</t>
  </si>
  <si>
    <t>avg(avg)</t>
  </si>
  <si>
    <t>x_bar_bar +a2 * r_bar_bar</t>
  </si>
  <si>
    <t>x_bar_bar - a2 * r_bar_bar</t>
  </si>
  <si>
    <t>d4*r_bar_bar</t>
  </si>
  <si>
    <t>0*r_bar_bar</t>
  </si>
  <si>
    <t>Total_vertical</t>
  </si>
  <si>
    <t>Trials</t>
  </si>
  <si>
    <t>Samples</t>
  </si>
  <si>
    <t>Total_horizontal</t>
  </si>
  <si>
    <t>X^2/nkr</t>
  </si>
  <si>
    <t>sumSQ(sum(men))/nr</t>
  </si>
  <si>
    <t>SUMSQ(sum(1-10part))/kr</t>
  </si>
  <si>
    <t>SUMSQ(sum(men-part))/r</t>
  </si>
  <si>
    <t>sumSQ(all)</t>
  </si>
  <si>
    <t>type</t>
  </si>
  <si>
    <t>item</t>
  </si>
  <si>
    <t>formula df</t>
  </si>
  <si>
    <t>df</t>
  </si>
  <si>
    <t>ms</t>
  </si>
  <si>
    <t>formula f</t>
  </si>
  <si>
    <t>f</t>
  </si>
  <si>
    <t>formula p</t>
  </si>
  <si>
    <t>p</t>
  </si>
  <si>
    <t>sum(sum horizontal per op)</t>
  </si>
  <si>
    <t>(sum(total))^2/(Appraisers*Trials*Samples)</t>
  </si>
  <si>
    <t>(sum(total))/(Trials/Samples)</t>
  </si>
  <si>
    <t>SUMSQ(Total_vertical)/Appraisers/Trials</t>
  </si>
  <si>
    <t>SUMSQ(sum)/Trials</t>
  </si>
  <si>
    <t xml:space="preserve">sum all value 3 op </t>
  </si>
  <si>
    <t>ANOVA Table With Operator*Part Interaction</t>
  </si>
  <si>
    <t>Sample - 1</t>
  </si>
  <si>
    <t xml:space="preserve">SUMSQ(sum(1-10part))/kr    -     X^2/nkr </t>
  </si>
  <si>
    <t>ss/df</t>
  </si>
  <si>
    <t>ms part / ms operators*part</t>
  </si>
  <si>
    <t>FDIST(f part , df part, df operators*part)</t>
  </si>
  <si>
    <t>Appraisers - 1</t>
  </si>
  <si>
    <t>sumSQ(sum(men))/nr  -  X^2/nkr</t>
  </si>
  <si>
    <t>ms operators / ms operators*part</t>
  </si>
  <si>
    <t>FDIST(f operators, df operators, df operators*part)</t>
  </si>
  <si>
    <t>operators*part</t>
  </si>
  <si>
    <t>SUMSQ(sum(men-part))/r  -  SUMSQ(sum(1-10part))/kr  -  sumSQ(sum(men))/nr  +  X^2/nkr</t>
  </si>
  <si>
    <t>ms operators*part / repeatability</t>
  </si>
  <si>
    <t>FDIST(f operators*part, df operators*part, df repeatability)</t>
  </si>
  <si>
    <t>sumSQ(all)  -  SUMSQ(sum(men-part))/r</t>
  </si>
  <si>
    <t>null</t>
  </si>
  <si>
    <t>Appraisers x Trials x Sample - 1</t>
  </si>
  <si>
    <t>sumSQ(all)  -  X^2/nkr</t>
  </si>
  <si>
    <t>Appraisers x Sample x (Trials-1) + (Sample-1)*(Appraisers-1)</t>
  </si>
  <si>
    <t>ลำดับเก็บค่า varcomp</t>
  </si>
  <si>
    <t xml:space="preserve">item </t>
  </si>
  <si>
    <t>formula varcomp</t>
  </si>
  <si>
    <t>varcomp</t>
  </si>
  <si>
    <t>formula stdev</t>
  </si>
  <si>
    <t>stdev</t>
  </si>
  <si>
    <t>formula %contribution</t>
  </si>
  <si>
    <t>%contribution</t>
  </si>
  <si>
    <t>formula %tv</t>
  </si>
  <si>
    <t>%tv</t>
  </si>
  <si>
    <t>formula %tolerance</t>
  </si>
  <si>
    <t>Gauge R&amp;R With Operator*Part Interaction</t>
  </si>
  <si>
    <t>Total Gauge R&amp;R</t>
  </si>
  <si>
    <t>(varcomp Repeatability + varcomp Reproducibility) -----&gt; (Gauge R&amp;R With Operator*Part Interaction)</t>
  </si>
  <si>
    <t>SQRT(varcomp Total Gauge R&amp;R )</t>
  </si>
  <si>
    <t>Total Gauge R&amp;R (VarComp) / Total Variation (VarComp)</t>
  </si>
  <si>
    <t>Total Gauge R&amp;R (Stdev) / Total Variation (Stdev)</t>
  </si>
  <si>
    <t>6 x Total Gauge R&amp;R (Stdev)/(USL-LSL)</t>
  </si>
  <si>
    <t>ms repeatability ----&gt; (ANOVA Table With Operator*Part Interaction)</t>
  </si>
  <si>
    <t>SQRT(varcomp Repeatability )</t>
  </si>
  <si>
    <t>Repeatability (VarComp) / Total Variation (VarComp)</t>
  </si>
  <si>
    <t>Repeatability (Stdev) / Total Variation (Stdev)</t>
  </si>
  <si>
    <t>6 x Repeatability (Stdev)/(USL-LSL)</t>
  </si>
  <si>
    <t>Reproducibility</t>
  </si>
  <si>
    <t>(varcomp Operator + varcomp Operators*Part) ---&gt; (Gauge R&amp;R With Operator*Part Interaction)</t>
  </si>
  <si>
    <t>SQRT(varcomp Reproducibility )</t>
  </si>
  <si>
    <t>Reproducibility (VarComp) / Total Variation (VarComp)</t>
  </si>
  <si>
    <t>Reproducibility (Stdev) / Total Variation (Stdev)</t>
  </si>
  <si>
    <t>6 x Reproducibility (Stdev)/(USL-LSL)</t>
  </si>
  <si>
    <t>Operator</t>
  </si>
  <si>
    <t>SQRT(varcomp Operator)</t>
  </si>
  <si>
    <t>Operator (VarComp) / Total Variation (VarComp)</t>
  </si>
  <si>
    <t>Operator (Stdev) / Total Variation (Stdev)</t>
  </si>
  <si>
    <t>6 x Operator (Stdev)/(USL-LSL)</t>
  </si>
  <si>
    <t>Operators*Part</t>
  </si>
  <si>
    <t>(ms operators*part - ms repeatability )/ Trials ---&gt;(ANOVA Table With Operator*Part Interaction)</t>
  </si>
  <si>
    <t>SQRT(varcomp Operators*Part )</t>
  </si>
  <si>
    <t>Operator*Part (VarComp) / Total Variation (VarComp)</t>
  </si>
  <si>
    <t>Operator*Part (Stdev) / Total Variation (Stdev)</t>
  </si>
  <si>
    <t>6 x Operators*Part (Stdev)/(USL-LSL)</t>
  </si>
  <si>
    <t>(ms part - ms operators*part)/(Appraisers* Trials) -----&gt; (ANOVA Table With Operator*Part Interaction)</t>
  </si>
  <si>
    <t>SQRT(varcomp Part - To - Part )</t>
  </si>
  <si>
    <t>Part-To-Part (VarComp) / Total Variation (VarComp)</t>
  </si>
  <si>
    <t>Part-To-Part (Stdev) / Total Variation (Stdev)</t>
  </si>
  <si>
    <t>6 x Part - To - Part (Stdev)/(USL-LSL)</t>
  </si>
  <si>
    <t>(varcomp Total Gauge R&amp;R +  varcomp  Part - To - Part) ------&gt; (Gauge R&amp;R With Operator*Part Interaction)</t>
  </si>
  <si>
    <t>SQRT(varcomp Total Variation )</t>
  </si>
  <si>
    <t>Total Variation (VarComp) / Total Variation (VarComp)</t>
  </si>
  <si>
    <t>Total Variation (Stdev) / Total Variation (Stdev)</t>
  </si>
  <si>
    <t>6 x Total Variation (Stdev)/(USL-LSL)</t>
  </si>
  <si>
    <t>Total Gauge R&amp;R + Repeatability -----&gt;  (Gauge R&amp;R Without Operator*Part Interaction)</t>
  </si>
  <si>
    <t>ss repeatability/ df repeatability -----&gt; (ANOVA Table Without Operator*Part Interaction)</t>
  </si>
  <si>
    <t>เท่ากับ Operator</t>
  </si>
  <si>
    <t>IF((ms operators  -  ms repeatability)/( Sample *  Trials)&lt;0,0,(ms operators  -  ms repeatability)/( Sample *  Trials) -------&gt; (ANOVA Table Without Operator*Part Interaction)</t>
  </si>
  <si>
    <t>(ms part- ms repeatability)/(Appraisers x Trials) ----&gt; (ANOVA Table Without Operator*Part Interaction)</t>
  </si>
  <si>
    <t>Total Gauge R&amp;R +  Part - To - Part ----&gt; (Gauge R&amp;R Without Operator*Part Interaction)</t>
  </si>
  <si>
    <t xml:space="preserve">จากนั้นทำการ แสดงกราฟ ของ </t>
  </si>
  <si>
    <t>และค่า Value Average ของ O/P A , B , C (Value ข้อที่2)</t>
  </si>
  <si>
    <t>LCLr</t>
  </si>
  <si>
    <t>และค่า Value Range ของ O/P A , B , C (Value ข้อที่4)</t>
  </si>
  <si>
    <t>*Number Product ชิ้นที่ 1 - 10</t>
  </si>
  <si>
    <t>*ข้อที่ 18</t>
  </si>
  <si>
    <t>*ข้อที่ 19</t>
  </si>
  <si>
    <t>*ข้อที่ 20</t>
  </si>
  <si>
    <t>*ข้อที่ 21</t>
  </si>
  <si>
    <t>คำนวณค่า TV</t>
  </si>
  <si>
    <t>ใช้ค่าที่กำหนด USL - LSL/6</t>
  </si>
  <si>
    <t>คำนวณค่า</t>
  </si>
  <si>
    <t>ใช้ผลรวม (แนวนอน) ในข้อที่5 มารวมกันทั้ง 3 O/P แล้วทำการยกกำลัง2 จากนั้นทำการหารด้วย ค่า Appraisers(3) x Trials(3) x Samples(10)</t>
  </si>
  <si>
    <t>SUMSQ(sum(men))/nr</t>
  </si>
  <si>
    <t>ใช้ผลรวม (แนวนอน) เติมSQในข้อที่5 มารวมกันทั้ง 3 O/P แล้วจากนั้นทำการหารด้วย ค่า /Trials(3) / Samples(10)</t>
  </si>
  <si>
    <t>ใช้ผลรวม (แนวนอน) เติมSQในข้อที่3 มารวมกันทั้ง 3 O/P แล้วจากนั้นทำการหารด้วย ค่า /Appraisers(3) /Trials(3)</t>
  </si>
  <si>
    <t>ใช้ผลรวม (แนวนอน) เติมSQในข้อที่3 มารวมกันทั้ง 3 O/P แล้วจากนั้นทำการหารด้วย ค่า  /Trials(3)</t>
  </si>
  <si>
    <t>ใช้ผลรวม เติม SQ Value จากการทดสอบของ O/P A , B , C จากชิ้นงานตัวอย่าง 10 ชิ้น ชิ้นละ 3 ครั้ง ทั้งหมด</t>
  </si>
  <si>
    <t>Anova Table Operator*Part Interaction</t>
  </si>
  <si>
    <t>วัน/เดือน/ปี</t>
  </si>
  <si>
    <t>จำนวน Operator</t>
  </si>
  <si>
    <t>Q9</t>
  </si>
  <si>
    <t>ค่าคงที่ 3 เป็นจำนวนครั้งของการทดสอบซ้ำ</t>
  </si>
  <si>
    <t>Q11</t>
  </si>
  <si>
    <t>จำนวนตัวอย่างที่ทำสอบคือ 10</t>
  </si>
  <si>
    <t>Q13</t>
  </si>
  <si>
    <t>Item</t>
  </si>
  <si>
    <t>คำนวณ Part</t>
  </si>
  <si>
    <t>จำนวน Sample - 1</t>
  </si>
  <si>
    <t>ข้อที่ 26 - ข้อที่ 24</t>
  </si>
  <si>
    <t>SS/DF (Item1)</t>
  </si>
  <si>
    <t>MS(Item1)/MS(Item3)</t>
  </si>
  <si>
    <t>เติมสูตรFDIST(DF Item1,DF Item3,F Item1)</t>
  </si>
  <si>
    <t>คำนวณ Operators</t>
  </si>
  <si>
    <t>จำนวน Appraisers - 1</t>
  </si>
  <si>
    <t>ข้อที่ 25 - ข้อที่ 24</t>
  </si>
  <si>
    <t>SS/DF (Item2)</t>
  </si>
  <si>
    <t>MS(Item2)/MS(Item3)</t>
  </si>
  <si>
    <t>เติมสูตรFDIST(F Item2,DF Item2,DF Item3)</t>
  </si>
  <si>
    <t>คำนวณ Operators*Part</t>
  </si>
  <si>
    <t>Item1 x Item2</t>
  </si>
  <si>
    <t>ข้อที่ 27 - ข้อที่ 26 - ข้อที่ 25 + ข้อที่ 24</t>
  </si>
  <si>
    <t>SS/DF (Item3)</t>
  </si>
  <si>
    <t>MS(Item3)/MS(Item4)</t>
  </si>
  <si>
    <t>เติมสูตรFDIST(F Item3,DF Item3,DF Item4)</t>
  </si>
  <si>
    <t>คำนวณ Repeatability</t>
  </si>
  <si>
    <t>Appraisers(3) x Sample(10) x (Trials-1(2))</t>
  </si>
  <si>
    <t>ข้อที่ 28 - ข้อที่ 27</t>
  </si>
  <si>
    <t>SS/DF (Item4)</t>
  </si>
  <si>
    <t>จำนวน Appraisers(3) x Trials(3) x Sample(10) - 1</t>
  </si>
  <si>
    <t>ข้อที่ 28 - ข้อที่ 24</t>
  </si>
  <si>
    <t>เติมสูตรFDIST(F Item1,DF Item1,DF Item4)</t>
  </si>
  <si>
    <t>เติมสูตรFDIST(F Item2,DF Item2,DF Item5)</t>
  </si>
  <si>
    <t>Appraisers(3) x Sample(10) x (Trials-1(2)) + (Sample(10)-1(9))*(Appraisers(3)-1(2))</t>
  </si>
  <si>
    <t>ข้อที่ 28 - ข้อที่ 26 - ข้อที่ 25 + ข้อที่ 24</t>
  </si>
  <si>
    <t>Repeatability +   Reproducibility</t>
  </si>
  <si>
    <t>เติมสูตรSQRT(Item1) VarComp</t>
  </si>
  <si>
    <t>6 x Item1 (Stdev)/(USL-LSL)</t>
  </si>
  <si>
    <t>จากตารางที่ 29 MS</t>
  </si>
  <si>
    <t>เติมสูตรSQRT(Item2) VarComp</t>
  </si>
  <si>
    <t>6 x Item2 (Stdev)/(USL-LSL)</t>
  </si>
  <si>
    <t>Operator + Operators*Part</t>
  </si>
  <si>
    <t>เติมสูตรSQRT(Item3) VarComp</t>
  </si>
  <si>
    <t>6 x Item3 (Stdev)/(USL-LSL)</t>
  </si>
  <si>
    <t>MS (Item2) - MS (Item3) ข้องตารางข้อที่29 หาร /(จำนวน Sample(10) x Trials(3))</t>
  </si>
  <si>
    <t>เติมสูตรSQRT(Item4) VarComp</t>
  </si>
  <si>
    <t>6 x Item4 (Stdev)/(USL-LSL)</t>
  </si>
  <si>
    <t>MS (Item3) - MS (Item4) ข้องตารางข้อที่29 หาร/จำนวนรอบที่ทดสอบ(3)</t>
  </si>
  <si>
    <t>เติมสูตรSQRT(Item5) VarComp</t>
  </si>
  <si>
    <t>6 x Item5 (Stdev)/(USL-LSL)</t>
  </si>
  <si>
    <t>MS (Item1) - MS (Item3) ข้องตารางข้อที่29 หาร /(จำนวน Appraisers(3) x Trials(3))</t>
  </si>
  <si>
    <t>เติมสูตรSQRT(Item6) VarComp</t>
  </si>
  <si>
    <t>6 x Item6 (Stdev)/(USL-LSL)</t>
  </si>
  <si>
    <t>Total Gauge R&amp;R + Part-To-Part</t>
  </si>
  <si>
    <t>เติมสูตรSQRT(Item7) VarComp</t>
  </si>
  <si>
    <t>6 x Item7 (Stdev)/(USL-LSL)</t>
  </si>
  <si>
    <t>จากตารางที่ 30 MS</t>
  </si>
  <si>
    <t>MS (Item2) - MS (Item4) ข้องตารางข้อที่30 หาร /(จำนวน Sample(10) x Trials(3))</t>
  </si>
  <si>
    <t>MS (Item1) - MS (Item3) ข้องตารางข้อที่30 หาร /(จำนวน Appraisers(3) x Trials(3))</t>
  </si>
  <si>
    <t>formula  p_value</t>
  </si>
  <si>
    <t xml:space="preserve"> p_value</t>
  </si>
  <si>
    <t>formula actual_p_value</t>
  </si>
  <si>
    <t>actual_p_value</t>
  </si>
  <si>
    <r>
      <t xml:space="preserve">formula degree_of_freedom </t>
    </r>
    <r>
      <rPr>
        <sz val="11"/>
        <color rgb="FFFF0000"/>
        <rFont val="Tahoma"/>
        <family val="2"/>
        <scheme val="minor"/>
      </rPr>
      <t>df</t>
    </r>
  </si>
  <si>
    <t>degree_of_freedom</t>
  </si>
  <si>
    <t>sum_of_squares</t>
  </si>
  <si>
    <t>average_square</t>
  </si>
  <si>
    <t>f_ratio</t>
  </si>
  <si>
    <t>Part</t>
  </si>
  <si>
    <t>p operators*part----&gt; (ANOVA Table With Operator*Part Interaction )</t>
  </si>
  <si>
    <t>ANOVA Table</t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</si>
  <si>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Part</t>
    </r>
    <r>
      <rPr>
        <sz val="11"/>
        <color theme="5"/>
        <rFont val="Tahoma"/>
        <family val="2"/>
        <scheme val="minor"/>
      </rPr>
      <t xml:space="preserve"> (ANOVA Table With ),</t>
    </r>
    <r>
      <rPr>
        <sz val="11"/>
        <color rgb="FFFF0000"/>
        <rFont val="Tahoma"/>
        <family val="2"/>
        <scheme val="minor"/>
      </rPr>
      <t xml:space="preserve"> part</t>
    </r>
    <r>
      <rPr>
        <sz val="11"/>
        <color theme="5"/>
        <rFont val="Tahoma"/>
        <family val="2"/>
        <scheme val="minor"/>
      </rPr>
      <t>(ANOVA Table Without)</t>
    </r>
  </si>
  <si>
    <t>Ooperators</t>
  </si>
  <si>
    <r>
      <t xml:space="preserve">IF( p_value&gt;actual_p_value, </t>
    </r>
    <r>
      <rPr>
        <sz val="11"/>
        <color rgb="FFFF0000"/>
        <rFont val="Tahoma"/>
        <family val="2"/>
        <scheme val="minor"/>
      </rPr>
      <t>Operators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Operators</t>
    </r>
    <r>
      <rPr>
        <sz val="11"/>
        <color theme="5"/>
        <rFont val="Tahoma"/>
        <family val="2"/>
        <scheme val="minor"/>
      </rPr>
      <t>(ANOVA Table Without)</t>
    </r>
  </si>
  <si>
    <r>
      <t xml:space="preserve">IF( p_value&gt;actual_p_value, </t>
    </r>
    <r>
      <rPr>
        <sz val="11"/>
        <color rgb="FFFF0000"/>
        <rFont val="Tahoma"/>
        <family val="2"/>
        <scheme val="minor"/>
      </rPr>
      <t>Operators*Part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Operators*Part</t>
    </r>
    <r>
      <rPr>
        <sz val="11"/>
        <color theme="5"/>
        <rFont val="Tahoma"/>
        <family val="2"/>
        <scheme val="minor"/>
      </rPr>
      <t>(ANOVA Table Without)</t>
    </r>
  </si>
  <si>
    <t>Equipment</t>
  </si>
  <si>
    <r>
      <t xml:space="preserve">IF( p_value&gt;actual_p_value, </t>
    </r>
    <r>
      <rPr>
        <sz val="11"/>
        <color rgb="FFFF0000"/>
        <rFont val="Tahoma"/>
        <family val="2"/>
        <scheme val="minor"/>
      </rPr>
      <t>Equipment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Equipment</t>
    </r>
    <r>
      <rPr>
        <sz val="11"/>
        <color theme="5"/>
        <rFont val="Tahoma"/>
        <family val="2"/>
        <scheme val="minor"/>
      </rPr>
      <t>(ANOVA Table Without)</t>
    </r>
  </si>
  <si>
    <r>
      <t xml:space="preserve">IF( p_value&gt;actual_p_value, </t>
    </r>
    <r>
      <rPr>
        <sz val="11"/>
        <color rgb="FFFF0000"/>
        <rFont val="Tahoma"/>
        <family val="2"/>
        <scheme val="minor"/>
      </rPr>
      <t>Total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Total</t>
    </r>
    <r>
      <rPr>
        <sz val="11"/>
        <color theme="5"/>
        <rFont val="Tahoma"/>
        <family val="2"/>
        <scheme val="minor"/>
      </rPr>
      <t>(ANOVA Table Without)</t>
    </r>
  </si>
  <si>
    <r>
      <t xml:space="preserve">formula degree_of_freedom </t>
    </r>
    <r>
      <rPr>
        <sz val="11"/>
        <color rgb="FFFF0000"/>
        <rFont val="Tahoma"/>
        <family val="2"/>
        <scheme val="minor"/>
      </rPr>
      <t>varcomp</t>
    </r>
  </si>
  <si>
    <t>estimate_of_vaiance</t>
  </si>
  <si>
    <r>
      <t xml:space="preserve">formula stdev </t>
    </r>
    <r>
      <rPr>
        <sz val="11"/>
        <color rgb="FFFF0000"/>
        <rFont val="Tahoma"/>
        <family val="2"/>
        <scheme val="minor"/>
      </rPr>
      <t>stdev</t>
    </r>
  </si>
  <si>
    <r>
      <t xml:space="preserve">formula contribution </t>
    </r>
    <r>
      <rPr>
        <sz val="11"/>
        <color rgb="FFFF0000"/>
        <rFont val="Tahoma"/>
        <family val="2"/>
        <scheme val="minor"/>
      </rPr>
      <t>%contribution</t>
    </r>
  </si>
  <si>
    <t>contribution</t>
  </si>
  <si>
    <r>
      <t xml:space="preserve">formula tv </t>
    </r>
    <r>
      <rPr>
        <sz val="11"/>
        <color rgb="FFFF0000"/>
        <rFont val="Tahoma"/>
        <family val="2"/>
        <scheme val="minor"/>
      </rPr>
      <t>%tv</t>
    </r>
  </si>
  <si>
    <t>tv</t>
  </si>
  <si>
    <r>
      <t xml:space="preserve">formula tolerance </t>
    </r>
    <r>
      <rPr>
        <sz val="11"/>
        <color rgb="FFFF0000"/>
        <rFont val="Tahoma"/>
        <family val="2"/>
        <scheme val="minor"/>
      </rPr>
      <t>%Tolerance</t>
    </r>
  </si>
  <si>
    <t>tolerance</t>
  </si>
  <si>
    <t>availability Resolution(ndc)</t>
  </si>
  <si>
    <t>Gauge R&amp;R</t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</si>
  <si>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Total Gauge R&amp;R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Total Gauge R&amp;R</t>
    </r>
    <r>
      <rPr>
        <sz val="11"/>
        <color theme="5"/>
        <rFont val="Tahoma"/>
        <family val="2"/>
        <scheme val="minor"/>
      </rPr>
      <t>(Gauge R&amp;R Without)</t>
    </r>
  </si>
  <si>
    <t>ROUNDDOWN(1.41*stdev (Part )/stdev (Total Gauge R&amp;R),0)</t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</si>
  <si>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Repeatability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Repeatability</t>
    </r>
    <r>
      <rPr>
        <sz val="11"/>
        <color theme="5"/>
        <rFont val="Tahoma"/>
        <family val="2"/>
        <scheme val="minor"/>
      </rPr>
      <t>(Gauge R&amp;R Without)</t>
    </r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</si>
  <si>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Reproducibility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Reproducibility</t>
    </r>
    <r>
      <rPr>
        <sz val="11"/>
        <color theme="5"/>
        <rFont val="Tahoma"/>
        <family val="2"/>
        <scheme val="minor"/>
      </rPr>
      <t>(Gauge R&amp;R Without)</t>
    </r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</si>
  <si>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Operator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Operator</t>
    </r>
    <r>
      <rPr>
        <sz val="11"/>
        <color theme="5"/>
        <rFont val="Tahoma"/>
        <family val="2"/>
        <scheme val="minor"/>
      </rPr>
      <t>(Gauge R&amp;R Without)</t>
    </r>
  </si>
  <si>
    <t>InteractionINT=0</t>
  </si>
  <si>
    <t xml:space="preserve">Part </t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</si>
  <si>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Part - To - Part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Part - To - Part</t>
    </r>
    <r>
      <rPr>
        <sz val="11"/>
        <color theme="5"/>
        <rFont val="Tahoma"/>
        <family val="2"/>
        <scheme val="minor"/>
      </rPr>
      <t>(Gauge R&amp;R Without)</t>
    </r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</si>
  <si>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Total Variation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Total Variation</t>
    </r>
    <r>
      <rPr>
        <sz val="11"/>
        <color theme="5"/>
        <rFont val="Tahoma"/>
        <family val="2"/>
        <scheme val="minor"/>
      </rPr>
      <t>(Gauge R&amp;R Without)</t>
    </r>
  </si>
  <si>
    <r>
      <t xml:space="preserve">formula sum_of_squares  </t>
    </r>
    <r>
      <rPr>
        <sz val="11"/>
        <color rgb="FFFF0000"/>
        <rFont val="Tahoma"/>
        <family val="2"/>
        <scheme val="minor"/>
      </rPr>
      <t>ss</t>
    </r>
  </si>
  <si>
    <r>
      <t xml:space="preserve">formula average_square </t>
    </r>
    <r>
      <rPr>
        <sz val="11"/>
        <color rgb="FFFF0000"/>
        <rFont val="Tahoma"/>
        <family val="2"/>
        <scheme val="minor"/>
      </rPr>
      <t>ms</t>
    </r>
  </si>
  <si>
    <r>
      <t xml:space="preserve">formula f_ratio </t>
    </r>
    <r>
      <rPr>
        <sz val="11"/>
        <color rgb="FFFF0000"/>
        <rFont val="Tahoma"/>
        <family val="2"/>
        <scheme val="minor"/>
      </rPr>
      <t>f</t>
    </r>
  </si>
  <si>
    <r>
      <t xml:space="preserve">formula availability Resolution(ndc) </t>
    </r>
    <r>
      <rPr>
        <sz val="11"/>
        <color rgb="FF00B050"/>
        <rFont val="Tahoma"/>
        <family val="2"/>
        <scheme val="minor"/>
      </rPr>
      <t>stdev</t>
    </r>
  </si>
  <si>
    <t>sum(sum value 3 op_id per sn no.)</t>
  </si>
  <si>
    <t>avg(sum value 3 op_id per sn no.)</t>
  </si>
  <si>
    <t>Appraisers x Sample x (Trials-1)</t>
  </si>
  <si>
    <t>sumSQ(all)  -  SUMSQ(sum(1-10part))/kr  - sumSQ(sum(men))/nr + X^2/nkr</t>
  </si>
  <si>
    <t xml:space="preserve">ANOVA Table With and  Without </t>
  </si>
  <si>
    <t xml:space="preserve">Gauge R&amp;R With and  Without </t>
  </si>
  <si>
    <t>All op_id per sn</t>
  </si>
  <si>
    <t>per op_id</t>
  </si>
  <si>
    <t xml:space="preserve">ตามหน้า sample Template คือ ค่าคงที่ </t>
  </si>
  <si>
    <t>THA001</t>
  </si>
  <si>
    <t>SUS</t>
  </si>
  <si>
    <t>time</t>
  </si>
  <si>
    <t>THA002</t>
  </si>
  <si>
    <t>THA003</t>
  </si>
  <si>
    <t>THA004</t>
  </si>
  <si>
    <t>THA005</t>
  </si>
  <si>
    <t>THA006</t>
  </si>
  <si>
    <t>THA007</t>
  </si>
  <si>
    <t>THA008</t>
  </si>
  <si>
    <t>THA009</t>
  </si>
  <si>
    <t>THA010</t>
  </si>
  <si>
    <t>121.iot.smt.smt_grr_parameter_deg1</t>
  </si>
  <si>
    <t>121.iot.smt.smt_grr_job_datalake</t>
  </si>
  <si>
    <t>avg  3time per op_id and sn no.</t>
  </si>
  <si>
    <t>sum  3time per op_id and sn no.</t>
  </si>
  <si>
    <t>(max-min) 3time per op_id and sn no.</t>
  </si>
  <si>
    <t>Detail</t>
  </si>
  <si>
    <t>Box</t>
  </si>
  <si>
    <t>MC Auto</t>
  </si>
  <si>
    <t>MC Improvement</t>
  </si>
  <si>
    <t>Total time/lot</t>
  </si>
  <si>
    <t>Total cost man power Bath/Year</t>
  </si>
  <si>
    <t>Total cost cycle time MC Bath/Year</t>
  </si>
  <si>
    <t>Sum</t>
  </si>
  <si>
    <t>Deviation from Box (MC Auto)</t>
  </si>
  <si>
    <t>Deviation from Box (MC Improvement)</t>
  </si>
  <si>
    <t>Model :Box</t>
  </si>
  <si>
    <t>Model: MC Auto</t>
  </si>
  <si>
    <t>Model : Auto(ideas)</t>
  </si>
  <si>
    <t>Cost : Bath/Year</t>
  </si>
  <si>
    <t>Total cost</t>
  </si>
  <si>
    <t>Cost Savings</t>
  </si>
  <si>
    <t>Breakeven Point</t>
  </si>
  <si>
    <t>1 year and 8 months.</t>
  </si>
  <si>
    <t>1 year and 7 months.</t>
  </si>
  <si>
    <t>Total time hr./lot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</si>
</sst>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87" formatCode="0.0_ "/>
    <numFmt numFmtId="188" formatCode="0_ "/>
    <numFmt numFmtId="189" formatCode="0.0000_);[Red]\(0.0000\)"/>
    <numFmt numFmtId="190" formatCode="0.000000_ "/>
    <numFmt numFmtId="191" formatCode="0.00000_ "/>
    <numFmt numFmtId="192" formatCode="0.0000_ "/>
    <numFmt numFmtId="193" formatCode="0.0000"/>
    <numFmt numFmtId="194" formatCode="0_);[Red]\(0\)"/>
    <numFmt numFmtId="195" formatCode="0.000_);[Red]\(0.000\)"/>
    <numFmt numFmtId="196" formatCode="m/d/yy\ h:mm;@"/>
    <numFmt numFmtId="197" formatCode="0.000"/>
    <numFmt numFmtId="198" formatCode="0.00000"/>
    <numFmt numFmtId="199" formatCode="0.000000"/>
    <numFmt numFmtId="200" formatCode="0.00000E+00"/>
  </numFmts>
  <fonts count="54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2"/>
      <color rgb="FF000000"/>
      <name val="Calibri"/>
      <family val="2"/>
    </font>
    <font>
      <sz val="9"/>
      <color rgb="FF000000"/>
      <name val="宋体"/>
    </font>
    <font>
      <sz val="12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8"/>
      <color indexed="42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i/>
      <sz val="10"/>
      <name val="Arial"/>
      <family val="2"/>
    </font>
    <font>
      <b/>
      <i/>
      <sz val="10"/>
      <name val="宋体"/>
      <family val="3"/>
      <charset val="134"/>
    </font>
    <font>
      <sz val="8"/>
      <color indexed="22"/>
      <name val="Arial"/>
      <family val="2"/>
    </font>
    <font>
      <b/>
      <sz val="8"/>
      <name val="Arial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sz val="12"/>
      <name val="Arial"/>
      <family val="2"/>
    </font>
    <font>
      <b/>
      <sz val="8"/>
      <color indexed="8"/>
      <name val="Arial"/>
      <family val="2"/>
    </font>
    <font>
      <sz val="11"/>
      <color rgb="FF0070C0"/>
      <name val="Tahoma"/>
      <family val="2"/>
      <scheme val="minor"/>
    </font>
    <font>
      <sz val="7"/>
      <color indexed="8"/>
      <name val="Arial"/>
      <family val="2"/>
    </font>
    <font>
      <sz val="7"/>
      <color indexed="8"/>
      <name val="宋体"/>
      <family val="3"/>
      <charset val="134"/>
    </font>
    <font>
      <sz val="8"/>
      <color indexed="9"/>
      <name val="Arial"/>
      <family val="2"/>
    </font>
    <font>
      <sz val="7"/>
      <name val="Arial"/>
      <family val="2"/>
    </font>
    <font>
      <sz val="7"/>
      <name val="宋体"/>
      <family val="3"/>
      <charset val="134"/>
    </font>
    <font>
      <sz val="6"/>
      <name val="Arial"/>
      <family val="2"/>
    </font>
    <font>
      <u/>
      <sz val="8"/>
      <color indexed="12"/>
      <name val="Arial"/>
      <family val="2"/>
    </font>
    <font>
      <b/>
      <sz val="9"/>
      <name val="Arial"/>
      <family val="2"/>
    </font>
    <font>
      <sz val="6"/>
      <name val="宋体"/>
      <family val="3"/>
      <charset val="134"/>
    </font>
    <font>
      <sz val="8"/>
      <color indexed="12"/>
      <name val="Arial"/>
      <family val="2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i/>
      <sz val="10"/>
      <name val="宋体"/>
      <family val="3"/>
      <charset val="134"/>
    </font>
    <font>
      <i/>
      <sz val="16"/>
      <name val="Arial"/>
      <family val="2"/>
    </font>
    <font>
      <sz val="16"/>
      <name val="Arial"/>
      <family val="2"/>
    </font>
    <font>
      <sz val="8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sz val="11"/>
      <color rgb="FFFF0000"/>
      <name val="Tahoma"/>
      <family val="2"/>
      <scheme val="minor"/>
    </font>
    <font>
      <sz val="11"/>
      <color theme="5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2"/>
      <name val="Arial"/>
      <family val="2"/>
    </font>
    <font>
      <sz val="11"/>
      <color rgb="FF00B05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6"/>
      <color rgb="FF000000"/>
      <name val="Calibri"/>
    </font>
    <font>
      <sz val="16"/>
      <color rgb="FF000000"/>
      <name val="Calibri"/>
    </font>
    <font>
      <b/>
      <sz val="24"/>
      <color rgb="FF000000"/>
      <name val="Calibri"/>
    </font>
    <font>
      <b/>
      <sz val="24"/>
      <color rgb="FFFF0000"/>
      <name val="Calibri"/>
    </font>
    <font>
      <b/>
      <sz val="24"/>
      <color rgb="FF000000"/>
      <name val="Century Gothic"/>
      <family val="2"/>
    </font>
    <font>
      <sz val="24"/>
      <color rgb="FF000000"/>
      <name val="Century Gothic"/>
      <family val="2"/>
    </font>
    <font>
      <b/>
      <sz val="22"/>
      <color theme="1"/>
      <name val="Tahoma"/>
      <family val="2"/>
      <scheme val="minor"/>
    </font>
    <font>
      <sz val="22"/>
      <color theme="1"/>
      <name val="Tahoma"/>
      <family val="2"/>
      <scheme val="minor"/>
    </font>
    <font>
      <sz val="22"/>
      <color rgb="FF00B050"/>
      <name val="Tahoma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DAE3F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6" fillId="0" borderId="0"/>
    <xf numFmtId="0" fontId="16" fillId="0" borderId="0"/>
    <xf numFmtId="0" fontId="6" fillId="0" borderId="0"/>
  </cellStyleXfs>
  <cellXfs count="493">
    <xf numFmtId="0" fontId="0" fillId="0" borderId="0" xfId="0"/>
    <xf numFmtId="0" fontId="7" fillId="2" borderId="0" xfId="1" applyFont="1" applyFill="1" applyBorder="1">
      <alignment vertical="center"/>
    </xf>
    <xf numFmtId="0" fontId="5" fillId="2" borderId="0" xfId="1" applyFont="1" applyFill="1">
      <alignment vertical="center"/>
    </xf>
    <xf numFmtId="49" fontId="5" fillId="2" borderId="0" xfId="1" applyNumberFormat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12" fillId="2" borderId="0" xfId="1" applyFont="1" applyFill="1" applyBorder="1">
      <alignment vertical="center"/>
    </xf>
    <xf numFmtId="187" fontId="12" fillId="2" borderId="0" xfId="1" applyNumberFormat="1" applyFont="1" applyFill="1" applyBorder="1" applyAlignment="1">
      <alignment vertical="center" shrinkToFit="1"/>
    </xf>
    <xf numFmtId="187" fontId="12" fillId="2" borderId="5" xfId="1" applyNumberFormat="1" applyFont="1" applyFill="1" applyBorder="1" applyAlignment="1">
      <alignment vertical="center" shrinkToFit="1"/>
    </xf>
    <xf numFmtId="14" fontId="5" fillId="2" borderId="0" xfId="1" applyNumberFormat="1" applyFont="1" applyFill="1">
      <alignment vertical="center"/>
    </xf>
    <xf numFmtId="0" fontId="5" fillId="2" borderId="6" xfId="1" applyFont="1" applyFill="1" applyBorder="1">
      <alignment vertical="center"/>
    </xf>
    <xf numFmtId="0" fontId="5" fillId="2" borderId="7" xfId="1" applyFont="1" applyFill="1" applyBorder="1" applyAlignment="1" applyProtection="1">
      <alignment horizontal="center" vertical="center"/>
      <protection locked="0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4" xfId="1" applyFont="1" applyFill="1" applyBorder="1">
      <alignment vertical="center"/>
    </xf>
    <xf numFmtId="0" fontId="5" fillId="2" borderId="0" xfId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Border="1">
      <alignment vertical="center"/>
    </xf>
    <xf numFmtId="0" fontId="13" fillId="2" borderId="0" xfId="1" applyFont="1" applyFill="1" applyBorder="1" applyAlignment="1" applyProtection="1">
      <alignment horizontal="right" vertical="center"/>
      <protection hidden="1"/>
    </xf>
    <xf numFmtId="0" fontId="13" fillId="2" borderId="0" xfId="1" applyFont="1" applyFill="1" applyBorder="1" applyAlignment="1" applyProtection="1">
      <alignment horizontal="center" vertical="center" shrinkToFit="1"/>
      <protection locked="0"/>
    </xf>
    <xf numFmtId="0" fontId="5" fillId="2" borderId="1" xfId="1" applyFont="1" applyFill="1" applyBorder="1">
      <alignment vertical="center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>
      <alignment horizontal="center" vertical="center"/>
    </xf>
    <xf numFmtId="0" fontId="5" fillId="2" borderId="2" xfId="1" applyFont="1" applyFill="1" applyBorder="1">
      <alignment vertical="center"/>
    </xf>
    <xf numFmtId="0" fontId="12" fillId="2" borderId="2" xfId="1" applyFont="1" applyFill="1" applyBorder="1">
      <alignment vertical="center"/>
    </xf>
    <xf numFmtId="0" fontId="13" fillId="2" borderId="2" xfId="1" applyFont="1" applyFill="1" applyBorder="1" applyAlignment="1" applyProtection="1">
      <alignment horizontal="right" vertical="center"/>
      <protection hidden="1"/>
    </xf>
    <xf numFmtId="0" fontId="13" fillId="2" borderId="2" xfId="1" applyFont="1" applyFill="1" applyBorder="1" applyAlignment="1" applyProtection="1">
      <alignment horizontal="center" vertical="center" shrinkToFit="1"/>
      <protection locked="0"/>
    </xf>
    <xf numFmtId="0" fontId="13" fillId="2" borderId="3" xfId="1" applyFont="1" applyFill="1" applyBorder="1" applyAlignment="1" applyProtection="1">
      <alignment horizontal="center" vertical="center" shrinkToFit="1"/>
      <protection locked="0"/>
    </xf>
    <xf numFmtId="14" fontId="13" fillId="2" borderId="13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1" applyFont="1" applyFill="1" applyBorder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vertical="center"/>
    </xf>
    <xf numFmtId="49" fontId="5" fillId="2" borderId="0" xfId="1" applyNumberFormat="1" applyFont="1" applyFill="1" applyBorder="1" applyAlignment="1">
      <alignment horizontal="left" vertical="center" shrinkToFit="1"/>
    </xf>
    <xf numFmtId="49" fontId="5" fillId="0" borderId="0" xfId="1" applyNumberFormat="1" applyFont="1" applyFill="1" applyBorder="1" applyAlignment="1">
      <alignment horizontal="left" vertical="center" shrinkToFit="1"/>
    </xf>
    <xf numFmtId="49" fontId="5" fillId="2" borderId="0" xfId="1" applyNumberFormat="1" applyFont="1" applyFill="1" applyBorder="1" applyAlignment="1">
      <alignment horizontal="right" vertical="center" shrinkToFit="1"/>
    </xf>
    <xf numFmtId="0" fontId="5" fillId="2" borderId="5" xfId="1" applyFont="1" applyFill="1" applyBorder="1" applyAlignment="1">
      <alignment vertical="center"/>
    </xf>
    <xf numFmtId="188" fontId="17" fillId="2" borderId="13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1" applyFont="1" applyFill="1" applyBorder="1" applyAlignment="1">
      <alignment horizontal="left" vertical="center" shrinkToFit="1"/>
    </xf>
    <xf numFmtId="49" fontId="5" fillId="2" borderId="0" xfId="1" applyNumberFormat="1" applyFont="1" applyFill="1" applyBorder="1" applyAlignment="1" applyProtection="1">
      <alignment horizontal="right" vertical="center" shrinkToFit="1"/>
      <protection locked="0"/>
    </xf>
    <xf numFmtId="0" fontId="5" fillId="2" borderId="0" xfId="3" applyFont="1" applyFill="1" applyBorder="1" applyAlignment="1" applyProtection="1">
      <alignment horizontal="right" vertical="center" shrinkToFit="1"/>
      <protection hidden="1"/>
    </xf>
    <xf numFmtId="0" fontId="17" fillId="2" borderId="5" xfId="3" applyFont="1" applyFill="1" applyBorder="1" applyAlignment="1" applyProtection="1">
      <alignment horizontal="center" vertical="center" shrinkToFit="1"/>
      <protection hidden="1"/>
    </xf>
    <xf numFmtId="49" fontId="5" fillId="2" borderId="14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1" applyFont="1" applyFill="1" applyBorder="1" applyAlignment="1" applyProtection="1">
      <alignment vertical="center" shrinkToFit="1"/>
      <protection locked="0"/>
    </xf>
    <xf numFmtId="0" fontId="5" fillId="2" borderId="0" xfId="3" applyFont="1" applyFill="1" applyBorder="1" applyAlignment="1" applyProtection="1">
      <alignment horizontal="right" vertical="center"/>
      <protection hidden="1"/>
    </xf>
    <xf numFmtId="0" fontId="17" fillId="2" borderId="13" xfId="3" applyFont="1" applyFill="1" applyBorder="1" applyAlignment="1" applyProtection="1">
      <alignment horizontal="center" vertical="center" shrinkToFit="1"/>
      <protection hidden="1"/>
    </xf>
    <xf numFmtId="0" fontId="5" fillId="2" borderId="6" xfId="1" applyFont="1" applyFill="1" applyBorder="1" applyAlignment="1">
      <alignment horizontal="left" vertical="center"/>
    </xf>
    <xf numFmtId="0" fontId="5" fillId="2" borderId="7" xfId="1" applyFont="1" applyFill="1" applyBorder="1" applyAlignment="1">
      <alignment horizontal="right" vertical="center"/>
    </xf>
    <xf numFmtId="0" fontId="5" fillId="2" borderId="7" xfId="1" applyFont="1" applyFill="1" applyBorder="1" applyAlignment="1">
      <alignment vertical="center"/>
    </xf>
    <xf numFmtId="0" fontId="5" fillId="2" borderId="7" xfId="1" applyFont="1" applyFill="1" applyBorder="1" applyAlignment="1">
      <alignment horizontal="left" vertical="center"/>
    </xf>
    <xf numFmtId="0" fontId="5" fillId="2" borderId="7" xfId="3" applyFont="1" applyFill="1" applyBorder="1" applyAlignment="1" applyProtection="1">
      <alignment horizontal="right" vertical="center"/>
      <protection hidden="1"/>
    </xf>
    <xf numFmtId="0" fontId="17" fillId="2" borderId="8" xfId="3" applyFont="1" applyFill="1" applyBorder="1" applyAlignment="1" applyProtection="1">
      <alignment horizontal="center" vertical="center" shrinkToFit="1"/>
      <protection hidden="1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49" fontId="5" fillId="2" borderId="2" xfId="1" applyNumberFormat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2" xfId="1" applyFont="1" applyFill="1" applyBorder="1" applyAlignment="1" applyProtection="1">
      <alignment vertical="center" shrinkToFit="1"/>
      <protection locked="0"/>
    </xf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vertical="center"/>
    </xf>
    <xf numFmtId="1" fontId="5" fillId="2" borderId="20" xfId="1" applyNumberFormat="1" applyFont="1" applyFill="1" applyBorder="1" applyAlignment="1">
      <alignment horizontal="center" vertical="center"/>
    </xf>
    <xf numFmtId="1" fontId="5" fillId="2" borderId="21" xfId="1" applyNumberFormat="1" applyFont="1" applyFill="1" applyBorder="1" applyAlignment="1">
      <alignment horizontal="center" vertical="center"/>
    </xf>
    <xf numFmtId="0" fontId="5" fillId="2" borderId="17" xfId="1" quotePrefix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vertical="center"/>
    </xf>
    <xf numFmtId="49" fontId="5" fillId="2" borderId="18" xfId="1" applyNumberFormat="1" applyFont="1" applyFill="1" applyBorder="1" applyAlignment="1">
      <alignment vertical="center"/>
    </xf>
    <xf numFmtId="0" fontId="5" fillId="2" borderId="19" xfId="1" applyFont="1" applyFill="1" applyBorder="1" applyAlignment="1">
      <alignment vertical="center"/>
    </xf>
    <xf numFmtId="0" fontId="18" fillId="0" borderId="0" xfId="0" applyFont="1"/>
    <xf numFmtId="189" fontId="5" fillId="2" borderId="14" xfId="1" applyNumberFormat="1" applyFont="1" applyFill="1" applyBorder="1" applyAlignment="1" applyProtection="1">
      <alignment horizontal="center" vertical="center" shrinkToFit="1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vertical="center"/>
    </xf>
    <xf numFmtId="49" fontId="5" fillId="2" borderId="24" xfId="1" applyNumberFormat="1" applyFont="1" applyFill="1" applyBorder="1" applyAlignment="1">
      <alignment vertical="center"/>
    </xf>
    <xf numFmtId="0" fontId="5" fillId="2" borderId="11" xfId="1" applyFont="1" applyFill="1" applyBorder="1" applyAlignment="1">
      <alignment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right" vertical="center"/>
    </xf>
    <xf numFmtId="191" fontId="5" fillId="2" borderId="14" xfId="1" applyNumberFormat="1" applyFont="1" applyFill="1" applyBorder="1" applyAlignment="1">
      <alignment horizontal="center" vertical="center" shrinkToFit="1"/>
    </xf>
    <xf numFmtId="0" fontId="5" fillId="2" borderId="10" xfId="1" applyNumberFormat="1" applyFont="1" applyFill="1" applyBorder="1" applyAlignment="1" applyProtection="1">
      <alignment horizontal="center" vertical="center" shrinkToFit="1"/>
    </xf>
    <xf numFmtId="0" fontId="5" fillId="2" borderId="10" xfId="1" applyFont="1" applyFill="1" applyBorder="1" applyAlignment="1">
      <alignment horizontal="center" vertical="center"/>
    </xf>
    <xf numFmtId="190" fontId="5" fillId="2" borderId="27" xfId="1" applyNumberFormat="1" applyFont="1" applyFill="1" applyBorder="1" applyAlignment="1">
      <alignment horizontal="left" vertical="center" shrinkToFit="1"/>
    </xf>
    <xf numFmtId="0" fontId="5" fillId="2" borderId="28" xfId="1" applyFont="1" applyFill="1" applyBorder="1" applyAlignment="1">
      <alignment horizontal="center" vertical="center"/>
    </xf>
    <xf numFmtId="0" fontId="5" fillId="2" borderId="29" xfId="1" applyFont="1" applyFill="1" applyBorder="1" applyAlignment="1">
      <alignment vertical="center"/>
    </xf>
    <xf numFmtId="0" fontId="5" fillId="2" borderId="30" xfId="1" applyFont="1" applyFill="1" applyBorder="1" applyAlignment="1">
      <alignment horizontal="right" vertical="center"/>
    </xf>
    <xf numFmtId="192" fontId="5" fillId="2" borderId="14" xfId="1" applyNumberFormat="1" applyFont="1" applyFill="1" applyBorder="1" applyAlignment="1" applyProtection="1">
      <alignment horizontal="center" vertical="center" shrinkToFit="1"/>
    </xf>
    <xf numFmtId="0" fontId="5" fillId="2" borderId="31" xfId="1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vertical="center"/>
    </xf>
    <xf numFmtId="0" fontId="5" fillId="2" borderId="33" xfId="1" applyFont="1" applyFill="1" applyBorder="1" applyAlignment="1">
      <alignment horizontal="right" vertical="center"/>
    </xf>
    <xf numFmtId="0" fontId="5" fillId="2" borderId="14" xfId="1" applyNumberFormat="1" applyFont="1" applyFill="1" applyBorder="1" applyAlignment="1">
      <alignment horizontal="center" vertical="center" shrinkToFit="1"/>
    </xf>
    <xf numFmtId="0" fontId="5" fillId="2" borderId="21" xfId="1" applyFont="1" applyFill="1" applyBorder="1" applyAlignment="1">
      <alignment horizontal="center" vertical="center"/>
    </xf>
    <xf numFmtId="190" fontId="5" fillId="2" borderId="22" xfId="1" applyNumberFormat="1" applyFont="1" applyFill="1" applyBorder="1" applyAlignment="1">
      <alignment horizontal="left" vertical="center" shrinkToFit="1"/>
    </xf>
    <xf numFmtId="0" fontId="5" fillId="2" borderId="14" xfId="1" applyNumberFormat="1" applyFont="1" applyFill="1" applyBorder="1" applyAlignment="1" applyProtection="1">
      <alignment horizontal="center" vertical="center" shrinkToFit="1"/>
    </xf>
    <xf numFmtId="191" fontId="5" fillId="2" borderId="35" xfId="1" applyNumberFormat="1" applyFont="1" applyFill="1" applyBorder="1" applyAlignment="1">
      <alignment horizontal="center" vertical="center" shrinkToFit="1"/>
    </xf>
    <xf numFmtId="0" fontId="5" fillId="2" borderId="36" xfId="1" applyNumberFormat="1" applyFont="1" applyFill="1" applyBorder="1" applyAlignment="1">
      <alignment horizontal="center" vertical="center" shrinkToFit="1"/>
    </xf>
    <xf numFmtId="0" fontId="5" fillId="2" borderId="37" xfId="1" applyNumberFormat="1" applyFont="1" applyFill="1" applyBorder="1" applyAlignment="1">
      <alignment horizontal="center" vertical="center" shrinkToFit="1"/>
    </xf>
    <xf numFmtId="0" fontId="5" fillId="2" borderId="38" xfId="1" applyNumberFormat="1" applyFont="1" applyFill="1" applyBorder="1" applyAlignment="1">
      <alignment horizontal="center" vertical="center" shrinkToFit="1"/>
    </xf>
    <xf numFmtId="192" fontId="5" fillId="2" borderId="38" xfId="1" applyNumberFormat="1" applyFont="1" applyFill="1" applyBorder="1" applyAlignment="1">
      <alignment horizontal="center" vertical="center" shrinkToFit="1"/>
    </xf>
    <xf numFmtId="192" fontId="5" fillId="2" borderId="39" xfId="1" applyNumberFormat="1" applyFont="1" applyFill="1" applyBorder="1" applyAlignment="1">
      <alignment horizontal="center" vertical="center" shrinkToFit="1"/>
    </xf>
    <xf numFmtId="0" fontId="5" fillId="2" borderId="25" xfId="1" applyNumberFormat="1" applyFont="1" applyFill="1" applyBorder="1" applyAlignment="1" applyProtection="1">
      <alignment horizontal="center" vertical="center" shrinkToFit="1"/>
    </xf>
    <xf numFmtId="190" fontId="5" fillId="2" borderId="20" xfId="1" applyNumberFormat="1" applyFont="1" applyFill="1" applyBorder="1" applyAlignment="1">
      <alignment vertical="center" shrinkToFit="1"/>
    </xf>
    <xf numFmtId="190" fontId="5" fillId="2" borderId="14" xfId="1" applyNumberFormat="1" applyFont="1" applyFill="1" applyBorder="1" applyAlignment="1" applyProtection="1">
      <alignment horizontal="left" vertical="center" shrinkToFit="1"/>
    </xf>
    <xf numFmtId="190" fontId="5" fillId="2" borderId="5" xfId="1" applyNumberFormat="1" applyFont="1" applyFill="1" applyBorder="1" applyAlignment="1">
      <alignment horizontal="left" vertical="center" shrinkToFit="1"/>
    </xf>
    <xf numFmtId="190" fontId="5" fillId="2" borderId="46" xfId="1" applyNumberFormat="1" applyFont="1" applyFill="1" applyBorder="1" applyAlignment="1">
      <alignment vertical="center" shrinkToFit="1"/>
    </xf>
    <xf numFmtId="0" fontId="5" fillId="2" borderId="46" xfId="1" applyNumberFormat="1" applyFont="1" applyFill="1" applyBorder="1" applyAlignment="1" applyProtection="1">
      <alignment horizontal="center" vertical="center" shrinkToFit="1"/>
    </xf>
    <xf numFmtId="190" fontId="5" fillId="2" borderId="8" xfId="1" applyNumberFormat="1" applyFont="1" applyFill="1" applyBorder="1" applyAlignment="1">
      <alignment horizontal="left" vertical="center" shrinkToFit="1"/>
    </xf>
    <xf numFmtId="0" fontId="5" fillId="2" borderId="0" xfId="2" applyFont="1" applyFill="1" applyBorder="1"/>
    <xf numFmtId="193" fontId="5" fillId="2" borderId="18" xfId="1" applyNumberFormat="1" applyFont="1" applyFill="1" applyBorder="1" applyAlignment="1">
      <alignment horizontal="center" vertical="center"/>
    </xf>
    <xf numFmtId="190" fontId="5" fillId="2" borderId="18" xfId="1" applyNumberFormat="1" applyFont="1" applyFill="1" applyBorder="1" applyAlignment="1">
      <alignment horizontal="left" vertical="center" shrinkToFit="1"/>
    </xf>
    <xf numFmtId="0" fontId="5" fillId="2" borderId="18" xfId="1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center" vertical="center" shrinkToFit="1"/>
    </xf>
    <xf numFmtId="0" fontId="5" fillId="2" borderId="34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vertical="center"/>
    </xf>
    <xf numFmtId="193" fontId="5" fillId="2" borderId="24" xfId="1" applyNumberFormat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190" fontId="5" fillId="2" borderId="24" xfId="1" applyNumberFormat="1" applyFont="1" applyFill="1" applyBorder="1" applyAlignment="1">
      <alignment horizontal="left" vertical="center" shrinkToFit="1"/>
    </xf>
    <xf numFmtId="0" fontId="5" fillId="2" borderId="28" xfId="1" applyFont="1" applyFill="1" applyBorder="1" applyAlignment="1">
      <alignment vertical="center"/>
    </xf>
    <xf numFmtId="193" fontId="5" fillId="2" borderId="29" xfId="1" applyNumberFormat="1" applyFont="1" applyFill="1" applyBorder="1" applyAlignment="1">
      <alignment horizontal="center" vertical="center"/>
    </xf>
    <xf numFmtId="190" fontId="5" fillId="2" borderId="29" xfId="1" applyNumberFormat="1" applyFont="1" applyFill="1" applyBorder="1" applyAlignment="1">
      <alignment horizontal="left" vertical="center" shrinkToFit="1"/>
    </xf>
    <xf numFmtId="0" fontId="5" fillId="2" borderId="29" xfId="1" applyFont="1" applyFill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0" fontId="21" fillId="2" borderId="0" xfId="1" applyFont="1" applyFill="1" applyBorder="1" applyAlignment="1">
      <alignment vertical="center"/>
    </xf>
    <xf numFmtId="0" fontId="21" fillId="2" borderId="0" xfId="1" applyFont="1" applyFill="1" applyAlignment="1">
      <alignment vertical="center"/>
    </xf>
    <xf numFmtId="0" fontId="5" fillId="2" borderId="0" xfId="1" applyFont="1" applyFill="1" applyAlignment="1" applyProtection="1">
      <alignment vertical="center"/>
    </xf>
    <xf numFmtId="0" fontId="5" fillId="2" borderId="0" xfId="1" applyFont="1" applyFill="1" applyAlignment="1" applyProtection="1">
      <alignment horizontal="right"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</xf>
    <xf numFmtId="0" fontId="12" fillId="2" borderId="0" xfId="1" applyFont="1" applyFill="1" applyBorder="1" applyProtection="1">
      <alignment vertical="center"/>
    </xf>
    <xf numFmtId="187" fontId="12" fillId="2" borderId="0" xfId="1" applyNumberFormat="1" applyFont="1" applyFill="1" applyBorder="1" applyAlignment="1" applyProtection="1">
      <alignment vertical="center" shrinkToFit="1"/>
    </xf>
    <xf numFmtId="187" fontId="12" fillId="2" borderId="5" xfId="1" applyNumberFormat="1" applyFont="1" applyFill="1" applyBorder="1" applyAlignment="1" applyProtection="1">
      <alignment vertical="center" shrinkToFit="1"/>
    </xf>
    <xf numFmtId="0" fontId="5" fillId="2" borderId="0" xfId="1" applyFont="1" applyFill="1" applyBorder="1" applyProtection="1">
      <alignment vertical="center"/>
    </xf>
    <xf numFmtId="0" fontId="5" fillId="2" borderId="6" xfId="1" applyFont="1" applyFill="1" applyBorder="1" applyAlignment="1" applyProtection="1">
      <alignment vertical="center"/>
    </xf>
    <xf numFmtId="0" fontId="5" fillId="2" borderId="7" xfId="1" applyFont="1" applyFill="1" applyBorder="1" applyAlignment="1" applyProtection="1">
      <alignment vertical="center"/>
    </xf>
    <xf numFmtId="0" fontId="5" fillId="2" borderId="7" xfId="1" applyFont="1" applyFill="1" applyBorder="1" applyAlignment="1" applyProtection="1">
      <alignment horizontal="center" vertical="center"/>
    </xf>
    <xf numFmtId="0" fontId="5" fillId="2" borderId="8" xfId="1" applyFont="1" applyFill="1" applyBorder="1" applyAlignment="1" applyProtection="1">
      <alignment vertical="center"/>
    </xf>
    <xf numFmtId="0" fontId="5" fillId="2" borderId="1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vertical="center"/>
    </xf>
    <xf numFmtId="14" fontId="17" fillId="2" borderId="13" xfId="3" applyNumberFormat="1" applyFont="1" applyFill="1" applyBorder="1" applyAlignment="1" applyProtection="1">
      <alignment horizontal="center" vertical="center" shrinkToFit="1"/>
      <protection hidden="1"/>
    </xf>
    <xf numFmtId="0" fontId="7" fillId="2" borderId="0" xfId="1" applyNumberFormat="1" applyFont="1" applyFill="1" applyBorder="1" applyAlignment="1">
      <alignment vertical="center"/>
    </xf>
    <xf numFmtId="0" fontId="5" fillId="2" borderId="0" xfId="1" applyNumberFormat="1" applyFont="1" applyFill="1" applyAlignment="1">
      <alignment vertical="center"/>
    </xf>
    <xf numFmtId="0" fontId="5" fillId="2" borderId="4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horizontal="right" vertical="center"/>
    </xf>
    <xf numFmtId="0" fontId="5" fillId="2" borderId="0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horizontal="left" vertical="center" shrinkToFit="1"/>
    </xf>
    <xf numFmtId="0" fontId="22" fillId="2" borderId="0" xfId="1" applyNumberFormat="1" applyFont="1" applyFill="1" applyBorder="1" applyAlignment="1" applyProtection="1">
      <alignment horizontal="left" vertical="center" shrinkToFit="1"/>
    </xf>
    <xf numFmtId="0" fontId="22" fillId="2" borderId="0" xfId="1" applyNumberFormat="1" applyFont="1" applyFill="1" applyBorder="1" applyAlignment="1" applyProtection="1">
      <alignment horizontal="right" vertical="center"/>
    </xf>
    <xf numFmtId="0" fontId="22" fillId="2" borderId="0" xfId="3" applyNumberFormat="1" applyFont="1" applyFill="1" applyBorder="1" applyAlignment="1" applyProtection="1">
      <alignment horizontal="right" vertical="center" shrinkToFit="1"/>
      <protection hidden="1"/>
    </xf>
    <xf numFmtId="0" fontId="17" fillId="2" borderId="5" xfId="3" applyNumberFormat="1" applyFont="1" applyFill="1" applyBorder="1" applyAlignment="1" applyProtection="1">
      <alignment horizontal="center" vertical="center" shrinkToFit="1"/>
      <protection hidden="1"/>
    </xf>
    <xf numFmtId="0" fontId="17" fillId="2" borderId="13" xfId="3" applyNumberFormat="1" applyFont="1" applyFill="1" applyBorder="1" applyAlignment="1" applyProtection="1">
      <alignment horizontal="center" vertical="center" shrinkToFit="1"/>
      <protection hidden="1"/>
    </xf>
    <xf numFmtId="0" fontId="22" fillId="2" borderId="0" xfId="3" applyNumberFormat="1" applyFont="1" applyFill="1" applyBorder="1" applyAlignment="1" applyProtection="1">
      <alignment horizontal="right" vertical="center"/>
      <protection hidden="1"/>
    </xf>
    <xf numFmtId="0" fontId="22" fillId="2" borderId="14" xfId="1" applyNumberFormat="1" applyFont="1" applyFill="1" applyBorder="1" applyAlignment="1" applyProtection="1">
      <alignment vertical="center" shrinkToFit="1"/>
    </xf>
    <xf numFmtId="0" fontId="22" fillId="2" borderId="0" xfId="1" applyNumberFormat="1" applyFont="1" applyFill="1" applyBorder="1" applyAlignment="1" applyProtection="1">
      <alignment vertical="center" shrinkToFit="1"/>
    </xf>
    <xf numFmtId="0" fontId="22" fillId="2" borderId="0" xfId="1" applyNumberFormat="1" applyFont="1" applyFill="1" applyBorder="1" applyAlignment="1" applyProtection="1">
      <alignment vertical="center"/>
    </xf>
    <xf numFmtId="0" fontId="5" fillId="2" borderId="6" xfId="1" applyFont="1" applyFill="1" applyBorder="1" applyAlignment="1" applyProtection="1">
      <alignment horizontal="right" vertical="center"/>
    </xf>
    <xf numFmtId="0" fontId="5" fillId="2" borderId="7" xfId="1" applyFont="1" applyFill="1" applyBorder="1" applyAlignment="1" applyProtection="1">
      <alignment horizontal="right" vertical="center"/>
    </xf>
    <xf numFmtId="0" fontId="5" fillId="2" borderId="1" xfId="1" applyFont="1" applyFill="1" applyBorder="1" applyAlignment="1" applyProtection="1">
      <alignment horizontal="right" vertical="center"/>
    </xf>
    <xf numFmtId="0" fontId="5" fillId="2" borderId="2" xfId="1" applyFont="1" applyFill="1" applyBorder="1" applyAlignment="1" applyProtection="1">
      <alignment horizontal="right" vertical="center"/>
    </xf>
    <xf numFmtId="0" fontId="17" fillId="2" borderId="3" xfId="3" applyFont="1" applyFill="1" applyBorder="1" applyAlignment="1" applyProtection="1">
      <alignment horizontal="center" vertical="center" shrinkToFit="1"/>
      <protection hidden="1"/>
    </xf>
    <xf numFmtId="0" fontId="5" fillId="2" borderId="4" xfId="1" applyFont="1" applyFill="1" applyBorder="1" applyAlignment="1" applyProtection="1">
      <alignment vertical="center"/>
    </xf>
    <xf numFmtId="0" fontId="25" fillId="2" borderId="0" xfId="4" applyFont="1" applyFill="1" applyBorder="1" applyAlignment="1" applyProtection="1">
      <alignment horizontal="center" wrapText="1" shrinkToFit="1"/>
    </xf>
    <xf numFmtId="0" fontId="5" fillId="2" borderId="0" xfId="4" applyFont="1" applyFill="1" applyBorder="1" applyProtection="1"/>
    <xf numFmtId="0" fontId="5" fillId="2" borderId="0" xfId="1" applyFont="1" applyFill="1" applyBorder="1" applyAlignment="1" applyProtection="1">
      <alignment vertical="center"/>
    </xf>
    <xf numFmtId="0" fontId="5" fillId="2" borderId="0" xfId="4" applyFont="1" applyFill="1" applyBorder="1" applyAlignment="1" applyProtection="1">
      <alignment wrapText="1"/>
    </xf>
    <xf numFmtId="0" fontId="5" fillId="2" borderId="5" xfId="1" applyFont="1" applyFill="1" applyBorder="1" applyAlignment="1" applyProtection="1">
      <alignment vertical="center"/>
    </xf>
    <xf numFmtId="191" fontId="5" fillId="2" borderId="50" xfId="4" applyNumberFormat="1" applyFont="1" applyFill="1" applyBorder="1" applyAlignment="1" applyProtection="1"/>
    <xf numFmtId="191" fontId="5" fillId="2" borderId="30" xfId="4" applyNumberFormat="1" applyFont="1" applyFill="1" applyBorder="1" applyAlignment="1" applyProtection="1"/>
    <xf numFmtId="191" fontId="5" fillId="2" borderId="21" xfId="4" applyNumberFormat="1" applyFont="1" applyFill="1" applyBorder="1" applyAlignment="1" applyProtection="1"/>
    <xf numFmtId="191" fontId="5" fillId="2" borderId="19" xfId="4" applyNumberFormat="1" applyFont="1" applyFill="1" applyBorder="1" applyAlignment="1" applyProtection="1"/>
    <xf numFmtId="0" fontId="28" fillId="2" borderId="0" xfId="1" applyFont="1" applyFill="1" applyBorder="1" applyAlignment="1" applyProtection="1">
      <alignment vertical="center"/>
    </xf>
    <xf numFmtId="0" fontId="8" fillId="2" borderId="7" xfId="1" applyFont="1" applyFill="1" applyBorder="1" applyAlignment="1" applyProtection="1">
      <alignment vertical="center"/>
    </xf>
    <xf numFmtId="195" fontId="5" fillId="2" borderId="7" xfId="1" applyNumberFormat="1" applyFont="1" applyFill="1" applyBorder="1" applyAlignment="1" applyProtection="1">
      <alignment vertical="center" shrinkToFit="1"/>
    </xf>
    <xf numFmtId="0" fontId="5" fillId="2" borderId="2" xfId="1" applyFont="1" applyFill="1" applyBorder="1" applyAlignment="1" applyProtection="1">
      <alignment vertical="center" wrapText="1"/>
    </xf>
    <xf numFmtId="0" fontId="13" fillId="2" borderId="2" xfId="4" applyFont="1" applyFill="1" applyBorder="1" applyAlignment="1" applyProtection="1">
      <alignment wrapText="1"/>
    </xf>
    <xf numFmtId="0" fontId="29" fillId="2" borderId="0" xfId="1" applyFont="1" applyFill="1" applyBorder="1" applyAlignment="1" applyProtection="1">
      <alignment vertical="center"/>
    </xf>
    <xf numFmtId="0" fontId="29" fillId="2" borderId="0" xfId="1" applyFont="1" applyFill="1" applyBorder="1" applyAlignment="1" applyProtection="1">
      <alignment horizontal="right" vertical="center" wrapText="1"/>
    </xf>
    <xf numFmtId="0" fontId="5" fillId="2" borderId="6" xfId="1" applyFont="1" applyFill="1" applyBorder="1" applyAlignment="1">
      <alignment horizontal="right" vertical="center" wrapText="1"/>
    </xf>
    <xf numFmtId="0" fontId="32" fillId="2" borderId="7" xfId="1" applyFont="1" applyFill="1" applyBorder="1" applyAlignment="1">
      <alignment horizontal="center" vertical="center"/>
    </xf>
    <xf numFmtId="0" fontId="33" fillId="2" borderId="7" xfId="1" applyFont="1" applyFill="1" applyBorder="1" applyAlignment="1">
      <alignment vertical="center"/>
    </xf>
    <xf numFmtId="0" fontId="33" fillId="2" borderId="8" xfId="1" applyFont="1" applyFill="1" applyBorder="1" applyAlignment="1">
      <alignment vertical="center"/>
    </xf>
    <xf numFmtId="0" fontId="5" fillId="2" borderId="48" xfId="1" applyFont="1" applyFill="1" applyBorder="1" applyAlignment="1" applyProtection="1">
      <alignment vertical="center"/>
    </xf>
    <xf numFmtId="14" fontId="22" fillId="2" borderId="48" xfId="1" applyNumberFormat="1" applyFont="1" applyFill="1" applyBorder="1" applyAlignment="1" applyProtection="1">
      <alignment vertical="center"/>
    </xf>
    <xf numFmtId="0" fontId="5" fillId="2" borderId="49" xfId="1" applyFont="1" applyFill="1" applyBorder="1" applyAlignment="1" applyProtection="1">
      <alignment vertical="center"/>
    </xf>
    <xf numFmtId="0" fontId="5" fillId="2" borderId="0" xfId="1" applyFont="1" applyFill="1" applyAlignment="1">
      <alignment horizontal="left" vertical="center"/>
    </xf>
    <xf numFmtId="0" fontId="16" fillId="0" borderId="0" xfId="3"/>
    <xf numFmtId="0" fontId="1" fillId="0" borderId="0" xfId="0" applyFont="1"/>
    <xf numFmtId="0" fontId="38" fillId="0" borderId="0" xfId="0" applyFont="1"/>
    <xf numFmtId="0" fontId="0" fillId="5" borderId="0" xfId="0" applyFill="1"/>
    <xf numFmtId="0" fontId="0" fillId="6" borderId="0" xfId="0" applyFill="1"/>
    <xf numFmtId="0" fontId="0" fillId="0" borderId="14" xfId="0" applyBorder="1"/>
    <xf numFmtId="0" fontId="0" fillId="8" borderId="14" xfId="0" applyFill="1" applyBorder="1"/>
    <xf numFmtId="0" fontId="0" fillId="3" borderId="14" xfId="0" applyFill="1" applyBorder="1"/>
    <xf numFmtId="2" fontId="0" fillId="3" borderId="14" xfId="0" applyNumberFormat="1" applyFill="1" applyBorder="1"/>
    <xf numFmtId="0" fontId="39" fillId="0" borderId="14" xfId="0" applyFont="1" applyBorder="1"/>
    <xf numFmtId="0" fontId="0" fillId="7" borderId="14" xfId="0" applyFill="1" applyBorder="1"/>
    <xf numFmtId="196" fontId="0" fillId="7" borderId="14" xfId="0" applyNumberFormat="1" applyFill="1" applyBorder="1"/>
    <xf numFmtId="2" fontId="0" fillId="7" borderId="14" xfId="0" applyNumberFormat="1" applyFill="1" applyBorder="1"/>
    <xf numFmtId="196" fontId="0" fillId="3" borderId="14" xfId="0" applyNumberFormat="1" applyFill="1" applyBorder="1"/>
    <xf numFmtId="0" fontId="0" fillId="0" borderId="14" xfId="0" applyFill="1" applyBorder="1"/>
    <xf numFmtId="0" fontId="0" fillId="4" borderId="14" xfId="0" applyFill="1" applyBorder="1"/>
    <xf numFmtId="196" fontId="0" fillId="4" borderId="14" xfId="0" applyNumberFormat="1" applyFill="1" applyBorder="1"/>
    <xf numFmtId="0" fontId="0" fillId="5" borderId="14" xfId="0" applyFill="1" applyBorder="1"/>
    <xf numFmtId="196" fontId="0" fillId="5" borderId="14" xfId="0" applyNumberFormat="1" applyFill="1" applyBorder="1"/>
    <xf numFmtId="0" fontId="0" fillId="10" borderId="14" xfId="0" applyFill="1" applyBorder="1"/>
    <xf numFmtId="196" fontId="0" fillId="10" borderId="14" xfId="0" applyNumberFormat="1" applyFill="1" applyBorder="1"/>
    <xf numFmtId="197" fontId="0" fillId="10" borderId="14" xfId="0" applyNumberFormat="1" applyFill="1" applyBorder="1"/>
    <xf numFmtId="0" fontId="0" fillId="9" borderId="14" xfId="0" applyFill="1" applyBorder="1"/>
    <xf numFmtId="196" fontId="0" fillId="9" borderId="14" xfId="0" applyNumberFormat="1" applyFill="1" applyBorder="1"/>
    <xf numFmtId="197" fontId="0" fillId="9" borderId="14" xfId="0" applyNumberFormat="1" applyFill="1" applyBorder="1"/>
    <xf numFmtId="2" fontId="0" fillId="4" borderId="14" xfId="0" applyNumberFormat="1" applyFill="1" applyBorder="1"/>
    <xf numFmtId="2" fontId="0" fillId="5" borderId="14" xfId="0" applyNumberFormat="1" applyFill="1" applyBorder="1"/>
    <xf numFmtId="0" fontId="39" fillId="0" borderId="14" xfId="0" applyFont="1" applyFill="1" applyBorder="1"/>
    <xf numFmtId="2" fontId="0" fillId="0" borderId="14" xfId="0" applyNumberFormat="1" applyFill="1" applyBorder="1"/>
    <xf numFmtId="197" fontId="0" fillId="0" borderId="14" xfId="0" applyNumberFormat="1" applyFill="1" applyBorder="1"/>
    <xf numFmtId="2" fontId="39" fillId="0" borderId="14" xfId="0" applyNumberFormat="1" applyFont="1" applyFill="1" applyBorder="1"/>
    <xf numFmtId="197" fontId="18" fillId="0" borderId="0" xfId="0" applyNumberFormat="1" applyFont="1"/>
    <xf numFmtId="197" fontId="39" fillId="0" borderId="14" xfId="0" applyNumberFormat="1" applyFont="1" applyFill="1" applyBorder="1"/>
    <xf numFmtId="1" fontId="0" fillId="10" borderId="14" xfId="0" applyNumberFormat="1" applyFill="1" applyBorder="1"/>
    <xf numFmtId="2" fontId="0" fillId="10" borderId="14" xfId="0" applyNumberFormat="1" applyFill="1" applyBorder="1"/>
    <xf numFmtId="1" fontId="0" fillId="9" borderId="14" xfId="0" applyNumberFormat="1" applyFill="1" applyBorder="1"/>
    <xf numFmtId="2" fontId="0" fillId="9" borderId="14" xfId="0" applyNumberFormat="1" applyFill="1" applyBorder="1"/>
    <xf numFmtId="197" fontId="0" fillId="0" borderId="0" xfId="0" applyNumberFormat="1" applyFill="1" applyBorder="1"/>
    <xf numFmtId="0" fontId="0" fillId="0" borderId="10" xfId="0" applyBorder="1"/>
    <xf numFmtId="0" fontId="0" fillId="0" borderId="12" xfId="0" applyFill="1" applyBorder="1"/>
    <xf numFmtId="0" fontId="0" fillId="0" borderId="29" xfId="0" applyBorder="1"/>
    <xf numFmtId="0" fontId="0" fillId="0" borderId="0" xfId="0" applyBorder="1"/>
    <xf numFmtId="2" fontId="0" fillId="3" borderId="10" xfId="0" applyNumberFormat="1" applyFill="1" applyBorder="1"/>
    <xf numFmtId="2" fontId="0" fillId="0" borderId="12" xfId="0" applyNumberFormat="1" applyFill="1" applyBorder="1"/>
    <xf numFmtId="0" fontId="39" fillId="0" borderId="0" xfId="0" applyFont="1" applyBorder="1"/>
    <xf numFmtId="0" fontId="39" fillId="0" borderId="0" xfId="0" applyFont="1" applyFill="1" applyBorder="1"/>
    <xf numFmtId="49" fontId="0" fillId="0" borderId="14" xfId="0" applyNumberFormat="1" applyBorder="1"/>
    <xf numFmtId="0" fontId="0" fillId="11" borderId="14" xfId="0" applyFill="1" applyBorder="1"/>
    <xf numFmtId="0" fontId="39" fillId="11" borderId="14" xfId="0" applyFont="1" applyFill="1" applyBorder="1"/>
    <xf numFmtId="0" fontId="0" fillId="11" borderId="14" xfId="0" applyFill="1" applyBorder="1" applyAlignment="1"/>
    <xf numFmtId="0" fontId="39" fillId="11" borderId="14" xfId="0" applyFont="1" applyFill="1" applyBorder="1" applyAlignment="1"/>
    <xf numFmtId="198" fontId="0" fillId="11" borderId="14" xfId="0" applyNumberFormat="1" applyFill="1" applyBorder="1"/>
    <xf numFmtId="200" fontId="0" fillId="11" borderId="14" xfId="0" applyNumberFormat="1" applyFill="1" applyBorder="1"/>
    <xf numFmtId="197" fontId="0" fillId="0" borderId="0" xfId="0" applyNumberFormat="1" applyBorder="1"/>
    <xf numFmtId="11" fontId="0" fillId="11" borderId="14" xfId="0" applyNumberFormat="1" applyFill="1" applyBorder="1"/>
    <xf numFmtId="0" fontId="38" fillId="11" borderId="14" xfId="0" applyFont="1" applyFill="1" applyBorder="1"/>
    <xf numFmtId="0" fontId="39" fillId="0" borderId="14" xfId="0" applyFont="1" applyFill="1" applyBorder="1" applyAlignment="1"/>
    <xf numFmtId="200" fontId="0" fillId="0" borderId="14" xfId="0" applyNumberFormat="1" applyFill="1" applyBorder="1"/>
    <xf numFmtId="0" fontId="38" fillId="0" borderId="14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18" fillId="0" borderId="0" xfId="0" applyFont="1" applyBorder="1"/>
    <xf numFmtId="2" fontId="0" fillId="4" borderId="10" xfId="0" applyNumberFormat="1" applyFill="1" applyBorder="1"/>
    <xf numFmtId="2" fontId="0" fillId="5" borderId="10" xfId="0" applyNumberFormat="1" applyFill="1" applyBorder="1"/>
    <xf numFmtId="197" fontId="0" fillId="10" borderId="10" xfId="0" applyNumberFormat="1" applyFill="1" applyBorder="1"/>
    <xf numFmtId="197" fontId="0" fillId="0" borderId="12" xfId="0" applyNumberFormat="1" applyFill="1" applyBorder="1"/>
    <xf numFmtId="197" fontId="0" fillId="9" borderId="10" xfId="0" applyNumberFormat="1" applyFill="1" applyBorder="1"/>
    <xf numFmtId="2" fontId="0" fillId="7" borderId="10" xfId="0" applyNumberFormat="1" applyFill="1" applyBorder="1"/>
    <xf numFmtId="193" fontId="0" fillId="9" borderId="14" xfId="0" applyNumberFormat="1" applyFill="1" applyBorder="1"/>
    <xf numFmtId="193" fontId="0" fillId="10" borderId="14" xfId="0" applyNumberFormat="1" applyFill="1" applyBorder="1"/>
    <xf numFmtId="0" fontId="40" fillId="11" borderId="14" xfId="0" applyFont="1" applyFill="1" applyBorder="1"/>
    <xf numFmtId="0" fontId="40" fillId="0" borderId="14" xfId="0" applyFont="1" applyFill="1" applyBorder="1"/>
    <xf numFmtId="0" fontId="0" fillId="0" borderId="0" xfId="0" applyAlignment="1">
      <alignment horizontal="center"/>
    </xf>
    <xf numFmtId="0" fontId="5" fillId="0" borderId="0" xfId="3" applyFont="1" applyFill="1" applyBorder="1" applyAlignment="1" applyProtection="1">
      <alignment vertical="center" wrapText="1" shrinkToFit="1"/>
      <protection hidden="1"/>
    </xf>
    <xf numFmtId="49" fontId="5" fillId="0" borderId="0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0" xfId="3" applyFont="1" applyFill="1" applyBorder="1" applyAlignment="1" applyProtection="1">
      <alignment vertical="center" wrapText="1"/>
      <protection hidden="1"/>
    </xf>
    <xf numFmtId="0" fontId="1" fillId="0" borderId="0" xfId="0" applyFont="1" applyAlignment="1">
      <alignment horizontal="center"/>
    </xf>
    <xf numFmtId="0" fontId="41" fillId="0" borderId="0" xfId="3" applyFont="1"/>
    <xf numFmtId="0" fontId="0" fillId="0" borderId="0" xfId="0" applyAlignment="1">
      <alignment vertical="center"/>
    </xf>
    <xf numFmtId="0" fontId="0" fillId="0" borderId="14" xfId="0" applyFont="1" applyFill="1" applyBorder="1"/>
    <xf numFmtId="0" fontId="0" fillId="0" borderId="14" xfId="0" applyNumberFormat="1" applyFill="1" applyBorder="1"/>
    <xf numFmtId="0" fontId="39" fillId="0" borderId="14" xfId="0" applyNumberFormat="1" applyFont="1" applyFill="1" applyBorder="1"/>
    <xf numFmtId="0" fontId="42" fillId="0" borderId="14" xfId="0" applyFont="1" applyFill="1" applyBorder="1"/>
    <xf numFmtId="10" fontId="0" fillId="0" borderId="14" xfId="0" applyNumberFormat="1" applyBorder="1"/>
    <xf numFmtId="193" fontId="0" fillId="12" borderId="14" xfId="0" applyNumberFormat="1" applyFill="1" applyBorder="1"/>
    <xf numFmtId="197" fontId="0" fillId="12" borderId="14" xfId="0" applyNumberFormat="1" applyFill="1" applyBorder="1"/>
    <xf numFmtId="0" fontId="0" fillId="12" borderId="14" xfId="0" applyFill="1" applyBorder="1"/>
    <xf numFmtId="198" fontId="0" fillId="12" borderId="14" xfId="0" applyNumberFormat="1" applyFill="1" applyBorder="1"/>
    <xf numFmtId="199" fontId="0" fillId="12" borderId="14" xfId="0" applyNumberFormat="1" applyFill="1" applyBorder="1"/>
    <xf numFmtId="197" fontId="0" fillId="11" borderId="14" xfId="0" applyNumberFormat="1" applyFill="1" applyBorder="1"/>
    <xf numFmtId="0" fontId="0" fillId="6" borderId="14" xfId="0" applyFill="1" applyBorder="1"/>
    <xf numFmtId="49" fontId="0" fillId="10" borderId="14" xfId="0" applyNumberFormat="1" applyFill="1" applyBorder="1"/>
    <xf numFmtId="49" fontId="0" fillId="9" borderId="14" xfId="0" applyNumberFormat="1" applyFill="1" applyBorder="1"/>
    <xf numFmtId="0" fontId="0" fillId="7" borderId="10" xfId="0" applyFill="1" applyBorder="1"/>
    <xf numFmtId="0" fontId="39" fillId="0" borderId="14" xfId="0" applyFont="1" applyBorder="1" applyAlignment="1"/>
    <xf numFmtId="0" fontId="40" fillId="0" borderId="14" xfId="0" applyFont="1" applyFill="1" applyBorder="1" applyAlignment="1">
      <alignment horizontal="right"/>
    </xf>
    <xf numFmtId="1" fontId="0" fillId="12" borderId="14" xfId="0" applyNumberFormat="1" applyFill="1" applyBorder="1"/>
    <xf numFmtId="0" fontId="0" fillId="11" borderId="14" xfId="0" applyNumberFormat="1" applyFill="1" applyBorder="1"/>
    <xf numFmtId="0" fontId="39" fillId="11" borderId="14" xfId="0" applyNumberFormat="1" applyFont="1" applyFill="1" applyBorder="1"/>
    <xf numFmtId="198" fontId="0" fillId="0" borderId="14" xfId="0" applyNumberFormat="1" applyFill="1" applyBorder="1"/>
    <xf numFmtId="197" fontId="0" fillId="0" borderId="0" xfId="0" applyNumberFormat="1" applyBorder="1" applyAlignment="1"/>
    <xf numFmtId="1" fontId="0" fillId="0" borderId="0" xfId="0" applyNumberFormat="1" applyFill="1" applyBorder="1"/>
    <xf numFmtId="2" fontId="0" fillId="6" borderId="14" xfId="0" applyNumberFormat="1" applyFill="1" applyBorder="1"/>
    <xf numFmtId="197" fontId="43" fillId="0" borderId="0" xfId="0" applyNumberFormat="1" applyFont="1" applyFill="1" applyBorder="1" applyAlignment="1">
      <alignment horizontal="center" vertical="center"/>
    </xf>
    <xf numFmtId="197" fontId="0" fillId="0" borderId="14" xfId="0" applyNumberFormat="1" applyBorder="1"/>
    <xf numFmtId="197" fontId="0" fillId="0" borderId="14" xfId="0" applyNumberFormat="1" applyFont="1" applyFill="1" applyBorder="1"/>
    <xf numFmtId="0" fontId="0" fillId="3" borderId="0" xfId="0" applyFill="1" applyBorder="1"/>
    <xf numFmtId="0" fontId="0" fillId="7" borderId="0" xfId="0" applyFill="1" applyBorder="1"/>
    <xf numFmtId="0" fontId="5" fillId="2" borderId="12" xfId="1" applyFont="1" applyFill="1" applyBorder="1" applyAlignment="1">
      <alignment horizontal="right" vertical="center" wrapText="1"/>
    </xf>
    <xf numFmtId="0" fontId="5" fillId="2" borderId="9" xfId="1" applyFont="1" applyFill="1" applyBorder="1" applyAlignment="1">
      <alignment horizontal="right" vertical="center" wrapText="1"/>
    </xf>
    <xf numFmtId="0" fontId="5" fillId="2" borderId="4" xfId="1" applyFont="1" applyFill="1" applyBorder="1" applyAlignment="1">
      <alignment horizontal="right" vertical="center" wrapText="1"/>
    </xf>
    <xf numFmtId="0" fontId="5" fillId="2" borderId="0" xfId="1" applyFont="1" applyFill="1" applyBorder="1" applyAlignment="1">
      <alignment horizontal="right" vertical="center"/>
    </xf>
    <xf numFmtId="0" fontId="5" fillId="2" borderId="9" xfId="1" applyFont="1" applyFill="1" applyBorder="1" applyAlignment="1">
      <alignment horizontal="right" vertical="center"/>
    </xf>
    <xf numFmtId="49" fontId="5" fillId="2" borderId="10" xfId="1" applyNumberFormat="1" applyFont="1" applyFill="1" applyBorder="1" applyAlignment="1" applyProtection="1">
      <alignment horizontal="center" vertical="center" shrinkToFit="1"/>
      <protection locked="0"/>
    </xf>
    <xf numFmtId="49" fontId="5" fillId="2" borderId="11" xfId="1" applyNumberFormat="1" applyFont="1" applyFill="1" applyBorder="1" applyAlignment="1" applyProtection="1">
      <alignment horizontal="center" vertical="center" shrinkToFit="1"/>
      <protection locked="0"/>
    </xf>
    <xf numFmtId="49" fontId="5" fillId="0" borderId="10" xfId="1" applyNumberFormat="1" applyFont="1" applyFill="1" applyBorder="1" applyAlignment="1" applyProtection="1">
      <alignment horizontal="center" vertical="center" shrinkToFit="1"/>
      <protection locked="0"/>
    </xf>
    <xf numFmtId="49" fontId="5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12" xfId="3" applyFont="1" applyFill="1" applyBorder="1" applyAlignment="1" applyProtection="1">
      <alignment horizontal="right" vertical="center" wrapText="1" shrinkToFit="1"/>
      <protection hidden="1"/>
    </xf>
    <xf numFmtId="0" fontId="5" fillId="2" borderId="9" xfId="3" applyFont="1" applyFill="1" applyBorder="1" applyAlignment="1" applyProtection="1">
      <alignment horizontal="right" vertical="center" wrapText="1" shrinkToFit="1"/>
      <protection hidden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2" applyFont="1" applyFill="1" applyBorder="1"/>
    <xf numFmtId="0" fontId="5" fillId="2" borderId="3" xfId="2" applyFont="1" applyFill="1" applyBorder="1"/>
    <xf numFmtId="0" fontId="8" fillId="2" borderId="4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13" fillId="2" borderId="7" xfId="1" applyFont="1" applyFill="1" applyBorder="1" applyAlignment="1" applyProtection="1">
      <alignment horizontal="right" vertical="center" wrapText="1"/>
      <protection hidden="1"/>
    </xf>
    <xf numFmtId="0" fontId="13" fillId="2" borderId="7" xfId="1" applyFont="1" applyFill="1" applyBorder="1" applyAlignment="1" applyProtection="1">
      <alignment horizontal="left" vertical="center" shrinkToFit="1"/>
      <protection locked="0"/>
    </xf>
    <xf numFmtId="0" fontId="13" fillId="2" borderId="8" xfId="1" applyFont="1" applyFill="1" applyBorder="1" applyAlignment="1" applyProtection="1">
      <alignment horizontal="left" vertical="center" shrinkToFit="1"/>
      <protection locked="0"/>
    </xf>
    <xf numFmtId="0" fontId="5" fillId="2" borderId="12" xfId="3" applyFont="1" applyFill="1" applyBorder="1" applyAlignment="1" applyProtection="1">
      <alignment horizontal="right" vertical="center" wrapText="1"/>
      <protection hidden="1"/>
    </xf>
    <xf numFmtId="0" fontId="5" fillId="2" borderId="9" xfId="3" applyFont="1" applyFill="1" applyBorder="1" applyAlignment="1" applyProtection="1">
      <alignment horizontal="right" vertical="center" wrapText="1"/>
      <protection hidden="1"/>
    </xf>
    <xf numFmtId="0" fontId="5" fillId="2" borderId="4" xfId="1" applyFont="1" applyFill="1" applyBorder="1" applyAlignment="1">
      <alignment horizontal="right" vertical="center"/>
    </xf>
    <xf numFmtId="0" fontId="5" fillId="2" borderId="12" xfId="1" applyFont="1" applyFill="1" applyBorder="1" applyAlignment="1">
      <alignment horizontal="right" vertical="center" wrapText="1" shrinkToFit="1"/>
    </xf>
    <xf numFmtId="0" fontId="5" fillId="2" borderId="0" xfId="1" applyFont="1" applyFill="1" applyBorder="1" applyAlignment="1">
      <alignment horizontal="right" vertical="center" wrapText="1" shrinkToFit="1"/>
    </xf>
    <xf numFmtId="0" fontId="5" fillId="2" borderId="9" xfId="1" applyFont="1" applyFill="1" applyBorder="1" applyAlignment="1">
      <alignment horizontal="right" vertical="center" wrapText="1" shrinkToFit="1"/>
    </xf>
    <xf numFmtId="0" fontId="5" fillId="2" borderId="0" xfId="1" applyFont="1" applyFill="1" applyBorder="1" applyAlignment="1">
      <alignment horizontal="right" vertical="center" wrapText="1"/>
    </xf>
    <xf numFmtId="190" fontId="5" fillId="2" borderId="25" xfId="1" applyNumberFormat="1" applyFont="1" applyFill="1" applyBorder="1" applyAlignment="1">
      <alignment horizontal="center" vertical="center" shrinkToFit="1"/>
    </xf>
    <xf numFmtId="190" fontId="5" fillId="2" borderId="26" xfId="1" applyNumberFormat="1" applyFont="1" applyFill="1" applyBorder="1" applyAlignment="1">
      <alignment horizontal="center" vertical="center" shrinkToFit="1"/>
    </xf>
    <xf numFmtId="190" fontId="5" fillId="2" borderId="20" xfId="1" applyNumberFormat="1" applyFont="1" applyFill="1" applyBorder="1" applyAlignment="1">
      <alignment horizontal="center" vertical="center" shrinkToFit="1"/>
    </xf>
    <xf numFmtId="190" fontId="5" fillId="2" borderId="34" xfId="1" applyNumberFormat="1" applyFont="1" applyFill="1" applyBorder="1" applyAlignment="1">
      <alignment horizontal="center" vertical="center" shrinkToFit="1"/>
    </xf>
    <xf numFmtId="190" fontId="5" fillId="2" borderId="14" xfId="1" applyNumberFormat="1" applyFont="1" applyFill="1" applyBorder="1" applyAlignment="1">
      <alignment horizontal="center" vertical="center" shrinkToFit="1"/>
    </xf>
    <xf numFmtId="190" fontId="5" fillId="2" borderId="13" xfId="1" applyNumberFormat="1" applyFont="1" applyFill="1" applyBorder="1" applyAlignment="1">
      <alignment horizontal="center" vertical="center" shrinkToFi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 applyProtection="1">
      <alignment horizontal="center" vertical="center" shrinkToFit="1"/>
      <protection locked="0"/>
    </xf>
    <xf numFmtId="0" fontId="5" fillId="2" borderId="16" xfId="1" applyFont="1" applyFill="1" applyBorder="1" applyAlignment="1" applyProtection="1">
      <alignment horizontal="center" vertical="center" shrinkToFit="1"/>
      <protection locked="0"/>
    </xf>
    <xf numFmtId="0" fontId="5" fillId="2" borderId="17" xfId="1" applyFont="1" applyFill="1" applyBorder="1" applyAlignment="1">
      <alignment horizontal="right" vertical="center"/>
    </xf>
    <xf numFmtId="0" fontId="5" fillId="2" borderId="18" xfId="1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6" fillId="0" borderId="0" xfId="3"/>
    <xf numFmtId="0" fontId="5" fillId="2" borderId="40" xfId="1" applyFont="1" applyFill="1" applyBorder="1" applyAlignment="1">
      <alignment horizontal="left" vertical="center" wrapText="1"/>
    </xf>
    <xf numFmtId="0" fontId="5" fillId="2" borderId="41" xfId="1" applyFont="1" applyFill="1" applyBorder="1" applyAlignment="1">
      <alignment horizontal="left" vertical="center" wrapText="1"/>
    </xf>
    <xf numFmtId="0" fontId="5" fillId="2" borderId="42" xfId="1" applyFont="1" applyFill="1" applyBorder="1" applyAlignment="1">
      <alignment horizontal="left" vertical="center" wrapText="1"/>
    </xf>
    <xf numFmtId="0" fontId="5" fillId="2" borderId="43" xfId="1" applyFont="1" applyFill="1" applyBorder="1" applyAlignment="1">
      <alignment horizontal="right" vertical="center" wrapText="1"/>
    </xf>
    <xf numFmtId="0" fontId="5" fillId="2" borderId="44" xfId="1" applyFont="1" applyFill="1" applyBorder="1" applyAlignment="1">
      <alignment horizontal="right" vertical="center" wrapText="1"/>
    </xf>
    <xf numFmtId="0" fontId="5" fillId="2" borderId="45" xfId="1" applyFont="1" applyFill="1" applyBorder="1" applyAlignment="1">
      <alignment horizontal="right" vertical="center" wrapText="1"/>
    </xf>
    <xf numFmtId="0" fontId="5" fillId="2" borderId="17" xfId="1" applyFont="1" applyFill="1" applyBorder="1" applyAlignment="1">
      <alignment horizontal="center" vertical="center" shrinkToFit="1"/>
    </xf>
    <xf numFmtId="0" fontId="5" fillId="2" borderId="18" xfId="1" applyFont="1" applyFill="1" applyBorder="1" applyAlignment="1">
      <alignment horizontal="center" vertical="center" shrinkToFit="1"/>
    </xf>
    <xf numFmtId="0" fontId="5" fillId="2" borderId="19" xfId="1" applyFont="1" applyFill="1" applyBorder="1" applyAlignment="1">
      <alignment horizontal="center" vertical="center" shrinkToFit="1"/>
    </xf>
    <xf numFmtId="0" fontId="5" fillId="2" borderId="24" xfId="1" applyFont="1" applyFill="1" applyBorder="1" applyAlignment="1">
      <alignment horizontal="center" vertical="center"/>
    </xf>
    <xf numFmtId="190" fontId="5" fillId="2" borderId="24" xfId="1" applyNumberFormat="1" applyFont="1" applyFill="1" applyBorder="1" applyAlignment="1">
      <alignment horizontal="left" vertical="center" shrinkToFit="1"/>
    </xf>
    <xf numFmtId="0" fontId="5" fillId="2" borderId="29" xfId="1" applyFont="1" applyFill="1" applyBorder="1" applyAlignment="1">
      <alignment horizontal="center" vertical="center"/>
    </xf>
    <xf numFmtId="0" fontId="5" fillId="2" borderId="47" xfId="1" applyFont="1" applyFill="1" applyBorder="1" applyAlignment="1">
      <alignment vertical="center" shrinkToFit="1"/>
    </xf>
    <xf numFmtId="0" fontId="5" fillId="2" borderId="48" xfId="1" applyFont="1" applyFill="1" applyBorder="1" applyAlignment="1">
      <alignment vertical="center" shrinkToFit="1"/>
    </xf>
    <xf numFmtId="0" fontId="5" fillId="2" borderId="49" xfId="1" applyFont="1" applyFill="1" applyBorder="1" applyAlignment="1">
      <alignment vertical="center" shrinkToFit="1"/>
    </xf>
    <xf numFmtId="0" fontId="19" fillId="2" borderId="4" xfId="1" applyFont="1" applyFill="1" applyBorder="1" applyAlignment="1">
      <alignment horizontal="center" vertical="center" wrapText="1"/>
    </xf>
    <xf numFmtId="0" fontId="19" fillId="2" borderId="0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2" borderId="2" xfId="2" applyFont="1" applyFill="1" applyBorder="1" applyProtection="1"/>
    <xf numFmtId="0" fontId="5" fillId="2" borderId="3" xfId="2" applyFont="1" applyFill="1" applyBorder="1" applyProtection="1"/>
    <xf numFmtId="0" fontId="8" fillId="2" borderId="4" xfId="1" applyFont="1" applyFill="1" applyBorder="1" applyAlignment="1" applyProtection="1">
      <alignment horizontal="center" vertical="center" wrapText="1"/>
    </xf>
    <xf numFmtId="0" fontId="8" fillId="2" borderId="0" xfId="1" applyFont="1" applyFill="1" applyBorder="1" applyAlignment="1" applyProtection="1">
      <alignment horizontal="center" vertical="center"/>
    </xf>
    <xf numFmtId="0" fontId="8" fillId="2" borderId="5" xfId="1" applyFont="1" applyFill="1" applyBorder="1" applyAlignment="1" applyProtection="1">
      <alignment horizontal="center"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</xf>
    <xf numFmtId="0" fontId="13" fillId="2" borderId="0" xfId="1" applyFont="1" applyFill="1" applyBorder="1" applyAlignment="1" applyProtection="1">
      <alignment horizontal="center" vertical="center"/>
      <protection hidden="1"/>
    </xf>
    <xf numFmtId="0" fontId="13" fillId="2" borderId="0" xfId="1" applyNumberFormat="1" applyFont="1" applyFill="1" applyBorder="1" applyAlignment="1" applyProtection="1">
      <alignment horizontal="left" vertical="center" shrinkToFit="1"/>
    </xf>
    <xf numFmtId="0" fontId="13" fillId="2" borderId="5" xfId="1" applyNumberFormat="1" applyFont="1" applyFill="1" applyBorder="1" applyAlignment="1" applyProtection="1">
      <alignment horizontal="left" vertical="center" shrinkToFit="1"/>
    </xf>
    <xf numFmtId="0" fontId="22" fillId="2" borderId="4" xfId="1" applyFont="1" applyFill="1" applyBorder="1" applyAlignment="1">
      <alignment horizontal="center" vertical="center" wrapText="1"/>
    </xf>
    <xf numFmtId="0" fontId="22" fillId="2" borderId="0" xfId="1" applyFont="1" applyFill="1" applyBorder="1" applyAlignment="1">
      <alignment horizontal="center" vertical="center" wrapText="1"/>
    </xf>
    <xf numFmtId="0" fontId="22" fillId="2" borderId="6" xfId="1" applyFont="1" applyFill="1" applyBorder="1" applyAlignment="1">
      <alignment horizontal="center" vertical="center" wrapText="1"/>
    </xf>
    <xf numFmtId="0" fontId="22" fillId="2" borderId="7" xfId="1" applyFont="1" applyFill="1" applyBorder="1" applyAlignment="1">
      <alignment horizontal="center" vertical="center" wrapText="1"/>
    </xf>
    <xf numFmtId="0" fontId="5" fillId="2" borderId="4" xfId="1" applyNumberFormat="1" applyFont="1" applyFill="1" applyBorder="1" applyAlignment="1" applyProtection="1">
      <alignment horizontal="right" vertical="center" wrapText="1"/>
    </xf>
    <xf numFmtId="0" fontId="5" fillId="2" borderId="0" xfId="1" applyNumberFormat="1" applyFont="1" applyFill="1" applyBorder="1" applyAlignment="1" applyProtection="1">
      <alignment horizontal="right" vertical="center"/>
    </xf>
    <xf numFmtId="0" fontId="5" fillId="2" borderId="9" xfId="1" applyNumberFormat="1" applyFont="1" applyFill="1" applyBorder="1" applyAlignment="1" applyProtection="1">
      <alignment horizontal="right" vertical="center"/>
    </xf>
    <xf numFmtId="0" fontId="5" fillId="2" borderId="10" xfId="1" applyNumberFormat="1" applyFont="1" applyFill="1" applyBorder="1" applyAlignment="1" applyProtection="1">
      <alignment horizontal="left" vertical="center" shrinkToFit="1"/>
    </xf>
    <xf numFmtId="0" fontId="5" fillId="2" borderId="11" xfId="1" applyNumberFormat="1" applyFont="1" applyFill="1" applyBorder="1" applyAlignment="1" applyProtection="1">
      <alignment horizontal="left" vertical="center" shrinkToFit="1"/>
    </xf>
    <xf numFmtId="0" fontId="5" fillId="2" borderId="12" xfId="1" applyNumberFormat="1" applyFont="1" applyFill="1" applyBorder="1" applyAlignment="1" applyProtection="1">
      <alignment horizontal="right" vertical="center" wrapText="1"/>
    </xf>
    <xf numFmtId="0" fontId="5" fillId="2" borderId="9" xfId="1" applyNumberFormat="1" applyFont="1" applyFill="1" applyBorder="1" applyAlignment="1" applyProtection="1">
      <alignment horizontal="right" vertical="center" wrapText="1"/>
    </xf>
    <xf numFmtId="0" fontId="22" fillId="2" borderId="10" xfId="1" applyNumberFormat="1" applyFont="1" applyFill="1" applyBorder="1" applyAlignment="1" applyProtection="1">
      <alignment horizontal="left" vertical="center" shrinkToFit="1"/>
    </xf>
    <xf numFmtId="0" fontId="22" fillId="2" borderId="11" xfId="1" applyNumberFormat="1" applyFont="1" applyFill="1" applyBorder="1" applyAlignment="1" applyProtection="1">
      <alignment horizontal="left" vertical="center" shrinkToFit="1"/>
    </xf>
    <xf numFmtId="0" fontId="22" fillId="2" borderId="12" xfId="1" applyNumberFormat="1" applyFont="1" applyFill="1" applyBorder="1" applyAlignment="1" applyProtection="1">
      <alignment horizontal="right" vertical="center" wrapText="1"/>
    </xf>
    <xf numFmtId="0" fontId="22" fillId="2" borderId="9" xfId="1" applyNumberFormat="1" applyFont="1" applyFill="1" applyBorder="1" applyAlignment="1" applyProtection="1">
      <alignment horizontal="right" vertical="center"/>
    </xf>
    <xf numFmtId="0" fontId="22" fillId="2" borderId="12" xfId="3" applyNumberFormat="1" applyFont="1" applyFill="1" applyBorder="1" applyAlignment="1" applyProtection="1">
      <alignment horizontal="center" vertical="center" wrapText="1" shrinkToFit="1"/>
      <protection hidden="1"/>
    </xf>
    <xf numFmtId="0" fontId="22" fillId="2" borderId="9" xfId="3" applyNumberFormat="1" applyFont="1" applyFill="1" applyBorder="1" applyAlignment="1" applyProtection="1">
      <alignment horizontal="center" vertical="center" wrapText="1" shrinkToFit="1"/>
      <protection hidden="1"/>
    </xf>
    <xf numFmtId="0" fontId="5" fillId="2" borderId="4" xfId="1" applyNumberFormat="1" applyFont="1" applyFill="1" applyBorder="1" applyAlignment="1" applyProtection="1">
      <alignment horizontal="right" vertical="center"/>
    </xf>
    <xf numFmtId="0" fontId="5" fillId="2" borderId="0" xfId="1" applyNumberFormat="1" applyFont="1" applyFill="1" applyBorder="1" applyAlignment="1" applyProtection="1">
      <alignment horizontal="right" vertical="center" wrapText="1"/>
    </xf>
    <xf numFmtId="0" fontId="22" fillId="2" borderId="0" xfId="1" applyNumberFormat="1" applyFont="1" applyFill="1" applyBorder="1" applyAlignment="1" applyProtection="1">
      <alignment horizontal="right" vertical="center" wrapText="1" shrinkToFit="1"/>
    </xf>
    <xf numFmtId="0" fontId="22" fillId="2" borderId="12" xfId="3" applyNumberFormat="1" applyFont="1" applyFill="1" applyBorder="1" applyAlignment="1" applyProtection="1">
      <alignment horizontal="center" vertical="center" wrapText="1"/>
      <protection hidden="1"/>
    </xf>
    <xf numFmtId="0" fontId="22" fillId="2" borderId="9" xfId="3" applyNumberFormat="1" applyFont="1" applyFill="1" applyBorder="1" applyAlignment="1" applyProtection="1">
      <alignment horizontal="center" vertical="center" wrapText="1"/>
      <protection hidden="1"/>
    </xf>
    <xf numFmtId="0" fontId="5" fillId="2" borderId="10" xfId="1" quotePrefix="1" applyNumberFormat="1" applyFont="1" applyFill="1" applyBorder="1" applyAlignment="1" applyProtection="1">
      <alignment horizontal="left" vertical="center" shrinkToFit="1"/>
    </xf>
    <xf numFmtId="0" fontId="22" fillId="2" borderId="0" xfId="1" applyNumberFormat="1" applyFont="1" applyFill="1" applyBorder="1" applyAlignment="1" applyProtection="1">
      <alignment horizontal="right" vertical="center" wrapText="1"/>
    </xf>
    <xf numFmtId="0" fontId="22" fillId="2" borderId="9" xfId="1" applyNumberFormat="1" applyFont="1" applyFill="1" applyBorder="1" applyAlignment="1" applyProtection="1">
      <alignment horizontal="right" vertical="center" wrapText="1"/>
    </xf>
    <xf numFmtId="0" fontId="22" fillId="2" borderId="12" xfId="1" applyNumberFormat="1" applyFont="1" applyFill="1" applyBorder="1" applyAlignment="1" applyProtection="1">
      <alignment horizontal="center" vertical="center" wrapText="1"/>
    </xf>
    <xf numFmtId="0" fontId="22" fillId="2" borderId="9" xfId="1" applyNumberFormat="1" applyFont="1" applyFill="1" applyBorder="1" applyAlignment="1" applyProtection="1">
      <alignment horizontal="center" vertical="center" wrapText="1"/>
    </xf>
    <xf numFmtId="0" fontId="5" fillId="2" borderId="18" xfId="4" applyFont="1" applyFill="1" applyBorder="1" applyAlignment="1" applyProtection="1">
      <alignment horizontal="center" vertical="center" wrapText="1"/>
    </xf>
    <xf numFmtId="0" fontId="5" fillId="2" borderId="18" xfId="4" applyFont="1" applyFill="1" applyBorder="1" applyAlignment="1" applyProtection="1">
      <alignment horizontal="center" wrapText="1"/>
    </xf>
    <xf numFmtId="0" fontId="5" fillId="2" borderId="14" xfId="4" applyFont="1" applyFill="1" applyBorder="1" applyAlignment="1" applyProtection="1">
      <alignment horizontal="center" wrapText="1"/>
    </xf>
    <xf numFmtId="0" fontId="5" fillId="2" borderId="50" xfId="4" applyFont="1" applyFill="1" applyBorder="1" applyAlignment="1" applyProtection="1">
      <alignment horizontal="center" vertical="center" wrapText="1"/>
    </xf>
    <xf numFmtId="0" fontId="5" fillId="2" borderId="30" xfId="4" applyFont="1" applyFill="1" applyBorder="1" applyAlignment="1" applyProtection="1">
      <alignment horizontal="center" vertical="center" wrapText="1"/>
    </xf>
    <xf numFmtId="0" fontId="5" fillId="2" borderId="12" xfId="4" applyFont="1" applyFill="1" applyBorder="1" applyAlignment="1" applyProtection="1">
      <alignment horizontal="center" vertical="center" wrapText="1"/>
    </xf>
    <xf numFmtId="0" fontId="5" fillId="2" borderId="9" xfId="4" applyFont="1" applyFill="1" applyBorder="1" applyAlignment="1" applyProtection="1">
      <alignment horizontal="center" vertical="center" wrapText="1"/>
    </xf>
    <xf numFmtId="0" fontId="5" fillId="2" borderId="21" xfId="4" applyFont="1" applyFill="1" applyBorder="1" applyAlignment="1" applyProtection="1">
      <alignment horizontal="center" vertical="center" wrapText="1"/>
    </xf>
    <xf numFmtId="0" fontId="5" fillId="2" borderId="19" xfId="4" applyFont="1" applyFill="1" applyBorder="1" applyAlignment="1" applyProtection="1">
      <alignment horizontal="center" vertical="center" wrapText="1"/>
    </xf>
    <xf numFmtId="0" fontId="5" fillId="2" borderId="14" xfId="4" applyFont="1" applyFill="1" applyBorder="1" applyAlignment="1" applyProtection="1">
      <alignment horizontal="left" wrapText="1"/>
    </xf>
    <xf numFmtId="192" fontId="5" fillId="2" borderId="14" xfId="4" applyNumberFormat="1" applyFont="1" applyFill="1" applyBorder="1" applyAlignment="1" applyProtection="1">
      <alignment horizontal="center" wrapText="1"/>
    </xf>
    <xf numFmtId="0" fontId="22" fillId="2" borderId="10" xfId="4" applyFont="1" applyFill="1" applyBorder="1" applyAlignment="1" applyProtection="1">
      <alignment horizontal="left" shrinkToFit="1"/>
    </xf>
    <xf numFmtId="0" fontId="22" fillId="2" borderId="24" xfId="4" applyFont="1" applyFill="1" applyBorder="1" applyAlignment="1" applyProtection="1">
      <alignment horizontal="left" shrinkToFit="1"/>
    </xf>
    <xf numFmtId="0" fontId="22" fillId="2" borderId="11" xfId="4" applyFont="1" applyFill="1" applyBorder="1" applyAlignment="1" applyProtection="1">
      <alignment horizontal="left" shrinkToFit="1"/>
    </xf>
    <xf numFmtId="192" fontId="5" fillId="2" borderId="10" xfId="4" applyNumberFormat="1" applyFont="1" applyFill="1" applyBorder="1" applyAlignment="1" applyProtection="1">
      <alignment horizontal="center" wrapText="1"/>
    </xf>
    <xf numFmtId="0" fontId="5" fillId="2" borderId="14" xfId="4" applyNumberFormat="1" applyFont="1" applyFill="1" applyBorder="1" applyAlignment="1" applyProtection="1">
      <alignment horizontal="center" wrapText="1" shrinkToFit="1"/>
    </xf>
    <xf numFmtId="0" fontId="5" fillId="2" borderId="10" xfId="4" applyNumberFormat="1" applyFont="1" applyFill="1" applyBorder="1" applyAlignment="1" applyProtection="1">
      <alignment horizontal="center" wrapText="1"/>
    </xf>
    <xf numFmtId="0" fontId="5" fillId="2" borderId="11" xfId="4" applyNumberFormat="1" applyFont="1" applyFill="1" applyBorder="1" applyAlignment="1" applyProtection="1">
      <alignment horizontal="center" wrapText="1"/>
    </xf>
    <xf numFmtId="0" fontId="5" fillId="2" borderId="14" xfId="4" applyNumberFormat="1" applyFont="1" applyFill="1" applyBorder="1" applyAlignment="1" applyProtection="1">
      <alignment horizontal="center" shrinkToFit="1"/>
    </xf>
    <xf numFmtId="0" fontId="5" fillId="2" borderId="50" xfId="4" applyNumberFormat="1" applyFont="1" applyFill="1" applyBorder="1" applyAlignment="1" applyProtection="1">
      <alignment horizontal="center" shrinkToFit="1"/>
    </xf>
    <xf numFmtId="0" fontId="5" fillId="2" borderId="30" xfId="4" applyNumberFormat="1" applyFont="1" applyFill="1" applyBorder="1" applyAlignment="1" applyProtection="1">
      <alignment horizontal="center" shrinkToFit="1"/>
    </xf>
    <xf numFmtId="0" fontId="5" fillId="2" borderId="25" xfId="4" applyNumberFormat="1" applyFont="1" applyFill="1" applyBorder="1" applyAlignment="1" applyProtection="1">
      <alignment horizontal="center" wrapText="1" shrinkToFit="1"/>
    </xf>
    <xf numFmtId="0" fontId="5" fillId="2" borderId="25" xfId="4" applyNumberFormat="1" applyFont="1" applyFill="1" applyBorder="1" applyAlignment="1" applyProtection="1">
      <alignment horizontal="center" shrinkToFit="1"/>
    </xf>
    <xf numFmtId="188" fontId="5" fillId="2" borderId="12" xfId="4" applyNumberFormat="1" applyFont="1" applyFill="1" applyBorder="1" applyAlignment="1" applyProtection="1">
      <alignment horizontal="center" shrinkToFit="1"/>
    </xf>
    <xf numFmtId="188" fontId="5" fillId="2" borderId="9" xfId="4" applyNumberFormat="1" applyFont="1" applyFill="1" applyBorder="1" applyAlignment="1" applyProtection="1">
      <alignment horizontal="center" shrinkToFit="1"/>
    </xf>
    <xf numFmtId="0" fontId="5" fillId="2" borderId="14" xfId="4" applyNumberFormat="1" applyFont="1" applyFill="1" applyBorder="1" applyAlignment="1" applyProtection="1">
      <alignment horizontal="left" wrapText="1" shrinkToFit="1"/>
    </xf>
    <xf numFmtId="10" fontId="5" fillId="2" borderId="20" xfId="4" applyNumberFormat="1" applyFont="1" applyFill="1" applyBorder="1" applyAlignment="1" applyProtection="1">
      <alignment horizontal="center" wrapText="1"/>
    </xf>
    <xf numFmtId="10" fontId="26" fillId="2" borderId="51" xfId="4" applyNumberFormat="1" applyFont="1" applyFill="1" applyBorder="1" applyAlignment="1" applyProtection="1">
      <alignment horizontal="center" wrapText="1"/>
    </xf>
    <xf numFmtId="10" fontId="26" fillId="2" borderId="52" xfId="4" applyNumberFormat="1" applyFont="1" applyFill="1" applyBorder="1" applyAlignment="1" applyProtection="1">
      <alignment horizontal="center" wrapText="1"/>
    </xf>
    <xf numFmtId="10" fontId="26" fillId="2" borderId="53" xfId="4" applyNumberFormat="1" applyFont="1" applyFill="1" applyBorder="1" applyAlignment="1" applyProtection="1">
      <alignment horizontal="center" wrapText="1"/>
    </xf>
    <xf numFmtId="0" fontId="5" fillId="2" borderId="14" xfId="4" applyNumberFormat="1" applyFont="1" applyFill="1" applyBorder="1" applyAlignment="1" applyProtection="1">
      <alignment horizontal="left" shrinkToFit="1"/>
    </xf>
    <xf numFmtId="10" fontId="5" fillId="2" borderId="14" xfId="4" applyNumberFormat="1" applyFont="1" applyFill="1" applyBorder="1" applyAlignment="1" applyProtection="1">
      <alignment horizontal="center" wrapText="1"/>
    </xf>
    <xf numFmtId="0" fontId="24" fillId="2" borderId="10" xfId="4" applyNumberFormat="1" applyFont="1" applyFill="1" applyBorder="1" applyAlignment="1" applyProtection="1">
      <alignment horizontal="left"/>
    </xf>
    <xf numFmtId="0" fontId="24" fillId="2" borderId="24" xfId="4" applyNumberFormat="1" applyFont="1" applyFill="1" applyBorder="1" applyAlignment="1" applyProtection="1">
      <alignment horizontal="left"/>
    </xf>
    <xf numFmtId="0" fontId="24" fillId="2" borderId="11" xfId="4" applyNumberFormat="1" applyFont="1" applyFill="1" applyBorder="1" applyAlignment="1" applyProtection="1">
      <alignment horizontal="left"/>
    </xf>
    <xf numFmtId="194" fontId="5" fillId="2" borderId="14" xfId="4" applyNumberFormat="1" applyFont="1" applyFill="1" applyBorder="1" applyAlignment="1" applyProtection="1">
      <alignment horizontal="center" wrapText="1"/>
    </xf>
    <xf numFmtId="0" fontId="5" fillId="2" borderId="7" xfId="1" applyFont="1" applyFill="1" applyBorder="1" applyAlignment="1" applyProtection="1">
      <alignment horizontal="left" vertical="center" wrapText="1"/>
    </xf>
    <xf numFmtId="0" fontId="5" fillId="2" borderId="7" xfId="1" applyFont="1" applyFill="1" applyBorder="1" applyAlignment="1" applyProtection="1">
      <alignment horizontal="right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2" borderId="0" xfId="1" applyFont="1" applyFill="1" applyBorder="1" applyAlignment="1" applyProtection="1">
      <alignment horizontal="right" vertical="center" wrapText="1"/>
    </xf>
    <xf numFmtId="0" fontId="5" fillId="2" borderId="13" xfId="4" applyNumberFormat="1" applyFont="1" applyFill="1" applyBorder="1" applyAlignment="1" applyProtection="1">
      <alignment horizontal="center" shrinkToFit="1"/>
    </xf>
    <xf numFmtId="10" fontId="5" fillId="2" borderId="50" xfId="1" applyNumberFormat="1" applyFont="1" applyFill="1" applyBorder="1" applyAlignment="1" applyProtection="1">
      <alignment horizontal="center" vertical="center"/>
    </xf>
    <xf numFmtId="0" fontId="5" fillId="2" borderId="30" xfId="1" applyFont="1" applyFill="1" applyBorder="1" applyAlignment="1" applyProtection="1">
      <alignment horizontal="center" vertical="center"/>
    </xf>
    <xf numFmtId="0" fontId="5" fillId="2" borderId="21" xfId="1" applyFont="1" applyFill="1" applyBorder="1" applyAlignment="1" applyProtection="1">
      <alignment horizontal="center" vertical="center"/>
    </xf>
    <xf numFmtId="0" fontId="5" fillId="2" borderId="19" xfId="1" applyFont="1" applyFill="1" applyBorder="1" applyAlignment="1" applyProtection="1">
      <alignment horizontal="center" vertical="center"/>
    </xf>
    <xf numFmtId="0" fontId="5" fillId="2" borderId="54" xfId="1" applyFont="1" applyFill="1" applyBorder="1" applyAlignment="1" applyProtection="1">
      <alignment horizontal="center" vertical="center"/>
    </xf>
    <xf numFmtId="0" fontId="5" fillId="2" borderId="22" xfId="1" applyFont="1" applyFill="1" applyBorder="1" applyAlignment="1" applyProtection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55" xfId="1" applyFont="1" applyFill="1" applyBorder="1" applyAlignment="1">
      <alignment horizontal="center" vertical="center" wrapText="1"/>
    </xf>
    <xf numFmtId="0" fontId="5" fillId="2" borderId="21" xfId="1" applyFont="1" applyFill="1" applyBorder="1" applyAlignment="1" applyProtection="1">
      <alignment horizontal="center" vertical="center" wrapText="1"/>
      <protection locked="0"/>
    </xf>
    <xf numFmtId="0" fontId="5" fillId="2" borderId="18" xfId="1" applyFont="1" applyFill="1" applyBorder="1" applyAlignment="1" applyProtection="1">
      <alignment horizontal="center" vertical="center" wrapText="1"/>
      <protection locked="0"/>
    </xf>
    <xf numFmtId="0" fontId="5" fillId="2" borderId="22" xfId="1" applyFont="1" applyFill="1" applyBorder="1" applyAlignment="1" applyProtection="1">
      <alignment horizontal="center" vertical="center" wrapText="1"/>
      <protection locked="0"/>
    </xf>
    <xf numFmtId="0" fontId="5" fillId="2" borderId="56" xfId="1" applyFont="1" applyFill="1" applyBorder="1" applyAlignment="1" applyProtection="1">
      <alignment horizontal="center" vertical="center" wrapText="1"/>
      <protection locked="0"/>
    </xf>
    <xf numFmtId="0" fontId="5" fillId="2" borderId="44" xfId="1" applyFont="1" applyFill="1" applyBorder="1" applyAlignment="1" applyProtection="1">
      <alignment horizontal="center" vertical="center" wrapText="1"/>
      <protection locked="0"/>
    </xf>
    <xf numFmtId="0" fontId="5" fillId="2" borderId="57" xfId="1" applyFont="1" applyFill="1" applyBorder="1" applyAlignment="1" applyProtection="1">
      <alignment horizontal="center" vertical="center" wrapText="1"/>
      <protection locked="0"/>
    </xf>
    <xf numFmtId="0" fontId="5" fillId="2" borderId="48" xfId="1" applyFont="1" applyFill="1" applyBorder="1" applyAlignment="1" applyProtection="1">
      <alignment horizontal="center" vertical="center"/>
      <protection locked="0"/>
    </xf>
    <xf numFmtId="0" fontId="5" fillId="2" borderId="48" xfId="1" applyFont="1" applyFill="1" applyBorder="1" applyAlignment="1" applyProtection="1">
      <alignment horizontal="right" vertical="center"/>
    </xf>
    <xf numFmtId="0" fontId="5" fillId="2" borderId="4" xfId="1" applyFont="1" applyFill="1" applyBorder="1" applyAlignment="1" applyProtection="1">
      <alignment horizontal="right" vertical="center" wrapText="1"/>
    </xf>
    <xf numFmtId="0" fontId="29" fillId="2" borderId="0" xfId="1" applyFont="1" applyFill="1" applyBorder="1" applyAlignment="1" applyProtection="1">
      <alignment horizontal="center" vertical="center" wrapText="1"/>
    </xf>
    <xf numFmtId="0" fontId="29" fillId="2" borderId="0" xfId="1" applyFont="1" applyFill="1" applyBorder="1" applyAlignment="1" applyProtection="1">
      <alignment horizontal="center" vertical="center"/>
    </xf>
    <xf numFmtId="0" fontId="29" fillId="2" borderId="5" xfId="1" applyFont="1" applyFill="1" applyBorder="1" applyAlignment="1" applyProtection="1">
      <alignment horizontal="center" vertical="center"/>
    </xf>
    <xf numFmtId="0" fontId="44" fillId="4" borderId="50" xfId="0" applyFont="1" applyFill="1" applyBorder="1" applyAlignment="1">
      <alignment horizontal="center" vertical="center"/>
    </xf>
    <xf numFmtId="0" fontId="44" fillId="4" borderId="29" xfId="0" applyFont="1" applyFill="1" applyBorder="1" applyAlignment="1">
      <alignment horizontal="center" vertical="center"/>
    </xf>
    <xf numFmtId="0" fontId="44" fillId="4" borderId="30" xfId="0" applyFont="1" applyFill="1" applyBorder="1" applyAlignment="1">
      <alignment horizontal="center" vertical="center"/>
    </xf>
    <xf numFmtId="0" fontId="44" fillId="4" borderId="21" xfId="0" applyFont="1" applyFill="1" applyBorder="1" applyAlignment="1">
      <alignment horizontal="center" vertical="center"/>
    </xf>
    <xf numFmtId="0" fontId="44" fillId="4" borderId="18" xfId="0" applyFont="1" applyFill="1" applyBorder="1" applyAlignment="1">
      <alignment horizontal="center" vertical="center"/>
    </xf>
    <xf numFmtId="0" fontId="44" fillId="4" borderId="19" xfId="0" applyFont="1" applyFill="1" applyBorder="1" applyAlignment="1">
      <alignment horizontal="center" vertical="center"/>
    </xf>
    <xf numFmtId="197" fontId="43" fillId="0" borderId="12" xfId="0" applyNumberFormat="1" applyFont="1" applyBorder="1" applyAlignment="1">
      <alignment horizontal="center" vertical="center"/>
    </xf>
    <xf numFmtId="197" fontId="43" fillId="0" borderId="12" xfId="0" applyNumberFormat="1" applyFont="1" applyFill="1" applyBorder="1" applyAlignment="1">
      <alignment horizontal="center" vertical="center"/>
    </xf>
    <xf numFmtId="0" fontId="45" fillId="18" borderId="58" xfId="0" applyFont="1" applyFill="1" applyBorder="1" applyAlignment="1">
      <alignment horizontal="center" vertical="center" wrapText="1" readingOrder="1"/>
    </xf>
    <xf numFmtId="0" fontId="45" fillId="19" borderId="58" xfId="0" applyFont="1" applyFill="1" applyBorder="1" applyAlignment="1">
      <alignment horizontal="center" vertical="center" wrapText="1" readingOrder="1"/>
    </xf>
    <xf numFmtId="0" fontId="45" fillId="14" borderId="58" xfId="0" applyFont="1" applyFill="1" applyBorder="1" applyAlignment="1">
      <alignment horizontal="center" vertical="center" wrapText="1" readingOrder="1"/>
    </xf>
    <xf numFmtId="0" fontId="45" fillId="20" borderId="58" xfId="0" applyFont="1" applyFill="1" applyBorder="1" applyAlignment="1">
      <alignment horizontal="center" vertical="center" wrapText="1" readingOrder="1"/>
    </xf>
    <xf numFmtId="0" fontId="46" fillId="18" borderId="58" xfId="0" applyFont="1" applyFill="1" applyBorder="1" applyAlignment="1">
      <alignment horizontal="center" vertical="center" wrapText="1" readingOrder="1"/>
    </xf>
    <xf numFmtId="0" fontId="47" fillId="19" borderId="58" xfId="0" applyFont="1" applyFill="1" applyBorder="1" applyAlignment="1">
      <alignment horizontal="center" vertical="center" wrapText="1" readingOrder="1"/>
    </xf>
    <xf numFmtId="0" fontId="47" fillId="14" borderId="58" xfId="0" applyFont="1" applyFill="1" applyBorder="1" applyAlignment="1">
      <alignment horizontal="center" vertical="center" wrapText="1" readingOrder="1"/>
    </xf>
    <xf numFmtId="0" fontId="48" fillId="14" borderId="58" xfId="0" applyFont="1" applyFill="1" applyBorder="1" applyAlignment="1">
      <alignment horizontal="center" vertical="center" wrapText="1" readingOrder="1"/>
    </xf>
    <xf numFmtId="0" fontId="47" fillId="20" borderId="58" xfId="0" applyFont="1" applyFill="1" applyBorder="1" applyAlignment="1">
      <alignment horizontal="center" vertical="center" wrapText="1" readingOrder="1"/>
    </xf>
    <xf numFmtId="0" fontId="48" fillId="20" borderId="58" xfId="0" applyFont="1" applyFill="1" applyBorder="1" applyAlignment="1">
      <alignment horizontal="center" vertical="center" wrapText="1" readingOrder="1"/>
    </xf>
    <xf numFmtId="3" fontId="47" fillId="19" borderId="58" xfId="0" applyNumberFormat="1" applyFont="1" applyFill="1" applyBorder="1" applyAlignment="1">
      <alignment horizontal="center" vertical="center" wrapText="1" readingOrder="1"/>
    </xf>
    <xf numFmtId="3" fontId="47" fillId="14" borderId="58" xfId="0" applyNumberFormat="1" applyFont="1" applyFill="1" applyBorder="1" applyAlignment="1">
      <alignment horizontal="center" vertical="center" wrapText="1" readingOrder="1"/>
    </xf>
    <xf numFmtId="3" fontId="48" fillId="14" borderId="58" xfId="0" applyNumberFormat="1" applyFont="1" applyFill="1" applyBorder="1" applyAlignment="1">
      <alignment horizontal="center" vertical="center" wrapText="1" readingOrder="1"/>
    </xf>
    <xf numFmtId="3" fontId="47" fillId="20" borderId="58" xfId="0" applyNumberFormat="1" applyFont="1" applyFill="1" applyBorder="1" applyAlignment="1">
      <alignment horizontal="center" vertical="center" wrapText="1" readingOrder="1"/>
    </xf>
    <xf numFmtId="3" fontId="48" fillId="20" borderId="58" xfId="0" applyNumberFormat="1" applyFont="1" applyFill="1" applyBorder="1" applyAlignment="1">
      <alignment horizontal="center" vertical="center" wrapText="1" readingOrder="1"/>
    </xf>
    <xf numFmtId="0" fontId="46" fillId="16" borderId="58" xfId="0" applyFont="1" applyFill="1" applyBorder="1" applyAlignment="1">
      <alignment horizontal="center" vertical="center" wrapText="1" readingOrder="1"/>
    </xf>
    <xf numFmtId="3" fontId="47" fillId="16" borderId="58" xfId="0" applyNumberFormat="1" applyFont="1" applyFill="1" applyBorder="1" applyAlignment="1">
      <alignment horizontal="center" vertical="center" wrapText="1" readingOrder="1"/>
    </xf>
    <xf numFmtId="3" fontId="48" fillId="16" borderId="58" xfId="0" applyNumberFormat="1" applyFont="1" applyFill="1" applyBorder="1" applyAlignment="1">
      <alignment horizontal="center" vertical="center" wrapText="1" readingOrder="1"/>
    </xf>
    <xf numFmtId="0" fontId="49" fillId="18" borderId="58" xfId="0" applyFont="1" applyFill="1" applyBorder="1" applyAlignment="1">
      <alignment horizontal="center" wrapText="1" readingOrder="1"/>
    </xf>
    <xf numFmtId="0" fontId="49" fillId="13" borderId="58" xfId="0" applyFont="1" applyFill="1" applyBorder="1" applyAlignment="1">
      <alignment horizontal="center" wrapText="1" readingOrder="1"/>
    </xf>
    <xf numFmtId="0" fontId="49" fillId="14" borderId="58" xfId="0" applyFont="1" applyFill="1" applyBorder="1" applyAlignment="1">
      <alignment horizontal="center" wrapText="1" readingOrder="1"/>
    </xf>
    <xf numFmtId="0" fontId="49" fillId="15" borderId="58" xfId="0" applyFont="1" applyFill="1" applyBorder="1" applyAlignment="1">
      <alignment horizontal="center" wrapText="1" readingOrder="1"/>
    </xf>
    <xf numFmtId="0" fontId="50" fillId="17" borderId="58" xfId="0" applyFont="1" applyFill="1" applyBorder="1" applyAlignment="1">
      <alignment horizontal="left" wrapText="1" readingOrder="1"/>
    </xf>
    <xf numFmtId="3" fontId="50" fillId="17" borderId="58" xfId="0" applyNumberFormat="1" applyFont="1" applyFill="1" applyBorder="1" applyAlignment="1">
      <alignment horizontal="center" wrapText="1" readingOrder="1"/>
    </xf>
    <xf numFmtId="0" fontId="51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3" fontId="52" fillId="0" borderId="0" xfId="0" applyNumberFormat="1" applyFont="1" applyAlignment="1">
      <alignment vertical="center" wrapText="1"/>
    </xf>
    <xf numFmtId="0" fontId="53" fillId="0" borderId="0" xfId="0" applyFont="1" applyAlignment="1">
      <alignment vertical="center" wrapText="1"/>
    </xf>
    <xf numFmtId="3" fontId="53" fillId="0" borderId="0" xfId="0" applyNumberFormat="1" applyFont="1" applyAlignment="1">
      <alignment vertical="center" wrapText="1"/>
    </xf>
  </cellXfs>
  <cellStyles count="5">
    <cellStyle name="Normal" xfId="0" builtinId="0"/>
    <cellStyle name="Normal_Cor40WWPSQ0038" xfId="3"/>
    <cellStyle name="Normal_Variable Gage R&amp;R Spreadsheet" xfId="4"/>
    <cellStyle name="常规 2 8" xfId="2"/>
    <cellStyle name="常规_GR R 分析" xfId="1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ndense val="0"/>
        <extend val="0"/>
        <color indexed="55"/>
      </font>
      <fill>
        <patternFill patternType="solid">
          <bgColor indexed="22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75064373065745E-2"/>
          <c:y val="0.10638371553437698"/>
          <c:w val="0.82861137059193002"/>
          <c:h val="0.81560848576356004"/>
        </c:manualLayout>
      </c:layout>
      <c:lineChart>
        <c:grouping val="standard"/>
        <c:varyColors val="0"/>
        <c:ser>
          <c:idx val="0"/>
          <c:order val="0"/>
          <c:tx>
            <c:strRef>
              <c:f>'[1]OK2B&amp;GRR'!$B$19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'[1]OK2B&amp;GRR'!$E$22:$N$22</c:f>
              <c:numCache>
                <c:formatCode>General</c:formatCode>
                <c:ptCount val="10"/>
                <c:pt idx="0">
                  <c:v>0.15166666666666667</c:v>
                </c:pt>
                <c:pt idx="1">
                  <c:v>0.8610000000000001</c:v>
                </c:pt>
                <c:pt idx="2">
                  <c:v>0.8693333333333334</c:v>
                </c:pt>
                <c:pt idx="3">
                  <c:v>0.98966666666666681</c:v>
                </c:pt>
                <c:pt idx="4">
                  <c:v>1.0590000000000002</c:v>
                </c:pt>
                <c:pt idx="5">
                  <c:v>1.1226666666666667</c:v>
                </c:pt>
                <c:pt idx="6">
                  <c:v>1.113</c:v>
                </c:pt>
                <c:pt idx="7">
                  <c:v>1.0343333333333333</c:v>
                </c:pt>
                <c:pt idx="8">
                  <c:v>0.85933333333333328</c:v>
                </c:pt>
                <c:pt idx="9">
                  <c:v>2.9390000000000001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4-4CDF-A7A5-458EB79DF762}"/>
            </c:ext>
          </c:extLst>
        </c:ser>
        <c:ser>
          <c:idx val="3"/>
          <c:order val="1"/>
          <c:tx>
            <c:strRef>
              <c:f>'[1]OK2B&amp;GRR'!$B$25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val>
            <c:numRef>
              <c:f>'[1]OK2B&amp;GRR'!$E$28:$N$28</c:f>
              <c:numCache>
                <c:formatCode>General</c:formatCode>
                <c:ptCount val="10"/>
                <c:pt idx="0">
                  <c:v>0.14533333333333334</c:v>
                </c:pt>
                <c:pt idx="1">
                  <c:v>0.97599999999999998</c:v>
                </c:pt>
                <c:pt idx="2">
                  <c:v>0.82399999999999995</c:v>
                </c:pt>
                <c:pt idx="3">
                  <c:v>0.97233333333333327</c:v>
                </c:pt>
                <c:pt idx="4">
                  <c:v>1.0126666666666666</c:v>
                </c:pt>
                <c:pt idx="5">
                  <c:v>1.1209999999999998</c:v>
                </c:pt>
                <c:pt idx="6">
                  <c:v>0.95599999999999985</c:v>
                </c:pt>
                <c:pt idx="7">
                  <c:v>0.90666666666666662</c:v>
                </c:pt>
                <c:pt idx="8">
                  <c:v>0.97966666666666669</c:v>
                </c:pt>
                <c:pt idx="9">
                  <c:v>2.9093333333333331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4-4CDF-A7A5-458EB79DF762}"/>
            </c:ext>
          </c:extLst>
        </c:ser>
        <c:ser>
          <c:idx val="4"/>
          <c:order val="2"/>
          <c:tx>
            <c:strRef>
              <c:f>'[1]OK2B&amp;GRR'!$B$31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'[1]OK2B&amp;GRR'!$E$34:$N$34</c:f>
              <c:numCache>
                <c:formatCode>General</c:formatCode>
                <c:ptCount val="10"/>
                <c:pt idx="0">
                  <c:v>0.107</c:v>
                </c:pt>
                <c:pt idx="1">
                  <c:v>0.86066666666666658</c:v>
                </c:pt>
                <c:pt idx="2">
                  <c:v>0.83933333333333326</c:v>
                </c:pt>
                <c:pt idx="3">
                  <c:v>1.1506666666666667</c:v>
                </c:pt>
                <c:pt idx="4">
                  <c:v>1.0656666666666668</c:v>
                </c:pt>
                <c:pt idx="5">
                  <c:v>1.1260000000000001</c:v>
                </c:pt>
                <c:pt idx="6">
                  <c:v>1.0063333333333333</c:v>
                </c:pt>
                <c:pt idx="7">
                  <c:v>1.018</c:v>
                </c:pt>
                <c:pt idx="8">
                  <c:v>0.95033333333333336</c:v>
                </c:pt>
                <c:pt idx="9">
                  <c:v>2.918333333333333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4-4CDF-A7A5-458EB79DF762}"/>
            </c:ext>
          </c:extLst>
        </c:ser>
        <c:ser>
          <c:idx val="1"/>
          <c:order val="3"/>
          <c:tx>
            <c:strRef>
              <c:f>'[1]OK2B&amp;GRR'!$D$47</c:f>
              <c:strCache>
                <c:ptCount val="1"/>
                <c:pt idx="0">
                  <c:v>UCLx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'[1]OK2B&amp;GRR'!$E$47:$N$47</c:f>
              <c:numCache>
                <c:formatCode>General</c:formatCode>
                <c:ptCount val="10"/>
                <c:pt idx="0">
                  <c:v>1.1945877111111112</c:v>
                </c:pt>
                <c:pt idx="1">
                  <c:v>1.1945877111111112</c:v>
                </c:pt>
                <c:pt idx="2">
                  <c:v>1.1945877111111112</c:v>
                </c:pt>
                <c:pt idx="3">
                  <c:v>1.1945877111111112</c:v>
                </c:pt>
                <c:pt idx="4">
                  <c:v>1.1945877111111112</c:v>
                </c:pt>
                <c:pt idx="5">
                  <c:v>1.1945877111111112</c:v>
                </c:pt>
                <c:pt idx="6">
                  <c:v>1.1945877111111112</c:v>
                </c:pt>
                <c:pt idx="7">
                  <c:v>1.1945877111111112</c:v>
                </c:pt>
                <c:pt idx="8">
                  <c:v>1.1945877111111112</c:v>
                </c:pt>
                <c:pt idx="9">
                  <c:v>1.1945877111111112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4-4CDF-A7A5-458EB79DF762}"/>
            </c:ext>
          </c:extLst>
        </c:ser>
        <c:ser>
          <c:idx val="2"/>
          <c:order val="4"/>
          <c:tx>
            <c:strRef>
              <c:f>'[1]OK2B&amp;GRR'!$D$48</c:f>
              <c:strCache>
                <c:ptCount val="1"/>
                <c:pt idx="0">
                  <c:v>LCLx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'[1]OK2B&amp;GRR'!$E$48:$N$48</c:f>
              <c:numCache>
                <c:formatCode>General</c:formatCode>
                <c:ptCount val="10"/>
                <c:pt idx="0">
                  <c:v>0.99503451111111119</c:v>
                </c:pt>
                <c:pt idx="1">
                  <c:v>0.99503451111111119</c:v>
                </c:pt>
                <c:pt idx="2">
                  <c:v>0.99503451111111119</c:v>
                </c:pt>
                <c:pt idx="3">
                  <c:v>0.99503451111111119</c:v>
                </c:pt>
                <c:pt idx="4">
                  <c:v>0.99503451111111119</c:v>
                </c:pt>
                <c:pt idx="5">
                  <c:v>0.99503451111111119</c:v>
                </c:pt>
                <c:pt idx="6">
                  <c:v>0.99503451111111119</c:v>
                </c:pt>
                <c:pt idx="7">
                  <c:v>0.99503451111111119</c:v>
                </c:pt>
                <c:pt idx="8">
                  <c:v>0.99503451111111119</c:v>
                </c:pt>
                <c:pt idx="9">
                  <c:v>0.99503451111111119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4-4CDF-A7A5-458EB79D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2480"/>
        <c:axId val="165694832"/>
      </c:lineChart>
      <c:catAx>
        <c:axId val="1656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5694832"/>
        <c:crosses val="autoZero"/>
        <c:auto val="1"/>
        <c:lblAlgn val="ctr"/>
        <c:lblOffset val="100"/>
        <c:noMultiLvlLbl val="0"/>
      </c:catAx>
      <c:valAx>
        <c:axId val="1656948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165692480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24101113574463"/>
          <c:y val="0.31405045443699675"/>
          <c:w val="7.9288195771644907E-2"/>
          <c:h val="0.53719181796491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5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75054836314997E-2"/>
          <c:y val="0.11194029850746086"/>
          <c:w val="0.84218814253856966"/>
          <c:h val="0.79850746268656703"/>
        </c:manualLayout>
      </c:layout>
      <c:lineChart>
        <c:grouping val="standard"/>
        <c:varyColors val="0"/>
        <c:ser>
          <c:idx val="4"/>
          <c:order val="0"/>
          <c:tx>
            <c:strRef>
              <c:f>'[1]OK2B&amp;GRR'!$B$19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'[1]OK2B&amp;GRR'!$E$24:$N$24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5.0000000000000044E-3</c:v>
                </c:pt>
                <c:pt idx="2">
                  <c:v>0.10400000000000009</c:v>
                </c:pt>
                <c:pt idx="3">
                  <c:v>0.2380000000000001</c:v>
                </c:pt>
                <c:pt idx="4">
                  <c:v>5.600000000000005E-2</c:v>
                </c:pt>
                <c:pt idx="5">
                  <c:v>0.21700000000000008</c:v>
                </c:pt>
                <c:pt idx="6">
                  <c:v>0.10600000000000009</c:v>
                </c:pt>
                <c:pt idx="7">
                  <c:v>5.600000000000005E-2</c:v>
                </c:pt>
                <c:pt idx="8">
                  <c:v>0.1389999999999999</c:v>
                </c:pt>
                <c:pt idx="9">
                  <c:v>4.5000000000000373E-2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1-4B9D-984F-8F5A192289C3}"/>
            </c:ext>
          </c:extLst>
        </c:ser>
        <c:ser>
          <c:idx val="3"/>
          <c:order val="1"/>
          <c:tx>
            <c:strRef>
              <c:f>'[1]OK2B&amp;GRR'!$B$25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val>
            <c:numRef>
              <c:f>'[1]OK2B&amp;GRR'!$E$30:$N$30</c:f>
              <c:numCache>
                <c:formatCode>General</c:formatCode>
                <c:ptCount val="10"/>
                <c:pt idx="0">
                  <c:v>0.05</c:v>
                </c:pt>
                <c:pt idx="1">
                  <c:v>4.3000000000000038E-2</c:v>
                </c:pt>
                <c:pt idx="2">
                  <c:v>1.2000000000000011E-2</c:v>
                </c:pt>
                <c:pt idx="3">
                  <c:v>0.248</c:v>
                </c:pt>
                <c:pt idx="4">
                  <c:v>3.1000000000000139E-2</c:v>
                </c:pt>
                <c:pt idx="5">
                  <c:v>0.12599999999999989</c:v>
                </c:pt>
                <c:pt idx="6">
                  <c:v>0.19100000000000006</c:v>
                </c:pt>
                <c:pt idx="7">
                  <c:v>0.121</c:v>
                </c:pt>
                <c:pt idx="8">
                  <c:v>2.8000000000000025E-2</c:v>
                </c:pt>
                <c:pt idx="9">
                  <c:v>9.1999999999999638E-2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1-4B9D-984F-8F5A192289C3}"/>
            </c:ext>
          </c:extLst>
        </c:ser>
        <c:ser>
          <c:idx val="0"/>
          <c:order val="2"/>
          <c:tx>
            <c:strRef>
              <c:f>'[1]OK2B&amp;GRR'!$B$31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'[1]OK2B&amp;GRR'!$E$36:$N$36</c:f>
              <c:numCache>
                <c:formatCode>General</c:formatCode>
                <c:ptCount val="10"/>
                <c:pt idx="0">
                  <c:v>1.100000000000001E-2</c:v>
                </c:pt>
                <c:pt idx="1">
                  <c:v>0.10099999999999998</c:v>
                </c:pt>
                <c:pt idx="2">
                  <c:v>2.8000000000000025E-2</c:v>
                </c:pt>
                <c:pt idx="3">
                  <c:v>0.10899999999999999</c:v>
                </c:pt>
                <c:pt idx="4">
                  <c:v>6.0000000000000053E-2</c:v>
                </c:pt>
                <c:pt idx="5">
                  <c:v>0.14500000000000002</c:v>
                </c:pt>
                <c:pt idx="6">
                  <c:v>0.247</c:v>
                </c:pt>
                <c:pt idx="7">
                  <c:v>3.499999999999992E-2</c:v>
                </c:pt>
                <c:pt idx="8">
                  <c:v>6.3999999999999946E-2</c:v>
                </c:pt>
                <c:pt idx="9">
                  <c:v>0.15400000000000036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1-4B9D-984F-8F5A192289C3}"/>
            </c:ext>
          </c:extLst>
        </c:ser>
        <c:ser>
          <c:idx val="1"/>
          <c:order val="3"/>
          <c:tx>
            <c:strRef>
              <c:f>'[1]OK2B&amp;GRR'!$D$49</c:f>
              <c:strCache>
                <c:ptCount val="1"/>
                <c:pt idx="0">
                  <c:v>UCLR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'[1]OK2B&amp;GRR'!$E$49:$N$49</c:f>
              <c:numCache>
                <c:formatCode>General</c:formatCode>
                <c:ptCount val="10"/>
                <c:pt idx="0">
                  <c:v>0.25114833333333342</c:v>
                </c:pt>
                <c:pt idx="1">
                  <c:v>0.25114833333333342</c:v>
                </c:pt>
                <c:pt idx="2">
                  <c:v>0.25114833333333342</c:v>
                </c:pt>
                <c:pt idx="3">
                  <c:v>0.25114833333333342</c:v>
                </c:pt>
                <c:pt idx="4">
                  <c:v>0.25114833333333342</c:v>
                </c:pt>
                <c:pt idx="5">
                  <c:v>0.25114833333333342</c:v>
                </c:pt>
                <c:pt idx="6">
                  <c:v>0.25114833333333342</c:v>
                </c:pt>
                <c:pt idx="7">
                  <c:v>0.25114833333333342</c:v>
                </c:pt>
                <c:pt idx="8">
                  <c:v>0.25114833333333342</c:v>
                </c:pt>
                <c:pt idx="9">
                  <c:v>0.25114833333333342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1-4B9D-984F-8F5A192289C3}"/>
            </c:ext>
          </c:extLst>
        </c:ser>
        <c:ser>
          <c:idx val="2"/>
          <c:order val="4"/>
          <c:tx>
            <c:strRef>
              <c:f>'[1]OK2B&amp;GRR'!$D$50</c:f>
              <c:strCache>
                <c:ptCount val="1"/>
                <c:pt idx="0">
                  <c:v>LCLR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'[1]OK2B&amp;GRR'!$E$50:$N$50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1-4B9D-984F-8F5A1922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74504"/>
        <c:axId val="310974896"/>
      </c:lineChart>
      <c:catAx>
        <c:axId val="310974504"/>
        <c:scaling>
          <c:orientation val="minMax"/>
        </c:scaling>
        <c:delete val="1"/>
        <c:axPos val="b"/>
        <c:majorTickMark val="out"/>
        <c:minorTickMark val="none"/>
        <c:tickLblPos val="none"/>
        <c:crossAx val="310974896"/>
        <c:crosses val="autoZero"/>
        <c:auto val="1"/>
        <c:lblAlgn val="ctr"/>
        <c:lblOffset val="100"/>
        <c:noMultiLvlLbl val="0"/>
      </c:catAx>
      <c:valAx>
        <c:axId val="3109748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310974504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22147474284199"/>
          <c:y val="0.28854228004108201"/>
          <c:w val="7.9429877090606393E-2"/>
          <c:h val="0.59268195823349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5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TW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变差比重</a:t>
            </a:r>
            <a:r>
              <a:rPr lang="en-US" altLang="zh-TW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Components of variation</a:t>
            </a:r>
          </a:p>
        </c:rich>
      </c:tx>
      <c:layout>
        <c:manualLayout>
          <c:xMode val="edge"/>
          <c:yMode val="edge"/>
          <c:x val="0.21776530248534234"/>
          <c:y val="3.3162374973398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48519415351413E-2"/>
          <c:y val="0.18471379075068797"/>
          <c:w val="0.68126187099874402"/>
          <c:h val="0.643314078522090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'[1]OK2B&amp;GRR'!$J$136</c:f>
              <c:strCache>
                <c:ptCount val="1"/>
                <c:pt idx="0">
                  <c:v>%贡献率Contribution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-1.8477609849878601E-2"/>
                  <c:y val="1.77751787934079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2-43F3-9A25-3C7955857F9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7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('[1]OK2B&amp;GRR'!$B$137:$E$139,'[1]OK2B&amp;GRR'!$B$142:$E$142)</c:f>
              <c:multiLvlStrCache>
                <c:ptCount val="1"/>
                <c:lvl>
                  <c:pt idx="0">
                    <c:v>再现性Reproducibility</c:v>
                  </c:pt>
                </c:lvl>
                <c:lvl>
                  <c:pt idx="0">
                    <c:v>重复性Repeatability</c:v>
                  </c:pt>
                </c:lvl>
                <c:lvl>
                  <c:pt idx="0">
                    <c:v>系统Total Gauge R&amp;R</c:v>
                  </c:pt>
                </c:lvl>
              </c:multiLvlStrCache>
            </c:multiLvlStrRef>
          </c:cat>
          <c:val>
            <c:numRef>
              <c:f>('[1]OK2B&amp;GRR'!$J$137:$J$139,'[1]OK2B&amp;GRR'!$J$142)</c:f>
              <c:numCache>
                <c:formatCode>General</c:formatCode>
                <c:ptCount val="4"/>
                <c:pt idx="0">
                  <c:v>1.2365397311429294E-2</c:v>
                </c:pt>
                <c:pt idx="1">
                  <c:v>8.5064319444588653E-3</c:v>
                </c:pt>
                <c:pt idx="2">
                  <c:v>3.8589653669704278E-3</c:v>
                </c:pt>
                <c:pt idx="3">
                  <c:v>0.98763460268857062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2-43F3-9A25-3C7955857F90}"/>
            </c:ext>
          </c:extLst>
        </c:ser>
        <c:ser>
          <c:idx val="4"/>
          <c:order val="1"/>
          <c:tx>
            <c:strRef>
              <c:f>'[1]OK2B&amp;GRR'!$L$136</c:f>
              <c:strCache>
                <c:ptCount val="1"/>
                <c:pt idx="0">
                  <c:v>%总变差TV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7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('[1]OK2B&amp;GRR'!$B$137:$E$139,'[1]OK2B&amp;GRR'!$B$142:$E$142)</c:f>
              <c:multiLvlStrCache>
                <c:ptCount val="1"/>
                <c:lvl>
                  <c:pt idx="0">
                    <c:v>再现性Reproducibility</c:v>
                  </c:pt>
                </c:lvl>
                <c:lvl>
                  <c:pt idx="0">
                    <c:v>重复性Repeatability</c:v>
                  </c:pt>
                </c:lvl>
                <c:lvl>
                  <c:pt idx="0">
                    <c:v>系统Total Gauge R&amp;R</c:v>
                  </c:pt>
                </c:lvl>
              </c:multiLvlStrCache>
            </c:multiLvlStrRef>
          </c:cat>
          <c:val>
            <c:numRef>
              <c:f>('[1]OK2B&amp;GRR'!$L$137:$L$139,'[1]OK2B&amp;GRR'!$L$142)</c:f>
              <c:numCache>
                <c:formatCode>General</c:formatCode>
                <c:ptCount val="4"/>
                <c:pt idx="0">
                  <c:v>0.11119980805482217</c:v>
                </c:pt>
                <c:pt idx="1">
                  <c:v>9.2230320093008814E-2</c:v>
                </c:pt>
                <c:pt idx="2">
                  <c:v>6.2120571206086217E-2</c:v>
                </c:pt>
                <c:pt idx="3">
                  <c:v>0.99379806937253135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2-43F3-9A25-3C7955857F90}"/>
            </c:ext>
          </c:extLst>
        </c:ser>
        <c:ser>
          <c:idx val="6"/>
          <c:order val="2"/>
          <c:tx>
            <c:strRef>
              <c:f>'[1]OK2B&amp;GRR'!$N$136</c:f>
              <c:strCache>
                <c:ptCount val="1"/>
                <c:pt idx="0">
                  <c:v>%公差Tolerance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7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('[1]OK2B&amp;GRR'!$B$137:$E$139,'[1]OK2B&amp;GRR'!$B$142:$E$142)</c:f>
              <c:multiLvlStrCache>
                <c:ptCount val="1"/>
                <c:lvl>
                  <c:pt idx="0">
                    <c:v>再现性Reproducibility</c:v>
                  </c:pt>
                </c:lvl>
                <c:lvl>
                  <c:pt idx="0">
                    <c:v>重复性Repeatability</c:v>
                  </c:pt>
                </c:lvl>
                <c:lvl>
                  <c:pt idx="0">
                    <c:v>系统Total Gauge R&amp;R</c:v>
                  </c:pt>
                </c:lvl>
              </c:multiLvlStrCache>
            </c:multiLvlStrRef>
          </c:cat>
          <c:val>
            <c:numRef>
              <c:f>('[1]OK2B&amp;GRR'!$N$137:$N$139,'[1]OK2B&amp;GRR'!$N$142)</c:f>
              <c:numCache>
                <c:formatCode>General</c:formatCode>
                <c:ptCount val="4"/>
                <c:pt idx="0">
                  <c:v>9.3913599378094653E-2</c:v>
                </c:pt>
                <c:pt idx="1">
                  <c:v>7.7892952184395889E-2</c:v>
                </c:pt>
                <c:pt idx="2">
                  <c:v>5.2463817514060838E-2</c:v>
                </c:pt>
                <c:pt idx="3">
                  <c:v>0.83931038535392999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2-43F3-9A25-3C795585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112200"/>
        <c:axId val="925112592"/>
      </c:barChart>
      <c:catAx>
        <c:axId val="925112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7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92511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5112592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7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925112200"/>
        <c:crosses val="autoZero"/>
        <c:crossBetween val="between"/>
        <c:majorUnit val="2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2674249052195"/>
          <c:y val="0.184001560615734"/>
          <c:w val="0.17682787336768097"/>
          <c:h val="0.656758884869130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 paperSize="9" orientation="landscape" horizontalDpi="-1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Response by part</a:t>
            </a:r>
          </a:p>
        </c:rich>
      </c:tx>
      <c:layout>
        <c:manualLayout>
          <c:xMode val="edge"/>
          <c:yMode val="edge"/>
          <c:x val="0.36627043114938185"/>
          <c:y val="1.8699508715256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7492264394417"/>
          <c:y val="0.13474646439805399"/>
          <c:w val="0.80033405593928097"/>
          <c:h val="0.75848420966719143"/>
        </c:manualLayout>
      </c:layout>
      <c:lineChart>
        <c:grouping val="standard"/>
        <c:varyColors val="0"/>
        <c:ser>
          <c:idx val="9"/>
          <c:order val="9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'[1]OK2B&amp;GRR'!$E$37:$N$37</c:f>
              <c:numCache>
                <c:formatCode>General</c:formatCode>
                <c:ptCount val="10"/>
                <c:pt idx="0">
                  <c:v>0.13466666666666666</c:v>
                </c:pt>
                <c:pt idx="1">
                  <c:v>0.89922222222222226</c:v>
                </c:pt>
                <c:pt idx="2">
                  <c:v>0.84422222222222221</c:v>
                </c:pt>
                <c:pt idx="3">
                  <c:v>1.0375555555555556</c:v>
                </c:pt>
                <c:pt idx="4">
                  <c:v>1.0457777777777777</c:v>
                </c:pt>
                <c:pt idx="5">
                  <c:v>1.1232222222222221</c:v>
                </c:pt>
                <c:pt idx="6">
                  <c:v>1.0251111111111111</c:v>
                </c:pt>
                <c:pt idx="7">
                  <c:v>0.98633333333333317</c:v>
                </c:pt>
                <c:pt idx="8">
                  <c:v>0.92977777777777781</c:v>
                </c:pt>
                <c:pt idx="9">
                  <c:v>2.9222222222222225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4722-8726-9F5BA8D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11808"/>
        <c:axId val="925111416"/>
      </c:line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'[1]OK2B&amp;GRR'!$E$19:$N$19</c:f>
              <c:numCache>
                <c:formatCode>General</c:formatCode>
                <c:ptCount val="10"/>
                <c:pt idx="0">
                  <c:v>0.19</c:v>
                </c:pt>
                <c:pt idx="1">
                  <c:v>0.86199999999999999</c:v>
                </c:pt>
                <c:pt idx="2">
                  <c:v>0.91900000000000004</c:v>
                </c:pt>
                <c:pt idx="3">
                  <c:v>1.0840000000000001</c:v>
                </c:pt>
                <c:pt idx="4">
                  <c:v>1.0449999999999999</c:v>
                </c:pt>
                <c:pt idx="5">
                  <c:v>1.0349999999999999</c:v>
                </c:pt>
                <c:pt idx="6">
                  <c:v>1.151</c:v>
                </c:pt>
                <c:pt idx="7">
                  <c:v>1.0609999999999999</c:v>
                </c:pt>
                <c:pt idx="8">
                  <c:v>0.95099999999999996</c:v>
                </c:pt>
                <c:pt idx="9">
                  <c:v>2.9660000000000002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7-4722-8726-9F5BA8DB9DC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'[1]OK2B&amp;GRR'!$E$20:$N$20</c:f>
              <c:numCache>
                <c:formatCode>General</c:formatCode>
                <c:ptCount val="10"/>
                <c:pt idx="0">
                  <c:v>0.126</c:v>
                </c:pt>
                <c:pt idx="1">
                  <c:v>0.85799999999999998</c:v>
                </c:pt>
                <c:pt idx="2">
                  <c:v>0.874</c:v>
                </c:pt>
                <c:pt idx="3">
                  <c:v>1.0389999999999999</c:v>
                </c:pt>
                <c:pt idx="4">
                  <c:v>1.038</c:v>
                </c:pt>
                <c:pt idx="5">
                  <c:v>1.252</c:v>
                </c:pt>
                <c:pt idx="6">
                  <c:v>1.143</c:v>
                </c:pt>
                <c:pt idx="7">
                  <c:v>1.0369999999999999</c:v>
                </c:pt>
                <c:pt idx="8">
                  <c:v>0.81200000000000006</c:v>
                </c:pt>
                <c:pt idx="9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7-4722-8726-9F5BA8DB9DC4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'[1]OK2B&amp;GRR'!$E$21:$N$21</c:f>
              <c:numCache>
                <c:formatCode>General</c:formatCode>
                <c:ptCount val="10"/>
                <c:pt idx="0">
                  <c:v>0.13900000000000001</c:v>
                </c:pt>
                <c:pt idx="1">
                  <c:v>0.86299999999999999</c:v>
                </c:pt>
                <c:pt idx="2">
                  <c:v>0.81499999999999995</c:v>
                </c:pt>
                <c:pt idx="3">
                  <c:v>0.84599999999999997</c:v>
                </c:pt>
                <c:pt idx="4">
                  <c:v>1.0940000000000001</c:v>
                </c:pt>
                <c:pt idx="5">
                  <c:v>1.081</c:v>
                </c:pt>
                <c:pt idx="6">
                  <c:v>1.0449999999999999</c:v>
                </c:pt>
                <c:pt idx="7">
                  <c:v>1.0049999999999999</c:v>
                </c:pt>
                <c:pt idx="8">
                  <c:v>0.81499999999999995</c:v>
                </c:pt>
                <c:pt idx="9">
                  <c:v>2.9209999999999998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7-4722-8726-9F5BA8DB9DC4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'[1]OK2B&amp;GRR'!$E$25:$N$25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0.94899999999999995</c:v>
                </c:pt>
                <c:pt idx="2">
                  <c:v>0.81599999999999995</c:v>
                </c:pt>
                <c:pt idx="3">
                  <c:v>0.81</c:v>
                </c:pt>
                <c:pt idx="4">
                  <c:v>1.0049999999999999</c:v>
                </c:pt>
                <c:pt idx="5">
                  <c:v>1.0620000000000001</c:v>
                </c:pt>
                <c:pt idx="6">
                  <c:v>1.02</c:v>
                </c:pt>
                <c:pt idx="7">
                  <c:v>0.94699999999999995</c:v>
                </c:pt>
                <c:pt idx="8">
                  <c:v>0.98899999999999999</c:v>
                </c:pt>
                <c:pt idx="9">
                  <c:v>2.9060000000000001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7-4722-8726-9F5BA8DB9DC4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'[1]OK2B&amp;GRR'!$E$26:$N$26</c:f>
              <c:numCache>
                <c:formatCode>General</c:formatCode>
                <c:ptCount val="10"/>
                <c:pt idx="0">
                  <c:v>0.156</c:v>
                </c:pt>
                <c:pt idx="1">
                  <c:v>0.99199999999999999</c:v>
                </c:pt>
                <c:pt idx="2">
                  <c:v>0.82799999999999996</c:v>
                </c:pt>
                <c:pt idx="3">
                  <c:v>1.0580000000000001</c:v>
                </c:pt>
                <c:pt idx="4">
                  <c:v>1.032</c:v>
                </c:pt>
                <c:pt idx="5">
                  <c:v>1.113</c:v>
                </c:pt>
                <c:pt idx="6">
                  <c:v>1.0189999999999999</c:v>
                </c:pt>
                <c:pt idx="7">
                  <c:v>0.94699999999999995</c:v>
                </c:pt>
                <c:pt idx="8">
                  <c:v>0.98899999999999999</c:v>
                </c:pt>
                <c:pt idx="9">
                  <c:v>2.9569999999999999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77-4722-8726-9F5BA8DB9DC4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'[1]OK2B&amp;GRR'!$E$27:$N$27</c:f>
              <c:numCache>
                <c:formatCode>General</c:formatCode>
                <c:ptCount val="10"/>
                <c:pt idx="0">
                  <c:v>0.115</c:v>
                </c:pt>
                <c:pt idx="1">
                  <c:v>0.98699999999999999</c:v>
                </c:pt>
                <c:pt idx="2">
                  <c:v>0.82799999999999996</c:v>
                </c:pt>
                <c:pt idx="3">
                  <c:v>1.0489999999999999</c:v>
                </c:pt>
                <c:pt idx="4">
                  <c:v>1.0009999999999999</c:v>
                </c:pt>
                <c:pt idx="5">
                  <c:v>1.1879999999999999</c:v>
                </c:pt>
                <c:pt idx="6">
                  <c:v>0.82899999999999996</c:v>
                </c:pt>
                <c:pt idx="7">
                  <c:v>0.82599999999999996</c:v>
                </c:pt>
                <c:pt idx="8">
                  <c:v>0.96099999999999997</c:v>
                </c:pt>
                <c:pt idx="9">
                  <c:v>2.8650000000000002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77-4722-8726-9F5BA8DB9DC4}"/>
            </c:ext>
          </c:extLst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'[1]OK2B&amp;GRR'!$E$31:$N$31</c:f>
              <c:numCache>
                <c:formatCode>General</c:formatCode>
                <c:ptCount val="10"/>
                <c:pt idx="0">
                  <c:v>0.10199999999999999</c:v>
                </c:pt>
                <c:pt idx="1">
                  <c:v>0.80600000000000005</c:v>
                </c:pt>
                <c:pt idx="2">
                  <c:v>0.85699999999999998</c:v>
                </c:pt>
                <c:pt idx="3">
                  <c:v>1.0780000000000001</c:v>
                </c:pt>
                <c:pt idx="4">
                  <c:v>1.03</c:v>
                </c:pt>
                <c:pt idx="5">
                  <c:v>1.1990000000000001</c:v>
                </c:pt>
                <c:pt idx="6">
                  <c:v>0.88400000000000001</c:v>
                </c:pt>
                <c:pt idx="7">
                  <c:v>1.0349999999999999</c:v>
                </c:pt>
                <c:pt idx="8">
                  <c:v>0.93700000000000006</c:v>
                </c:pt>
                <c:pt idx="9">
                  <c:v>2.8239999999999998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77-4722-8726-9F5BA8DB9DC4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'[1]OK2B&amp;GRR'!$E$32:$N$32</c:f>
              <c:numCache>
                <c:formatCode>General</c:formatCode>
                <c:ptCount val="10"/>
                <c:pt idx="0">
                  <c:v>0.106</c:v>
                </c:pt>
                <c:pt idx="1">
                  <c:v>0.86899999999999999</c:v>
                </c:pt>
                <c:pt idx="2">
                  <c:v>0.83199999999999996</c:v>
                </c:pt>
                <c:pt idx="3">
                  <c:v>1.1870000000000001</c:v>
                </c:pt>
                <c:pt idx="4">
                  <c:v>1.077</c:v>
                </c:pt>
                <c:pt idx="5">
                  <c:v>1.054</c:v>
                </c:pt>
                <c:pt idx="6">
                  <c:v>1.131</c:v>
                </c:pt>
                <c:pt idx="7">
                  <c:v>1.0189999999999999</c:v>
                </c:pt>
                <c:pt idx="8">
                  <c:v>0.92500000000000004</c:v>
                </c:pt>
                <c:pt idx="9">
                  <c:v>2.9780000000000002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77-4722-8726-9F5BA8DB9DC4}"/>
            </c:ext>
          </c:extLst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'[1]OK2B&amp;GRR'!$E$33:$N$33</c:f>
              <c:numCache>
                <c:formatCode>General</c:formatCode>
                <c:ptCount val="10"/>
                <c:pt idx="0">
                  <c:v>0.113</c:v>
                </c:pt>
                <c:pt idx="1">
                  <c:v>0.90700000000000003</c:v>
                </c:pt>
                <c:pt idx="2">
                  <c:v>0.82899999999999996</c:v>
                </c:pt>
                <c:pt idx="3">
                  <c:v>1.1870000000000001</c:v>
                </c:pt>
                <c:pt idx="4">
                  <c:v>1.0900000000000001</c:v>
                </c:pt>
                <c:pt idx="5">
                  <c:v>1.125</c:v>
                </c:pt>
                <c:pt idx="6">
                  <c:v>1.004</c:v>
                </c:pt>
                <c:pt idx="7">
                  <c:v>1</c:v>
                </c:pt>
                <c:pt idx="8">
                  <c:v>0.98899999999999999</c:v>
                </c:pt>
                <c:pt idx="9">
                  <c:v>2.9529999999999998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77-4722-8726-9F5BA8D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11808"/>
        <c:axId val="925111416"/>
      </c:scatterChart>
      <c:catAx>
        <c:axId val="925111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92511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511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92511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 paperSize="9" orientation="landscape" horizontalDpi="-1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b="0"/>
            </a:pPr>
            <a:r>
              <a:rPr lang="en-US" b="0"/>
              <a:t>Response by operator</a:t>
            </a:r>
            <a:endParaRPr lang="zh-CN" b="0"/>
          </a:p>
        </c:rich>
      </c:tx>
      <c:layout>
        <c:manualLayout>
          <c:xMode val="edge"/>
          <c:yMode val="edge"/>
          <c:x val="0.34593691126032688"/>
          <c:y val="2.0486367775457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5700224444197"/>
          <c:y val="0.15615860730641501"/>
          <c:w val="0.797264043205554"/>
          <c:h val="0.71956856868321251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('[1]OK2B&amp;GRR'!$E$22,'[1]OK2B&amp;GRR'!$E$28,'[1]OK2B&amp;GRR'!$E$34)</c:f>
              <c:numCache>
                <c:formatCode>General</c:formatCode>
                <c:ptCount val="3"/>
                <c:pt idx="0">
                  <c:v>0.15166666666666667</c:v>
                </c:pt>
                <c:pt idx="1">
                  <c:v>0.14533333333333334</c:v>
                </c:pt>
                <c:pt idx="2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5-49D3-80CE-87D7DBFD4213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('[1]OK2B&amp;GRR'!$F$22,'[1]OK2B&amp;GRR'!$F$28,'[1]OK2B&amp;GRR'!$F$34)</c:f>
              <c:numCache>
                <c:formatCode>General</c:formatCode>
                <c:ptCount val="3"/>
                <c:pt idx="0">
                  <c:v>0.8610000000000001</c:v>
                </c:pt>
                <c:pt idx="1">
                  <c:v>0.97599999999999998</c:v>
                </c:pt>
                <c:pt idx="2">
                  <c:v>0.86066666666666658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5-49D3-80CE-87D7DBFD4213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('[1]OK2B&amp;GRR'!$G$22,'[1]OK2B&amp;GRR'!$G$28,'[1]OK2B&amp;GRR'!$G$34)</c:f>
              <c:numCache>
                <c:formatCode>General</c:formatCode>
                <c:ptCount val="3"/>
                <c:pt idx="0">
                  <c:v>0.8693333333333334</c:v>
                </c:pt>
                <c:pt idx="1">
                  <c:v>0.82399999999999995</c:v>
                </c:pt>
                <c:pt idx="2">
                  <c:v>0.83933333333333326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5-49D3-80CE-87D7DBFD4213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dPt>
            <c:idx val="1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2075-49D3-80CE-87D7DBFD4213}"/>
              </c:ext>
            </c:extLst>
          </c:dPt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2075-49D3-80CE-87D7DBFD4213}"/>
              </c:ext>
            </c:extLst>
          </c:dPt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('[1]OK2B&amp;GRR'!$H$22,'[1]OK2B&amp;GRR'!$H$28,'[1]OK2B&amp;GRR'!$H$34)</c:f>
              <c:numCache>
                <c:formatCode>General</c:formatCode>
                <c:ptCount val="3"/>
                <c:pt idx="0">
                  <c:v>0.98966666666666681</c:v>
                </c:pt>
                <c:pt idx="1">
                  <c:v>0.97233333333333327</c:v>
                </c:pt>
                <c:pt idx="2">
                  <c:v>1.1506666666666667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75-49D3-80CE-87D7DBFD4213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('[1]OK2B&amp;GRR'!$I$22,'[1]OK2B&amp;GRR'!$I$28,'[1]OK2B&amp;GRR'!$I$34)</c:f>
              <c:numCache>
                <c:formatCode>General</c:formatCode>
                <c:ptCount val="3"/>
                <c:pt idx="0">
                  <c:v>1.0590000000000002</c:v>
                </c:pt>
                <c:pt idx="1">
                  <c:v>1.0126666666666666</c:v>
                </c:pt>
                <c:pt idx="2">
                  <c:v>1.0656666666666668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75-49D3-80CE-87D7DBFD4213}"/>
            </c:ext>
          </c:extLst>
        </c:ser>
        <c:ser>
          <c:idx val="5"/>
          <c:order val="5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('[1]OK2B&amp;GRR'!$J$22,'[1]OK2B&amp;GRR'!$J$28,'[1]OK2B&amp;GRR'!$J$34)</c:f>
              <c:numCache>
                <c:formatCode>General</c:formatCode>
                <c:ptCount val="3"/>
                <c:pt idx="0">
                  <c:v>1.1226666666666667</c:v>
                </c:pt>
                <c:pt idx="1">
                  <c:v>1.1209999999999998</c:v>
                </c:pt>
                <c:pt idx="2">
                  <c:v>1.1260000000000001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75-49D3-80CE-87D7DBFD4213}"/>
            </c:ext>
          </c:extLst>
        </c:ser>
        <c:ser>
          <c:idx val="6"/>
          <c:order val="6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('[1]OK2B&amp;GRR'!$K$22,'[1]OK2B&amp;GRR'!$K$28,'[1]OK2B&amp;GRR'!$K$34)</c:f>
              <c:numCache>
                <c:formatCode>General</c:formatCode>
                <c:ptCount val="3"/>
                <c:pt idx="0">
                  <c:v>1.113</c:v>
                </c:pt>
                <c:pt idx="1">
                  <c:v>0.95599999999999985</c:v>
                </c:pt>
                <c:pt idx="2">
                  <c:v>1.0063333333333333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75-49D3-80CE-87D7DBFD4213}"/>
            </c:ext>
          </c:extLst>
        </c:ser>
        <c:ser>
          <c:idx val="7"/>
          <c:order val="7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('[1]OK2B&amp;GRR'!$L$22,'[1]OK2B&amp;GRR'!$L$28,'[1]OK2B&amp;GRR'!$L$34)</c:f>
              <c:numCache>
                <c:formatCode>General</c:formatCode>
                <c:ptCount val="3"/>
                <c:pt idx="0">
                  <c:v>1.0343333333333333</c:v>
                </c:pt>
                <c:pt idx="1">
                  <c:v>0.90666666666666662</c:v>
                </c:pt>
                <c:pt idx="2">
                  <c:v>1.018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75-49D3-80CE-87D7DBFD4213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('[1]OK2B&amp;GRR'!$M$22,'[1]OK2B&amp;GRR'!$M$28,'[1]OK2B&amp;GRR'!$M$34)</c:f>
              <c:numCache>
                <c:formatCode>General</c:formatCode>
                <c:ptCount val="3"/>
                <c:pt idx="0">
                  <c:v>0.85933333333333328</c:v>
                </c:pt>
                <c:pt idx="1">
                  <c:v>0.97966666666666669</c:v>
                </c:pt>
                <c:pt idx="2">
                  <c:v>0.95033333333333336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75-49D3-80CE-87D7DBFD4213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('[1]OK2B&amp;GRR'!$N$22,'[1]OK2B&amp;GRR'!$N$28,'[1]OK2B&amp;GRR'!$N$34)</c:f>
              <c:numCache>
                <c:formatCode>General</c:formatCode>
                <c:ptCount val="3"/>
                <c:pt idx="0">
                  <c:v>2.9390000000000001</c:v>
                </c:pt>
                <c:pt idx="1">
                  <c:v>2.9093333333333331</c:v>
                </c:pt>
                <c:pt idx="2">
                  <c:v>2.918333333333333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75-49D3-80CE-87D7DBFD4213}"/>
            </c:ext>
          </c:extLst>
        </c:ser>
        <c:ser>
          <c:idx val="10"/>
          <c:order val="10"/>
          <c:spPr>
            <a:ln w="19050">
              <a:solidFill>
                <a:srgbClr val="1138DD"/>
              </a:solidFill>
            </a:ln>
          </c:spPr>
          <c:marker>
            <c:symbol val="circle"/>
            <c:size val="5"/>
            <c:spPr>
              <a:solidFill>
                <a:srgbClr val="1138DD"/>
              </a:solidFill>
              <a:ln w="9525">
                <a:solidFill>
                  <a:srgbClr val="1138DD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('[1]OK2B&amp;GRR'!$Q$22,'[1]OK2B&amp;GRR'!$Q$28,'[1]OK2B&amp;GRR'!$Q$34)</c:f>
              <c:numCache>
                <c:formatCode>General</c:formatCode>
                <c:ptCount val="3"/>
                <c:pt idx="0">
                  <c:v>1.0999000000000001</c:v>
                </c:pt>
                <c:pt idx="1">
                  <c:v>1.0802999999999998</c:v>
                </c:pt>
                <c:pt idx="2">
                  <c:v>1.1042333333333334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75-49D3-80CE-87D7DBFD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09848"/>
        <c:axId val="925110240"/>
      </c:lineChart>
      <c:catAx>
        <c:axId val="9251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th-TH"/>
          </a:p>
        </c:txPr>
        <c:crossAx val="925110240"/>
        <c:crosses val="autoZero"/>
        <c:auto val="1"/>
        <c:lblAlgn val="ctr"/>
        <c:lblOffset val="100"/>
        <c:noMultiLvlLbl val="0"/>
      </c:catAx>
      <c:valAx>
        <c:axId val="92511024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th-TH"/>
          </a:p>
        </c:txPr>
        <c:crossAx val="925109848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0"/>
    <c:dispBlanksAs val="gap"/>
    <c:showDLblsOverMax val="0"/>
  </c:chart>
  <c:txPr>
    <a:bodyPr/>
    <a:lstStyle/>
    <a:p>
      <a:pPr>
        <a:defRPr sz="800"/>
      </a:pPr>
      <a:endParaRPr lang="th-TH"/>
    </a:p>
  </c:txPr>
  <c:printSettings>
    <c:headerFooter/>
    <c:pageMargins b="0.75000000000000844" l="0.70000000000000095" r="0.70000000000000095" t="0.750000000000008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64762606187301E-2"/>
          <c:y val="0.10156892153799958"/>
          <c:w val="0.82861137059193002"/>
          <c:h val="0.81560848576356004"/>
        </c:manualLayout>
      </c:layout>
      <c:lineChart>
        <c:grouping val="standard"/>
        <c:varyColors val="0"/>
        <c:ser>
          <c:idx val="0"/>
          <c:order val="0"/>
          <c:tx>
            <c:strRef>
              <c:f>'[1]OK2B&amp;GRR'!$B$19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'[1]OK2B&amp;GRR'!$E$22:$N$22</c:f>
              <c:numCache>
                <c:formatCode>General</c:formatCode>
                <c:ptCount val="10"/>
                <c:pt idx="0">
                  <c:v>0.15166666666666667</c:v>
                </c:pt>
                <c:pt idx="1">
                  <c:v>0.8610000000000001</c:v>
                </c:pt>
                <c:pt idx="2">
                  <c:v>0.8693333333333334</c:v>
                </c:pt>
                <c:pt idx="3">
                  <c:v>0.98966666666666681</c:v>
                </c:pt>
                <c:pt idx="4">
                  <c:v>1.0590000000000002</c:v>
                </c:pt>
                <c:pt idx="5">
                  <c:v>1.1226666666666667</c:v>
                </c:pt>
                <c:pt idx="6">
                  <c:v>1.113</c:v>
                </c:pt>
                <c:pt idx="7">
                  <c:v>1.0343333333333333</c:v>
                </c:pt>
                <c:pt idx="8">
                  <c:v>0.85933333333333328</c:v>
                </c:pt>
                <c:pt idx="9">
                  <c:v>2.9390000000000001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5-4B69-AEAA-A663AC27C764}"/>
            </c:ext>
          </c:extLst>
        </c:ser>
        <c:ser>
          <c:idx val="3"/>
          <c:order val="1"/>
          <c:tx>
            <c:strRef>
              <c:f>'[1]OK2B&amp;GRR'!$B$25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val>
            <c:numRef>
              <c:f>'[1]OK2B&amp;GRR'!$E$28:$N$28</c:f>
              <c:numCache>
                <c:formatCode>General</c:formatCode>
                <c:ptCount val="10"/>
                <c:pt idx="0">
                  <c:v>0.14533333333333334</c:v>
                </c:pt>
                <c:pt idx="1">
                  <c:v>0.97599999999999998</c:v>
                </c:pt>
                <c:pt idx="2">
                  <c:v>0.82399999999999995</c:v>
                </c:pt>
                <c:pt idx="3">
                  <c:v>0.97233333333333327</c:v>
                </c:pt>
                <c:pt idx="4">
                  <c:v>1.0126666666666666</c:v>
                </c:pt>
                <c:pt idx="5">
                  <c:v>1.1209999999999998</c:v>
                </c:pt>
                <c:pt idx="6">
                  <c:v>0.95599999999999985</c:v>
                </c:pt>
                <c:pt idx="7">
                  <c:v>0.90666666666666662</c:v>
                </c:pt>
                <c:pt idx="8">
                  <c:v>0.97966666666666669</c:v>
                </c:pt>
                <c:pt idx="9">
                  <c:v>2.9093333333333331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5-4B69-AEAA-A663AC27C764}"/>
            </c:ext>
          </c:extLst>
        </c:ser>
        <c:ser>
          <c:idx val="4"/>
          <c:order val="2"/>
          <c:tx>
            <c:strRef>
              <c:f>'[1]OK2B&amp;GRR'!$B$31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'[1]OK2B&amp;GRR'!$E$34:$N$34</c:f>
              <c:numCache>
                <c:formatCode>General</c:formatCode>
                <c:ptCount val="10"/>
                <c:pt idx="0">
                  <c:v>0.107</c:v>
                </c:pt>
                <c:pt idx="1">
                  <c:v>0.86066666666666658</c:v>
                </c:pt>
                <c:pt idx="2">
                  <c:v>0.83933333333333326</c:v>
                </c:pt>
                <c:pt idx="3">
                  <c:v>1.1506666666666667</c:v>
                </c:pt>
                <c:pt idx="4">
                  <c:v>1.0656666666666668</c:v>
                </c:pt>
                <c:pt idx="5">
                  <c:v>1.1260000000000001</c:v>
                </c:pt>
                <c:pt idx="6">
                  <c:v>1.0063333333333333</c:v>
                </c:pt>
                <c:pt idx="7">
                  <c:v>1.018</c:v>
                </c:pt>
                <c:pt idx="8">
                  <c:v>0.95033333333333336</c:v>
                </c:pt>
                <c:pt idx="9">
                  <c:v>2.918333333333333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5-4B69-AEAA-A663AC27C764}"/>
            </c:ext>
          </c:extLst>
        </c:ser>
        <c:ser>
          <c:idx val="1"/>
          <c:order val="3"/>
          <c:tx>
            <c:strRef>
              <c:f>'[1]OK2B&amp;GRR'!$D$47</c:f>
              <c:strCache>
                <c:ptCount val="1"/>
                <c:pt idx="0">
                  <c:v>UCLx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'[1]OK2B&amp;GRR'!$E$47:$N$47</c:f>
              <c:numCache>
                <c:formatCode>General</c:formatCode>
                <c:ptCount val="10"/>
                <c:pt idx="0">
                  <c:v>1.1945877111111112</c:v>
                </c:pt>
                <c:pt idx="1">
                  <c:v>1.1945877111111112</c:v>
                </c:pt>
                <c:pt idx="2">
                  <c:v>1.1945877111111112</c:v>
                </c:pt>
                <c:pt idx="3">
                  <c:v>1.1945877111111112</c:v>
                </c:pt>
                <c:pt idx="4">
                  <c:v>1.1945877111111112</c:v>
                </c:pt>
                <c:pt idx="5">
                  <c:v>1.1945877111111112</c:v>
                </c:pt>
                <c:pt idx="6">
                  <c:v>1.1945877111111112</c:v>
                </c:pt>
                <c:pt idx="7">
                  <c:v>1.1945877111111112</c:v>
                </c:pt>
                <c:pt idx="8">
                  <c:v>1.1945877111111112</c:v>
                </c:pt>
                <c:pt idx="9">
                  <c:v>1.1945877111111112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5-4B69-AEAA-A663AC27C764}"/>
            </c:ext>
          </c:extLst>
        </c:ser>
        <c:ser>
          <c:idx val="2"/>
          <c:order val="4"/>
          <c:tx>
            <c:strRef>
              <c:f>'[1]OK2B&amp;GRR'!$D$48</c:f>
              <c:strCache>
                <c:ptCount val="1"/>
                <c:pt idx="0">
                  <c:v>LCLx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'[1]OK2B&amp;GRR'!$E$48:$N$48</c:f>
              <c:numCache>
                <c:formatCode>General</c:formatCode>
                <c:ptCount val="10"/>
                <c:pt idx="0">
                  <c:v>0.99503451111111119</c:v>
                </c:pt>
                <c:pt idx="1">
                  <c:v>0.99503451111111119</c:v>
                </c:pt>
                <c:pt idx="2">
                  <c:v>0.99503451111111119</c:v>
                </c:pt>
                <c:pt idx="3">
                  <c:v>0.99503451111111119</c:v>
                </c:pt>
                <c:pt idx="4">
                  <c:v>0.99503451111111119</c:v>
                </c:pt>
                <c:pt idx="5">
                  <c:v>0.99503451111111119</c:v>
                </c:pt>
                <c:pt idx="6">
                  <c:v>0.99503451111111119</c:v>
                </c:pt>
                <c:pt idx="7">
                  <c:v>0.99503451111111119</c:v>
                </c:pt>
                <c:pt idx="8">
                  <c:v>0.99503451111111119</c:v>
                </c:pt>
                <c:pt idx="9">
                  <c:v>0.99503451111111119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5-4B69-AEAA-A663AC27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2480"/>
        <c:axId val="165694832"/>
      </c:lineChart>
      <c:catAx>
        <c:axId val="1656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5694832"/>
        <c:crosses val="autoZero"/>
        <c:auto val="1"/>
        <c:lblAlgn val="ctr"/>
        <c:lblOffset val="100"/>
        <c:noMultiLvlLbl val="0"/>
      </c:catAx>
      <c:valAx>
        <c:axId val="1656948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165692480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24101113574463"/>
          <c:y val="0.31405045443699675"/>
          <c:w val="7.9288195771644907E-2"/>
          <c:h val="0.53719181796491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5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75054836314997E-2"/>
          <c:y val="0.11194029850746086"/>
          <c:w val="0.84218814253856966"/>
          <c:h val="0.79850746268656703"/>
        </c:manualLayout>
      </c:layout>
      <c:lineChart>
        <c:grouping val="standard"/>
        <c:varyColors val="0"/>
        <c:ser>
          <c:idx val="4"/>
          <c:order val="0"/>
          <c:tx>
            <c:strRef>
              <c:f>'[1]OK2B&amp;GRR'!$B$19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'[1]OK2B&amp;GRR'!$E$24:$N$24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5.0000000000000044E-3</c:v>
                </c:pt>
                <c:pt idx="2">
                  <c:v>0.10400000000000009</c:v>
                </c:pt>
                <c:pt idx="3">
                  <c:v>0.2380000000000001</c:v>
                </c:pt>
                <c:pt idx="4">
                  <c:v>5.600000000000005E-2</c:v>
                </c:pt>
                <c:pt idx="5">
                  <c:v>0.21700000000000008</c:v>
                </c:pt>
                <c:pt idx="6">
                  <c:v>0.10600000000000009</c:v>
                </c:pt>
                <c:pt idx="7">
                  <c:v>5.600000000000005E-2</c:v>
                </c:pt>
                <c:pt idx="8">
                  <c:v>0.1389999999999999</c:v>
                </c:pt>
                <c:pt idx="9">
                  <c:v>4.5000000000000373E-2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B-4B3E-9F6B-0C18B17CD831}"/>
            </c:ext>
          </c:extLst>
        </c:ser>
        <c:ser>
          <c:idx val="3"/>
          <c:order val="1"/>
          <c:tx>
            <c:strRef>
              <c:f>'[1]OK2B&amp;GRR'!$B$25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val>
            <c:numRef>
              <c:f>'[1]OK2B&amp;GRR'!$E$30:$N$30</c:f>
              <c:numCache>
                <c:formatCode>General</c:formatCode>
                <c:ptCount val="10"/>
                <c:pt idx="0">
                  <c:v>0.05</c:v>
                </c:pt>
                <c:pt idx="1">
                  <c:v>4.3000000000000038E-2</c:v>
                </c:pt>
                <c:pt idx="2">
                  <c:v>1.2000000000000011E-2</c:v>
                </c:pt>
                <c:pt idx="3">
                  <c:v>0.248</c:v>
                </c:pt>
                <c:pt idx="4">
                  <c:v>3.1000000000000139E-2</c:v>
                </c:pt>
                <c:pt idx="5">
                  <c:v>0.12599999999999989</c:v>
                </c:pt>
                <c:pt idx="6">
                  <c:v>0.19100000000000006</c:v>
                </c:pt>
                <c:pt idx="7">
                  <c:v>0.121</c:v>
                </c:pt>
                <c:pt idx="8">
                  <c:v>2.8000000000000025E-2</c:v>
                </c:pt>
                <c:pt idx="9">
                  <c:v>9.1999999999999638E-2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B-4B3E-9F6B-0C18B17CD831}"/>
            </c:ext>
          </c:extLst>
        </c:ser>
        <c:ser>
          <c:idx val="0"/>
          <c:order val="2"/>
          <c:tx>
            <c:strRef>
              <c:f>'[1]OK2B&amp;GRR'!$B$31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'[1]OK2B&amp;GRR'!$E$36:$N$36</c:f>
              <c:numCache>
                <c:formatCode>General</c:formatCode>
                <c:ptCount val="10"/>
                <c:pt idx="0">
                  <c:v>1.100000000000001E-2</c:v>
                </c:pt>
                <c:pt idx="1">
                  <c:v>0.10099999999999998</c:v>
                </c:pt>
                <c:pt idx="2">
                  <c:v>2.8000000000000025E-2</c:v>
                </c:pt>
                <c:pt idx="3">
                  <c:v>0.10899999999999999</c:v>
                </c:pt>
                <c:pt idx="4">
                  <c:v>6.0000000000000053E-2</c:v>
                </c:pt>
                <c:pt idx="5">
                  <c:v>0.14500000000000002</c:v>
                </c:pt>
                <c:pt idx="6">
                  <c:v>0.247</c:v>
                </c:pt>
                <c:pt idx="7">
                  <c:v>3.499999999999992E-2</c:v>
                </c:pt>
                <c:pt idx="8">
                  <c:v>6.3999999999999946E-2</c:v>
                </c:pt>
                <c:pt idx="9">
                  <c:v>0.15400000000000036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B-4B3E-9F6B-0C18B17CD831}"/>
            </c:ext>
          </c:extLst>
        </c:ser>
        <c:ser>
          <c:idx val="1"/>
          <c:order val="3"/>
          <c:tx>
            <c:strRef>
              <c:f>'[1]OK2B&amp;GRR'!$D$49</c:f>
              <c:strCache>
                <c:ptCount val="1"/>
                <c:pt idx="0">
                  <c:v>UCLR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'[1]OK2B&amp;GRR'!$E$49:$N$49</c:f>
              <c:numCache>
                <c:formatCode>General</c:formatCode>
                <c:ptCount val="10"/>
                <c:pt idx="0">
                  <c:v>0.25114833333333342</c:v>
                </c:pt>
                <c:pt idx="1">
                  <c:v>0.25114833333333342</c:v>
                </c:pt>
                <c:pt idx="2">
                  <c:v>0.25114833333333342</c:v>
                </c:pt>
                <c:pt idx="3">
                  <c:v>0.25114833333333342</c:v>
                </c:pt>
                <c:pt idx="4">
                  <c:v>0.25114833333333342</c:v>
                </c:pt>
                <c:pt idx="5">
                  <c:v>0.25114833333333342</c:v>
                </c:pt>
                <c:pt idx="6">
                  <c:v>0.25114833333333342</c:v>
                </c:pt>
                <c:pt idx="7">
                  <c:v>0.25114833333333342</c:v>
                </c:pt>
                <c:pt idx="8">
                  <c:v>0.25114833333333342</c:v>
                </c:pt>
                <c:pt idx="9">
                  <c:v>0.25114833333333342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B-4B3E-9F6B-0C18B17CD831}"/>
            </c:ext>
          </c:extLst>
        </c:ser>
        <c:ser>
          <c:idx val="2"/>
          <c:order val="4"/>
          <c:tx>
            <c:strRef>
              <c:f>'[1]OK2B&amp;GRR'!$D$50</c:f>
              <c:strCache>
                <c:ptCount val="1"/>
                <c:pt idx="0">
                  <c:v>LCLR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'[1]OK2B&amp;GRR'!$E$50:$N$50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B-4B3E-9F6B-0C18B17C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74504"/>
        <c:axId val="310974896"/>
      </c:lineChart>
      <c:catAx>
        <c:axId val="310974504"/>
        <c:scaling>
          <c:orientation val="minMax"/>
        </c:scaling>
        <c:delete val="1"/>
        <c:axPos val="b"/>
        <c:majorTickMark val="out"/>
        <c:minorTickMark val="none"/>
        <c:tickLblPos val="none"/>
        <c:crossAx val="310974896"/>
        <c:crosses val="autoZero"/>
        <c:auto val="1"/>
        <c:lblAlgn val="ctr"/>
        <c:lblOffset val="100"/>
        <c:noMultiLvlLbl val="0"/>
      </c:catAx>
      <c:valAx>
        <c:axId val="3109748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310974504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22147474284199"/>
          <c:y val="0.28854228004108201"/>
          <c:w val="7.9429877090606393E-2"/>
          <c:h val="0.59268195823349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5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/>
  </c:printSettings>
</c:chartSpace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chart" Target="../charts/chart5.xml"/><Relationship Id="rId3" Type="http://schemas.openxmlformats.org/officeDocument/2006/relationships/image" Target="../media/image3.emf"/><Relationship Id="rId21" Type="http://schemas.openxmlformats.org/officeDocument/2006/relationships/image" Target="../media/image16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4.xml"/><Relationship Id="rId2" Type="http://schemas.openxmlformats.org/officeDocument/2006/relationships/image" Target="../media/image2.emf"/><Relationship Id="rId16" Type="http://schemas.openxmlformats.org/officeDocument/2006/relationships/chart" Target="../charts/chart3.xml"/><Relationship Id="rId20" Type="http://schemas.openxmlformats.org/officeDocument/2006/relationships/image" Target="../media/image15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chart" Target="../charts/chart2.xml"/><Relationship Id="rId10" Type="http://schemas.openxmlformats.org/officeDocument/2006/relationships/image" Target="../media/image10.emf"/><Relationship Id="rId19" Type="http://schemas.openxmlformats.org/officeDocument/2006/relationships/image" Target="../media/image14.pn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5.emf"/><Relationship Id="rId18" Type="http://schemas.openxmlformats.org/officeDocument/2006/relationships/chart" Target="../charts/chart7.xml"/><Relationship Id="rId3" Type="http://schemas.openxmlformats.org/officeDocument/2006/relationships/image" Target="../media/image3.emf"/><Relationship Id="rId21" Type="http://schemas.openxmlformats.org/officeDocument/2006/relationships/image" Target="../media/image21.png"/><Relationship Id="rId7" Type="http://schemas.openxmlformats.org/officeDocument/2006/relationships/image" Target="../media/image6.emf"/><Relationship Id="rId12" Type="http://schemas.openxmlformats.org/officeDocument/2006/relationships/image" Target="../media/image10.emf"/><Relationship Id="rId17" Type="http://schemas.openxmlformats.org/officeDocument/2006/relationships/chart" Target="../charts/chart6.xml"/><Relationship Id="rId2" Type="http://schemas.openxmlformats.org/officeDocument/2006/relationships/image" Target="../media/image1.emf"/><Relationship Id="rId16" Type="http://schemas.openxmlformats.org/officeDocument/2006/relationships/image" Target="../media/image13.emf"/><Relationship Id="rId20" Type="http://schemas.openxmlformats.org/officeDocument/2006/relationships/image" Target="../media/image20.png"/><Relationship Id="rId1" Type="http://schemas.openxmlformats.org/officeDocument/2006/relationships/image" Target="../media/image17.png"/><Relationship Id="rId6" Type="http://schemas.openxmlformats.org/officeDocument/2006/relationships/image" Target="../media/image4.emf"/><Relationship Id="rId11" Type="http://schemas.openxmlformats.org/officeDocument/2006/relationships/image" Target="../media/image18.png"/><Relationship Id="rId24" Type="http://schemas.openxmlformats.org/officeDocument/2006/relationships/image" Target="../media/image16.emf"/><Relationship Id="rId5" Type="http://schemas.openxmlformats.org/officeDocument/2006/relationships/image" Target="../media/image2.emf"/><Relationship Id="rId15" Type="http://schemas.openxmlformats.org/officeDocument/2006/relationships/image" Target="../media/image12.emf"/><Relationship Id="rId23" Type="http://schemas.openxmlformats.org/officeDocument/2006/relationships/image" Target="../media/image23.png"/><Relationship Id="rId10" Type="http://schemas.openxmlformats.org/officeDocument/2006/relationships/image" Target="../media/image8.emf"/><Relationship Id="rId19" Type="http://schemas.openxmlformats.org/officeDocument/2006/relationships/image" Target="../media/image19.png"/><Relationship Id="rId4" Type="http://schemas.openxmlformats.org/officeDocument/2006/relationships/image" Target="../media/image5.emf"/><Relationship Id="rId9" Type="http://schemas.openxmlformats.org/officeDocument/2006/relationships/image" Target="../media/image7.emf"/><Relationship Id="rId14" Type="http://schemas.openxmlformats.org/officeDocument/2006/relationships/image" Target="../media/image11.emf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44</xdr:row>
      <xdr:rowOff>152400</xdr:rowOff>
    </xdr:from>
    <xdr:to>
      <xdr:col>3</xdr:col>
      <xdr:colOff>247650</xdr:colOff>
      <xdr:row>44</xdr:row>
      <xdr:rowOff>152400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1028700" y="7705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55</xdr:row>
      <xdr:rowOff>171450</xdr:rowOff>
    </xdr:from>
    <xdr:to>
      <xdr:col>3</xdr:col>
      <xdr:colOff>247650</xdr:colOff>
      <xdr:row>55</xdr:row>
      <xdr:rowOff>171450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1028700" y="8439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46</xdr:row>
      <xdr:rowOff>19050</xdr:rowOff>
    </xdr:from>
    <xdr:to>
      <xdr:col>3</xdr:col>
      <xdr:colOff>247650</xdr:colOff>
      <xdr:row>46</xdr:row>
      <xdr:rowOff>19050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102870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676275</xdr:colOff>
      <xdr:row>49</xdr:row>
      <xdr:rowOff>47625</xdr:rowOff>
    </xdr:from>
    <xdr:to>
      <xdr:col>3</xdr:col>
      <xdr:colOff>295275</xdr:colOff>
      <xdr:row>49</xdr:row>
      <xdr:rowOff>47625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1028700" y="802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15</xdr:col>
      <xdr:colOff>19050</xdr:colOff>
      <xdr:row>21</xdr:row>
      <xdr:rowOff>9525</xdr:rowOff>
    </xdr:from>
    <xdr:to>
      <xdr:col>15</xdr:col>
      <xdr:colOff>329988</xdr:colOff>
      <xdr:row>22</xdr:row>
      <xdr:rowOff>19050</xdr:rowOff>
    </xdr:to>
    <xdr:pic>
      <xdr:nvPicPr>
        <xdr:cNvPr id="9" name="Picture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91275" y="3219450"/>
          <a:ext cx="310938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22</xdr:row>
      <xdr:rowOff>161925</xdr:rowOff>
    </xdr:from>
    <xdr:to>
      <xdr:col>15</xdr:col>
      <xdr:colOff>295275</xdr:colOff>
      <xdr:row>24</xdr:row>
      <xdr:rowOff>826</xdr:rowOff>
    </xdr:to>
    <xdr:pic>
      <xdr:nvPicPr>
        <xdr:cNvPr id="10" name="Picture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0" y="3543300"/>
          <a:ext cx="2667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27</xdr:row>
      <xdr:rowOff>0</xdr:rowOff>
    </xdr:from>
    <xdr:to>
      <xdr:col>15</xdr:col>
      <xdr:colOff>329988</xdr:colOff>
      <xdr:row>28</xdr:row>
      <xdr:rowOff>3093</xdr:rowOff>
    </xdr:to>
    <xdr:pic>
      <xdr:nvPicPr>
        <xdr:cNvPr id="11" name="Picture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0" y="4410075"/>
          <a:ext cx="301413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29</xdr:row>
      <xdr:rowOff>9525</xdr:rowOff>
    </xdr:from>
    <xdr:to>
      <xdr:col>15</xdr:col>
      <xdr:colOff>295275</xdr:colOff>
      <xdr:row>30</xdr:row>
      <xdr:rowOff>19050</xdr:rowOff>
    </xdr:to>
    <xdr:pic>
      <xdr:nvPicPr>
        <xdr:cNvPr id="12" name="Picture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10325" y="4762500"/>
          <a:ext cx="2571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33</xdr:row>
      <xdr:rowOff>0</xdr:rowOff>
    </xdr:from>
    <xdr:to>
      <xdr:col>15</xdr:col>
      <xdr:colOff>329988</xdr:colOff>
      <xdr:row>34</xdr:row>
      <xdr:rowOff>28575</xdr:rowOff>
    </xdr:to>
    <xdr:pic>
      <xdr:nvPicPr>
        <xdr:cNvPr id="13" name="Picture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00800" y="5610225"/>
          <a:ext cx="301413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35</xdr:row>
      <xdr:rowOff>0</xdr:rowOff>
    </xdr:from>
    <xdr:to>
      <xdr:col>15</xdr:col>
      <xdr:colOff>329988</xdr:colOff>
      <xdr:row>36</xdr:row>
      <xdr:rowOff>19050</xdr:rowOff>
    </xdr:to>
    <xdr:pic>
      <xdr:nvPicPr>
        <xdr:cNvPr id="14" name="Picture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19850" y="5953125"/>
          <a:ext cx="282363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36</xdr:row>
      <xdr:rowOff>28575</xdr:rowOff>
    </xdr:from>
    <xdr:to>
      <xdr:col>15</xdr:col>
      <xdr:colOff>285750</xdr:colOff>
      <xdr:row>36</xdr:row>
      <xdr:rowOff>209550</xdr:rowOff>
    </xdr:to>
    <xdr:pic>
      <xdr:nvPicPr>
        <xdr:cNvPr id="15" name="Picture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419850" y="6153150"/>
          <a:ext cx="2381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76200</xdr:colOff>
      <xdr:row>37</xdr:row>
      <xdr:rowOff>28575</xdr:rowOff>
    </xdr:from>
    <xdr:to>
      <xdr:col>15</xdr:col>
      <xdr:colOff>329988</xdr:colOff>
      <xdr:row>38</xdr:row>
      <xdr:rowOff>9525</xdr:rowOff>
    </xdr:to>
    <xdr:pic>
      <xdr:nvPicPr>
        <xdr:cNvPr id="16" name="Picture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448425" y="6400800"/>
          <a:ext cx="25378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36</xdr:row>
      <xdr:rowOff>38100</xdr:rowOff>
    </xdr:from>
    <xdr:to>
      <xdr:col>3</xdr:col>
      <xdr:colOff>270934</xdr:colOff>
      <xdr:row>37</xdr:row>
      <xdr:rowOff>0</xdr:rowOff>
    </xdr:to>
    <xdr:pic>
      <xdr:nvPicPr>
        <xdr:cNvPr id="17" name="Picture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66775" y="6162675"/>
          <a:ext cx="185209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243233</xdr:colOff>
      <xdr:row>39</xdr:row>
      <xdr:rowOff>21534</xdr:rowOff>
    </xdr:from>
    <xdr:to>
      <xdr:col>5</xdr:col>
      <xdr:colOff>909983</xdr:colOff>
      <xdr:row>39</xdr:row>
      <xdr:rowOff>183459</xdr:rowOff>
    </xdr:to>
    <xdr:pic>
      <xdr:nvPicPr>
        <xdr:cNvPr id="18" name="Picture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71933" y="6784284"/>
          <a:ext cx="15525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40</xdr:row>
      <xdr:rowOff>180975</xdr:rowOff>
    </xdr:from>
    <xdr:to>
      <xdr:col>3</xdr:col>
      <xdr:colOff>1118130</xdr:colOff>
      <xdr:row>42</xdr:row>
      <xdr:rowOff>1</xdr:rowOff>
    </xdr:to>
    <xdr:pic>
      <xdr:nvPicPr>
        <xdr:cNvPr id="20" name="Picture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38200" y="7143750"/>
          <a:ext cx="980017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352425</xdr:colOff>
      <xdr:row>40</xdr:row>
      <xdr:rowOff>9525</xdr:rowOff>
    </xdr:from>
    <xdr:to>
      <xdr:col>9</xdr:col>
      <xdr:colOff>723900</xdr:colOff>
      <xdr:row>41</xdr:row>
      <xdr:rowOff>1681</xdr:rowOff>
    </xdr:to>
    <xdr:pic>
      <xdr:nvPicPr>
        <xdr:cNvPr id="21" name="Picture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324225" y="6972300"/>
          <a:ext cx="781050" cy="192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361950</xdr:colOff>
      <xdr:row>41</xdr:row>
      <xdr:rowOff>9525</xdr:rowOff>
    </xdr:from>
    <xdr:to>
      <xdr:col>9</xdr:col>
      <xdr:colOff>733425</xdr:colOff>
      <xdr:row>42</xdr:row>
      <xdr:rowOff>1</xdr:rowOff>
    </xdr:to>
    <xdr:pic>
      <xdr:nvPicPr>
        <xdr:cNvPr id="22" name="Picture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333750" y="7172325"/>
          <a:ext cx="7810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352425</xdr:colOff>
      <xdr:row>39</xdr:row>
      <xdr:rowOff>0</xdr:rowOff>
    </xdr:from>
    <xdr:to>
      <xdr:col>33</xdr:col>
      <xdr:colOff>133350</xdr:colOff>
      <xdr:row>64</xdr:row>
      <xdr:rowOff>38100</xdr:rowOff>
    </xdr:to>
    <xdr:grpSp>
      <xdr:nvGrpSpPr>
        <xdr:cNvPr id="23" name="Group 4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>
          <a:grpSpLocks/>
        </xdr:cNvGrpSpPr>
      </xdr:nvGrpSpPr>
      <xdr:grpSpPr bwMode="auto">
        <a:xfrm>
          <a:off x="24940532" y="7130143"/>
          <a:ext cx="7849961" cy="5140778"/>
          <a:chOff x="34" y="728"/>
          <a:chExt cx="652" cy="280"/>
        </a:xfrm>
      </xdr:grpSpPr>
      <xdr:graphicFrame macro="">
        <xdr:nvGraphicFramePr>
          <xdr:cNvPr id="24" name="Chart 42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GraphicFramePr>
            <a:graphicFrameLocks/>
          </xdr:cNvGraphicFramePr>
        </xdr:nvGraphicFramePr>
        <xdr:xfrm>
          <a:off x="34" y="728"/>
          <a:ext cx="652" cy="1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5" name="Chart 43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aphicFramePr>
            <a:graphicFrameLocks/>
          </xdr:cNvGraphicFramePr>
        </xdr:nvGraphicFramePr>
        <xdr:xfrm>
          <a:off x="34" y="872"/>
          <a:ext cx="652" cy="1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3</xdr:col>
      <xdr:colOff>247650</xdr:colOff>
      <xdr:row>125</xdr:row>
      <xdr:rowOff>0</xdr:rowOff>
    </xdr:from>
    <xdr:to>
      <xdr:col>3</xdr:col>
      <xdr:colOff>247650</xdr:colOff>
      <xdr:row>125</xdr:row>
      <xdr:rowOff>0</xdr:rowOff>
    </xdr:to>
    <xdr:sp macro="" textlink="">
      <xdr:nvSpPr>
        <xdr:cNvPr id="26" name="Line 104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1028700" y="11820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116</xdr:row>
      <xdr:rowOff>152400</xdr:rowOff>
    </xdr:from>
    <xdr:to>
      <xdr:col>3</xdr:col>
      <xdr:colOff>247650</xdr:colOff>
      <xdr:row>116</xdr:row>
      <xdr:rowOff>152400</xdr:rowOff>
    </xdr:to>
    <xdr:sp macro="" textlink="">
      <xdr:nvSpPr>
        <xdr:cNvPr id="27" name="Line 10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1028700" y="10744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38100</xdr:colOff>
      <xdr:row>146</xdr:row>
      <xdr:rowOff>19050</xdr:rowOff>
    </xdr:from>
    <xdr:to>
      <xdr:col>16</xdr:col>
      <xdr:colOff>609600</xdr:colOff>
      <xdr:row>155</xdr:row>
      <xdr:rowOff>0</xdr:rowOff>
    </xdr:to>
    <xdr:graphicFrame macro="">
      <xdr:nvGraphicFramePr>
        <xdr:cNvPr id="28" name="Chart 13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295275</xdr:colOff>
      <xdr:row>155</xdr:row>
      <xdr:rowOff>19050</xdr:rowOff>
    </xdr:from>
    <xdr:to>
      <xdr:col>16</xdr:col>
      <xdr:colOff>619125</xdr:colOff>
      <xdr:row>167</xdr:row>
      <xdr:rowOff>142875</xdr:rowOff>
    </xdr:to>
    <xdr:graphicFrame macro="">
      <xdr:nvGraphicFramePr>
        <xdr:cNvPr id="29" name="Chart 136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38100</xdr:colOff>
      <xdr:row>155</xdr:row>
      <xdr:rowOff>19050</xdr:rowOff>
    </xdr:from>
    <xdr:to>
      <xdr:col>9</xdr:col>
      <xdr:colOff>276225</xdr:colOff>
      <xdr:row>167</xdr:row>
      <xdr:rowOff>152400</xdr:rowOff>
    </xdr:to>
    <xdr:graphicFrame macro="">
      <xdr:nvGraphicFramePr>
        <xdr:cNvPr id="30" name="图表 56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142875</xdr:colOff>
      <xdr:row>0</xdr:row>
      <xdr:rowOff>47625</xdr:rowOff>
    </xdr:from>
    <xdr:to>
      <xdr:col>3</xdr:col>
      <xdr:colOff>142875</xdr:colOff>
      <xdr:row>3</xdr:row>
      <xdr:rowOff>0</xdr:rowOff>
    </xdr:to>
    <xdr:sp macro="" textlink="">
      <xdr:nvSpPr>
        <xdr:cNvPr id="31" name="TextBox 3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485775" y="47625"/>
          <a:ext cx="438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" tIns="0" rIns="0" bIns="0" anchor="t" upright="1"/>
        <a:lstStyle/>
        <a:p>
          <a:pPr algn="l" rtl="0">
            <a:defRPr sz="1000"/>
          </a:pPr>
          <a:r>
            <a:rPr lang="en-US" altLang="zh-TW" sz="2400" b="0" i="0" u="none" strike="noStrike" baseline="0">
              <a:solidFill>
                <a:srgbClr val="000000"/>
              </a:solidFill>
              <a:latin typeface="Calibri"/>
            </a:rPr>
            <a:t>®</a:t>
          </a:r>
        </a:p>
      </xdr:txBody>
    </xdr:sp>
    <xdr:clientData/>
  </xdr:twoCellAnchor>
  <xdr:twoCellAnchor>
    <xdr:from>
      <xdr:col>0</xdr:col>
      <xdr:colOff>47625</xdr:colOff>
      <xdr:row>0</xdr:row>
      <xdr:rowOff>114300</xdr:rowOff>
    </xdr:from>
    <xdr:to>
      <xdr:col>2</xdr:col>
      <xdr:colOff>142875</xdr:colOff>
      <xdr:row>3</xdr:row>
      <xdr:rowOff>133350</xdr:rowOff>
    </xdr:to>
    <xdr:pic>
      <xdr:nvPicPr>
        <xdr:cNvPr id="32" name="Picture 5" descr="Description: Steel Apple logo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7625" y="114300"/>
          <a:ext cx="438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142875</xdr:colOff>
      <xdr:row>112</xdr:row>
      <xdr:rowOff>9525</xdr:rowOff>
    </xdr:from>
    <xdr:to>
      <xdr:col>3</xdr:col>
      <xdr:colOff>142875</xdr:colOff>
      <xdr:row>115</xdr:row>
      <xdr:rowOff>9525</xdr:rowOff>
    </xdr:to>
    <xdr:sp macro="" textlink="">
      <xdr:nvSpPr>
        <xdr:cNvPr id="33" name="TextBox 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485775" y="10172700"/>
          <a:ext cx="438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" tIns="0" rIns="0" bIns="0" anchor="t" upright="1"/>
        <a:lstStyle/>
        <a:p>
          <a:pPr algn="l" rtl="0">
            <a:defRPr sz="1000"/>
          </a:pPr>
          <a:r>
            <a:rPr lang="en-US" altLang="zh-TW" sz="2400" b="0" i="0" u="none" strike="noStrike" baseline="0">
              <a:solidFill>
                <a:srgbClr val="000000"/>
              </a:solidFill>
              <a:latin typeface="Calibri"/>
            </a:rPr>
            <a:t>®</a:t>
          </a:r>
        </a:p>
      </xdr:txBody>
    </xdr:sp>
    <xdr:clientData/>
  </xdr:twoCellAnchor>
  <xdr:twoCellAnchor>
    <xdr:from>
      <xdr:col>0</xdr:col>
      <xdr:colOff>47625</xdr:colOff>
      <xdr:row>112</xdr:row>
      <xdr:rowOff>76200</xdr:rowOff>
    </xdr:from>
    <xdr:to>
      <xdr:col>2</xdr:col>
      <xdr:colOff>142875</xdr:colOff>
      <xdr:row>116</xdr:row>
      <xdr:rowOff>0</xdr:rowOff>
    </xdr:to>
    <xdr:pic>
      <xdr:nvPicPr>
        <xdr:cNvPr id="34" name="Picture 5" descr="Description: Steel Apple logo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7625" y="10239375"/>
          <a:ext cx="438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</xdr:row>
          <xdr:rowOff>0</xdr:rowOff>
        </xdr:from>
        <xdr:to>
          <xdr:col>8</xdr:col>
          <xdr:colOff>19050</xdr:colOff>
          <xdr:row>16</xdr:row>
          <xdr:rowOff>19050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</a:rPr>
                <a:t>Regular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New Operators/Instruments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15</xdr:row>
          <xdr:rowOff>0</xdr:rowOff>
        </xdr:from>
        <xdr:to>
          <xdr:col>14</xdr:col>
          <xdr:colOff>0</xdr:colOff>
          <xdr:row>16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Other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123825</xdr:colOff>
      <xdr:row>38</xdr:row>
      <xdr:rowOff>9525</xdr:rowOff>
    </xdr:from>
    <xdr:to>
      <xdr:col>7</xdr:col>
      <xdr:colOff>1019175</xdr:colOff>
      <xdr:row>38</xdr:row>
      <xdr:rowOff>447675</xdr:rowOff>
    </xdr:to>
    <xdr:sp macro="" textlink="">
      <xdr:nvSpPr>
        <xdr:cNvPr id="1028" name="Object 4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279188</xdr:colOff>
      <xdr:row>115</xdr:row>
      <xdr:rowOff>81492</xdr:rowOff>
    </xdr:from>
    <xdr:to>
      <xdr:col>23</xdr:col>
      <xdr:colOff>696171</xdr:colOff>
      <xdr:row>127</xdr:row>
      <xdr:rowOff>243417</xdr:rowOff>
    </xdr:to>
    <xdr:sp macro="" textlink="">
      <xdr:nvSpPr>
        <xdr:cNvPr id="39" name="Rectangle 38"/>
        <xdr:cNvSpPr/>
      </xdr:nvSpPr>
      <xdr:spPr>
        <a:xfrm>
          <a:off x="8842163" y="10644717"/>
          <a:ext cx="2464858" cy="1485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247650</xdr:colOff>
      <xdr:row>44</xdr:row>
      <xdr:rowOff>152400</xdr:rowOff>
    </xdr:from>
    <xdr:to>
      <xdr:col>3</xdr:col>
      <xdr:colOff>247650</xdr:colOff>
      <xdr:row>44</xdr:row>
      <xdr:rowOff>152400</xdr:rowOff>
    </xdr:to>
    <xdr:sp macro="" textlink="">
      <xdr:nvSpPr>
        <xdr:cNvPr id="40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1028700" y="7705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55</xdr:row>
      <xdr:rowOff>171450</xdr:rowOff>
    </xdr:from>
    <xdr:to>
      <xdr:col>3</xdr:col>
      <xdr:colOff>247650</xdr:colOff>
      <xdr:row>55</xdr:row>
      <xdr:rowOff>171450</xdr:rowOff>
    </xdr:to>
    <xdr:sp macro="" textlink="">
      <xdr:nvSpPr>
        <xdr:cNvPr id="41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1028700" y="8439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46</xdr:row>
      <xdr:rowOff>19050</xdr:rowOff>
    </xdr:from>
    <xdr:to>
      <xdr:col>3</xdr:col>
      <xdr:colOff>247650</xdr:colOff>
      <xdr:row>46</xdr:row>
      <xdr:rowOff>19050</xdr:rowOff>
    </xdr:to>
    <xdr:sp macro="" textlink="">
      <xdr:nvSpPr>
        <xdr:cNvPr id="42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102870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43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44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45" name="Lin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676275</xdr:colOff>
      <xdr:row>49</xdr:row>
      <xdr:rowOff>47625</xdr:rowOff>
    </xdr:from>
    <xdr:to>
      <xdr:col>3</xdr:col>
      <xdr:colOff>295275</xdr:colOff>
      <xdr:row>49</xdr:row>
      <xdr:rowOff>47625</xdr:rowOff>
    </xdr:to>
    <xdr:sp macro="" textlink="">
      <xdr:nvSpPr>
        <xdr:cNvPr id="46" name="Lin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1028700" y="802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15</xdr:col>
      <xdr:colOff>19050</xdr:colOff>
      <xdr:row>21</xdr:row>
      <xdr:rowOff>9525</xdr:rowOff>
    </xdr:from>
    <xdr:to>
      <xdr:col>15</xdr:col>
      <xdr:colOff>329988</xdr:colOff>
      <xdr:row>22</xdr:row>
      <xdr:rowOff>19050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91275" y="3219450"/>
          <a:ext cx="310938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22</xdr:row>
      <xdr:rowOff>161925</xdr:rowOff>
    </xdr:from>
    <xdr:to>
      <xdr:col>15</xdr:col>
      <xdr:colOff>295275</xdr:colOff>
      <xdr:row>24</xdr:row>
      <xdr:rowOff>826</xdr:rowOff>
    </xdr:to>
    <xdr:pic>
      <xdr:nvPicPr>
        <xdr:cNvPr id="48" name="Picture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0" y="3543300"/>
          <a:ext cx="2667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27</xdr:row>
      <xdr:rowOff>0</xdr:rowOff>
    </xdr:from>
    <xdr:to>
      <xdr:col>15</xdr:col>
      <xdr:colOff>329988</xdr:colOff>
      <xdr:row>28</xdr:row>
      <xdr:rowOff>3093</xdr:rowOff>
    </xdr:to>
    <xdr:pic>
      <xdr:nvPicPr>
        <xdr:cNvPr id="49" name="Picture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0" y="4410075"/>
          <a:ext cx="301413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29</xdr:row>
      <xdr:rowOff>9525</xdr:rowOff>
    </xdr:from>
    <xdr:to>
      <xdr:col>15</xdr:col>
      <xdr:colOff>295275</xdr:colOff>
      <xdr:row>30</xdr:row>
      <xdr:rowOff>19050</xdr:rowOff>
    </xdr:to>
    <xdr:pic>
      <xdr:nvPicPr>
        <xdr:cNvPr id="50" name="Picture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10325" y="4762500"/>
          <a:ext cx="2571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33</xdr:row>
      <xdr:rowOff>0</xdr:rowOff>
    </xdr:from>
    <xdr:to>
      <xdr:col>15</xdr:col>
      <xdr:colOff>329988</xdr:colOff>
      <xdr:row>34</xdr:row>
      <xdr:rowOff>28575</xdr:rowOff>
    </xdr:to>
    <xdr:pic>
      <xdr:nvPicPr>
        <xdr:cNvPr id="51" name="Picture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00800" y="5610225"/>
          <a:ext cx="301413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35</xdr:row>
      <xdr:rowOff>0</xdr:rowOff>
    </xdr:from>
    <xdr:to>
      <xdr:col>15</xdr:col>
      <xdr:colOff>329988</xdr:colOff>
      <xdr:row>36</xdr:row>
      <xdr:rowOff>19050</xdr:rowOff>
    </xdr:to>
    <xdr:pic>
      <xdr:nvPicPr>
        <xdr:cNvPr id="52" name="Picture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19850" y="5953125"/>
          <a:ext cx="282363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36</xdr:row>
      <xdr:rowOff>28575</xdr:rowOff>
    </xdr:from>
    <xdr:to>
      <xdr:col>15</xdr:col>
      <xdr:colOff>285750</xdr:colOff>
      <xdr:row>36</xdr:row>
      <xdr:rowOff>209550</xdr:rowOff>
    </xdr:to>
    <xdr:pic>
      <xdr:nvPicPr>
        <xdr:cNvPr id="53" name="Picture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419850" y="6153150"/>
          <a:ext cx="2381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76200</xdr:colOff>
      <xdr:row>37</xdr:row>
      <xdr:rowOff>28575</xdr:rowOff>
    </xdr:from>
    <xdr:to>
      <xdr:col>15</xdr:col>
      <xdr:colOff>329988</xdr:colOff>
      <xdr:row>38</xdr:row>
      <xdr:rowOff>9525</xdr:rowOff>
    </xdr:to>
    <xdr:pic>
      <xdr:nvPicPr>
        <xdr:cNvPr id="54" name="Picture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448425" y="6400800"/>
          <a:ext cx="25378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36</xdr:row>
      <xdr:rowOff>38100</xdr:rowOff>
    </xdr:from>
    <xdr:to>
      <xdr:col>3</xdr:col>
      <xdr:colOff>270934</xdr:colOff>
      <xdr:row>37</xdr:row>
      <xdr:rowOff>0</xdr:rowOff>
    </xdr:to>
    <xdr:pic>
      <xdr:nvPicPr>
        <xdr:cNvPr id="55" name="Picture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66775" y="6162675"/>
          <a:ext cx="185209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253817</xdr:colOff>
      <xdr:row>39</xdr:row>
      <xdr:rowOff>233201</xdr:rowOff>
    </xdr:from>
    <xdr:to>
      <xdr:col>5</xdr:col>
      <xdr:colOff>920567</xdr:colOff>
      <xdr:row>39</xdr:row>
      <xdr:rowOff>395126</xdr:rowOff>
    </xdr:to>
    <xdr:pic>
      <xdr:nvPicPr>
        <xdr:cNvPr id="56" name="Picture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905317" y="7334618"/>
          <a:ext cx="1703917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39</xdr:row>
      <xdr:rowOff>447675</xdr:rowOff>
    </xdr:from>
    <xdr:to>
      <xdr:col>3</xdr:col>
      <xdr:colOff>1137180</xdr:colOff>
      <xdr:row>40</xdr:row>
      <xdr:rowOff>185737</xdr:rowOff>
    </xdr:to>
    <xdr:pic>
      <xdr:nvPicPr>
        <xdr:cNvPr id="57" name="Picture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5200650" y="7486650"/>
          <a:ext cx="1060980" cy="2238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40</xdr:row>
      <xdr:rowOff>180975</xdr:rowOff>
    </xdr:from>
    <xdr:to>
      <xdr:col>3</xdr:col>
      <xdr:colOff>1118130</xdr:colOff>
      <xdr:row>42</xdr:row>
      <xdr:rowOff>1</xdr:rowOff>
    </xdr:to>
    <xdr:pic>
      <xdr:nvPicPr>
        <xdr:cNvPr id="58" name="Picture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38200" y="7143750"/>
          <a:ext cx="980017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352425</xdr:colOff>
      <xdr:row>40</xdr:row>
      <xdr:rowOff>9525</xdr:rowOff>
    </xdr:from>
    <xdr:to>
      <xdr:col>9</xdr:col>
      <xdr:colOff>723900</xdr:colOff>
      <xdr:row>41</xdr:row>
      <xdr:rowOff>1681</xdr:rowOff>
    </xdr:to>
    <xdr:pic>
      <xdr:nvPicPr>
        <xdr:cNvPr id="59" name="Picture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324225" y="6972300"/>
          <a:ext cx="781050" cy="192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361950</xdr:colOff>
      <xdr:row>41</xdr:row>
      <xdr:rowOff>9525</xdr:rowOff>
    </xdr:from>
    <xdr:to>
      <xdr:col>9</xdr:col>
      <xdr:colOff>733425</xdr:colOff>
      <xdr:row>42</xdr:row>
      <xdr:rowOff>1</xdr:rowOff>
    </xdr:to>
    <xdr:pic>
      <xdr:nvPicPr>
        <xdr:cNvPr id="60" name="Picture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333750" y="7172325"/>
          <a:ext cx="7810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247650</xdr:colOff>
      <xdr:row>125</xdr:row>
      <xdr:rowOff>0</xdr:rowOff>
    </xdr:from>
    <xdr:to>
      <xdr:col>3</xdr:col>
      <xdr:colOff>247650</xdr:colOff>
      <xdr:row>125</xdr:row>
      <xdr:rowOff>0</xdr:rowOff>
    </xdr:to>
    <xdr:sp macro="" textlink="">
      <xdr:nvSpPr>
        <xdr:cNvPr id="61" name="Line 104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1028700" y="11820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116</xdr:row>
      <xdr:rowOff>152400</xdr:rowOff>
    </xdr:from>
    <xdr:to>
      <xdr:col>3</xdr:col>
      <xdr:colOff>247650</xdr:colOff>
      <xdr:row>116</xdr:row>
      <xdr:rowOff>152400</xdr:rowOff>
    </xdr:to>
    <xdr:sp macro="" textlink="">
      <xdr:nvSpPr>
        <xdr:cNvPr id="62" name="Line 10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1028700" y="10744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0</xdr:row>
      <xdr:rowOff>47625</xdr:rowOff>
    </xdr:from>
    <xdr:to>
      <xdr:col>3</xdr:col>
      <xdr:colOff>142875</xdr:colOff>
      <xdr:row>3</xdr:row>
      <xdr:rowOff>0</xdr:rowOff>
    </xdr:to>
    <xdr:sp macro="" textlink="">
      <xdr:nvSpPr>
        <xdr:cNvPr id="63" name="TextBox 3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485775" y="47625"/>
          <a:ext cx="438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" tIns="0" rIns="0" bIns="0" anchor="t" upright="1"/>
        <a:lstStyle/>
        <a:p>
          <a:pPr algn="l" rtl="0">
            <a:defRPr sz="1000"/>
          </a:pPr>
          <a:r>
            <a:rPr lang="en-US" altLang="zh-TW" sz="2400" b="0" i="0" u="none" strike="noStrike" baseline="0">
              <a:solidFill>
                <a:srgbClr val="000000"/>
              </a:solidFill>
              <a:latin typeface="Calibri"/>
            </a:rPr>
            <a:t>®</a:t>
          </a:r>
        </a:p>
      </xdr:txBody>
    </xdr:sp>
    <xdr:clientData/>
  </xdr:twoCellAnchor>
  <xdr:twoCellAnchor>
    <xdr:from>
      <xdr:col>0</xdr:col>
      <xdr:colOff>47625</xdr:colOff>
      <xdr:row>0</xdr:row>
      <xdr:rowOff>114300</xdr:rowOff>
    </xdr:from>
    <xdr:to>
      <xdr:col>2</xdr:col>
      <xdr:colOff>142875</xdr:colOff>
      <xdr:row>3</xdr:row>
      <xdr:rowOff>133350</xdr:rowOff>
    </xdr:to>
    <xdr:pic>
      <xdr:nvPicPr>
        <xdr:cNvPr id="64" name="Picture 5" descr="Description: Steel Apple logo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7625" y="114300"/>
          <a:ext cx="438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142875</xdr:colOff>
      <xdr:row>112</xdr:row>
      <xdr:rowOff>9525</xdr:rowOff>
    </xdr:from>
    <xdr:to>
      <xdr:col>3</xdr:col>
      <xdr:colOff>142875</xdr:colOff>
      <xdr:row>115</xdr:row>
      <xdr:rowOff>9525</xdr:rowOff>
    </xdr:to>
    <xdr:sp macro="" textlink="">
      <xdr:nvSpPr>
        <xdr:cNvPr id="65" name="TextBox 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485775" y="10172700"/>
          <a:ext cx="438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" tIns="0" rIns="0" bIns="0" anchor="t" upright="1"/>
        <a:lstStyle/>
        <a:p>
          <a:pPr algn="l" rtl="0">
            <a:defRPr sz="1000"/>
          </a:pPr>
          <a:r>
            <a:rPr lang="en-US" altLang="zh-TW" sz="2400" b="0" i="0" u="none" strike="noStrike" baseline="0">
              <a:solidFill>
                <a:srgbClr val="000000"/>
              </a:solidFill>
              <a:latin typeface="Calibri"/>
            </a:rPr>
            <a:t>®</a:t>
          </a:r>
        </a:p>
      </xdr:txBody>
    </xdr:sp>
    <xdr:clientData/>
  </xdr:twoCellAnchor>
  <xdr:twoCellAnchor>
    <xdr:from>
      <xdr:col>0</xdr:col>
      <xdr:colOff>47625</xdr:colOff>
      <xdr:row>112</xdr:row>
      <xdr:rowOff>76200</xdr:rowOff>
    </xdr:from>
    <xdr:to>
      <xdr:col>2</xdr:col>
      <xdr:colOff>142875</xdr:colOff>
      <xdr:row>116</xdr:row>
      <xdr:rowOff>0</xdr:rowOff>
    </xdr:to>
    <xdr:pic>
      <xdr:nvPicPr>
        <xdr:cNvPr id="66" name="Picture 5" descr="Description: Steel Apple logo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7625" y="10239375"/>
          <a:ext cx="438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</xdr:row>
          <xdr:rowOff>0</xdr:rowOff>
        </xdr:from>
        <xdr:to>
          <xdr:col>8</xdr:col>
          <xdr:colOff>19050</xdr:colOff>
          <xdr:row>16</xdr:row>
          <xdr:rowOff>19050</xdr:rowOff>
        </xdr:to>
        <xdr:sp macro="" textlink="">
          <xdr:nvSpPr>
            <xdr:cNvPr id="1029" name="Option Button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</a:rPr>
                <a:t>Regular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030" name="Option Button 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New Operators/Instruments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15</xdr:row>
          <xdr:rowOff>0</xdr:rowOff>
        </xdr:from>
        <xdr:to>
          <xdr:col>14</xdr:col>
          <xdr:colOff>0</xdr:colOff>
          <xdr:row>16</xdr:row>
          <xdr:rowOff>0</xdr:rowOff>
        </xdr:to>
        <xdr:sp macro="" textlink="">
          <xdr:nvSpPr>
            <xdr:cNvPr id="1031" name="Option Button 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Other</a:t>
              </a:r>
            </a:p>
          </xdr:txBody>
        </xdr:sp>
        <xdr:clientData/>
      </xdr:twoCellAnchor>
    </mc:Choice>
    <mc:Fallback/>
  </mc:AlternateContent>
  <xdr:twoCellAnchor>
    <xdr:from>
      <xdr:col>17</xdr:col>
      <xdr:colOff>257175</xdr:colOff>
      <xdr:row>38</xdr:row>
      <xdr:rowOff>66675</xdr:rowOff>
    </xdr:from>
    <xdr:to>
      <xdr:col>25</xdr:col>
      <xdr:colOff>495300</xdr:colOff>
      <xdr:row>39</xdr:row>
      <xdr:rowOff>28575</xdr:rowOff>
    </xdr:to>
    <xdr:sp macro="" textlink="">
      <xdr:nvSpPr>
        <xdr:cNvPr id="1032" name="Object 4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211667</xdr:colOff>
      <xdr:row>0</xdr:row>
      <xdr:rowOff>84667</xdr:rowOff>
    </xdr:from>
    <xdr:to>
      <xdr:col>20</xdr:col>
      <xdr:colOff>287867</xdr:colOff>
      <xdr:row>6</xdr:row>
      <xdr:rowOff>110066</xdr:rowOff>
    </xdr:to>
    <xdr:sp macro="[1]!SmileyFace34_Click" textlink="">
      <xdr:nvSpPr>
        <xdr:cNvPr id="71" name="Smiley Face 70"/>
        <xdr:cNvSpPr/>
      </xdr:nvSpPr>
      <xdr:spPr>
        <a:xfrm>
          <a:off x="8088842" y="84667"/>
          <a:ext cx="762000" cy="711199"/>
        </a:xfrm>
        <a:prstGeom prst="smileyFac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33866</xdr:colOff>
      <xdr:row>1</xdr:row>
      <xdr:rowOff>110067</xdr:rowOff>
    </xdr:from>
    <xdr:to>
      <xdr:col>22</xdr:col>
      <xdr:colOff>67733</xdr:colOff>
      <xdr:row>3</xdr:row>
      <xdr:rowOff>169333</xdr:rowOff>
    </xdr:to>
    <xdr:sp macro="" textlink="">
      <xdr:nvSpPr>
        <xdr:cNvPr id="72" name="Right Arrow 71"/>
        <xdr:cNvSpPr/>
      </xdr:nvSpPr>
      <xdr:spPr>
        <a:xfrm flipH="1">
          <a:off x="9282641" y="338667"/>
          <a:ext cx="719667" cy="278341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516467</xdr:colOff>
      <xdr:row>0</xdr:row>
      <xdr:rowOff>67733</xdr:rowOff>
    </xdr:from>
    <xdr:to>
      <xdr:col>26</xdr:col>
      <xdr:colOff>364067</xdr:colOff>
      <xdr:row>6</xdr:row>
      <xdr:rowOff>25400</xdr:rowOff>
    </xdr:to>
    <xdr:sp macro="" textlink="">
      <xdr:nvSpPr>
        <xdr:cNvPr id="73" name="Rounded Rectangle 72"/>
        <xdr:cNvSpPr/>
      </xdr:nvSpPr>
      <xdr:spPr>
        <a:xfrm>
          <a:off x="10451042" y="67733"/>
          <a:ext cx="2590800" cy="64346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</a:rPr>
            <a:t>กดตรงนี้ เพื่อกรอกข้อมูล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123825</xdr:colOff>
      <xdr:row>38</xdr:row>
      <xdr:rowOff>9525</xdr:rowOff>
    </xdr:from>
    <xdr:to>
      <xdr:col>7</xdr:col>
      <xdr:colOff>1019175</xdr:colOff>
      <xdr:row>38</xdr:row>
      <xdr:rowOff>447675</xdr:rowOff>
    </xdr:to>
    <xdr:pic>
      <xdr:nvPicPr>
        <xdr:cNvPr id="19" name="Object 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6572250"/>
          <a:ext cx="51720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257175</xdr:colOff>
      <xdr:row>38</xdr:row>
      <xdr:rowOff>66675</xdr:rowOff>
    </xdr:from>
    <xdr:to>
      <xdr:col>25</xdr:col>
      <xdr:colOff>495300</xdr:colOff>
      <xdr:row>39</xdr:row>
      <xdr:rowOff>28575</xdr:rowOff>
    </xdr:to>
    <xdr:pic>
      <xdr:nvPicPr>
        <xdr:cNvPr id="3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4175" y="6629400"/>
          <a:ext cx="51625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0.50197</cdr:x>
      <cdr:y>0.49087</cdr:y>
    </cdr:from>
    <cdr:to>
      <cdr:x>0.51034</cdr:x>
      <cdr:y>0.56955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8832" y="741905"/>
          <a:ext cx="50763" cy="118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600" b="0" i="0" strike="noStrike">
              <a:solidFill>
                <a:srgbClr val="000000"/>
              </a:solidFill>
              <a:latin typeface="宋体"/>
              <a:ea typeface="宋体"/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95251</xdr:rowOff>
    </xdr:from>
    <xdr:to>
      <xdr:col>24</xdr:col>
      <xdr:colOff>278232</xdr:colOff>
      <xdr:row>19</xdr:row>
      <xdr:rowOff>1872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000251"/>
          <a:ext cx="14384757" cy="1609724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29</xdr:row>
      <xdr:rowOff>0</xdr:rowOff>
    </xdr:from>
    <xdr:to>
      <xdr:col>3</xdr:col>
      <xdr:colOff>38100</xdr:colOff>
      <xdr:row>31</xdr:row>
      <xdr:rowOff>7068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0650" y="5334000"/>
          <a:ext cx="666750" cy="388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590550</xdr:colOff>
      <xdr:row>31</xdr:row>
      <xdr:rowOff>171450</xdr:rowOff>
    </xdr:from>
    <xdr:to>
      <xdr:col>2</xdr:col>
      <xdr:colOff>583776</xdr:colOff>
      <xdr:row>33</xdr:row>
      <xdr:rowOff>133350</xdr:rowOff>
    </xdr:to>
    <xdr:pic>
      <xdr:nvPicPr>
        <xdr:cNvPr id="4" name="Picture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90650" y="5886450"/>
          <a:ext cx="602826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581025</xdr:colOff>
      <xdr:row>34</xdr:row>
      <xdr:rowOff>28575</xdr:rowOff>
    </xdr:from>
    <xdr:to>
      <xdr:col>2</xdr:col>
      <xdr:colOff>514350</xdr:colOff>
      <xdr:row>36</xdr:row>
      <xdr:rowOff>7873</xdr:rowOff>
    </xdr:to>
    <xdr:pic>
      <xdr:nvPicPr>
        <xdr:cNvPr id="5" name="Picture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81125" y="6315075"/>
          <a:ext cx="542925" cy="3602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590550</xdr:colOff>
      <xdr:row>39</xdr:row>
      <xdr:rowOff>19730</xdr:rowOff>
    </xdr:to>
    <xdr:pic>
      <xdr:nvPicPr>
        <xdr:cNvPr id="6" name="Picture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09700" y="6858000"/>
          <a:ext cx="590550" cy="400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590550</xdr:colOff>
      <xdr:row>40</xdr:row>
      <xdr:rowOff>19050</xdr:rowOff>
    </xdr:from>
    <xdr:to>
      <xdr:col>2</xdr:col>
      <xdr:colOff>571500</xdr:colOff>
      <xdr:row>42</xdr:row>
      <xdr:rowOff>53622</xdr:rowOff>
    </xdr:to>
    <xdr:pic>
      <xdr:nvPicPr>
        <xdr:cNvPr id="7" name="Picture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90650" y="7448550"/>
          <a:ext cx="590550" cy="4155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43</xdr:row>
      <xdr:rowOff>28575</xdr:rowOff>
    </xdr:from>
    <xdr:to>
      <xdr:col>2</xdr:col>
      <xdr:colOff>581025</xdr:colOff>
      <xdr:row>45</xdr:row>
      <xdr:rowOff>20293</xdr:rowOff>
    </xdr:to>
    <xdr:pic>
      <xdr:nvPicPr>
        <xdr:cNvPr id="8" name="Picture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438275" y="8029575"/>
          <a:ext cx="552450" cy="3727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600075</xdr:colOff>
      <xdr:row>45</xdr:row>
      <xdr:rowOff>142876</xdr:rowOff>
    </xdr:from>
    <xdr:to>
      <xdr:col>3</xdr:col>
      <xdr:colOff>0</xdr:colOff>
      <xdr:row>48</xdr:row>
      <xdr:rowOff>104776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400175" y="8524876"/>
          <a:ext cx="6191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600075</xdr:colOff>
      <xdr:row>51</xdr:row>
      <xdr:rowOff>161925</xdr:rowOff>
    </xdr:from>
    <xdr:to>
      <xdr:col>3</xdr:col>
      <xdr:colOff>19050</xdr:colOff>
      <xdr:row>53</xdr:row>
      <xdr:rowOff>104775</xdr:rowOff>
    </xdr:to>
    <xdr:pic>
      <xdr:nvPicPr>
        <xdr:cNvPr id="10" name="Picture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00175" y="9686925"/>
          <a:ext cx="6381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47624</xdr:colOff>
      <xdr:row>55</xdr:row>
      <xdr:rowOff>52916</xdr:rowOff>
    </xdr:from>
    <xdr:to>
      <xdr:col>2</xdr:col>
      <xdr:colOff>581025</xdr:colOff>
      <xdr:row>57</xdr:row>
      <xdr:rowOff>32263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457324" y="10339916"/>
          <a:ext cx="533401" cy="3603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55</xdr:row>
      <xdr:rowOff>95250</xdr:rowOff>
    </xdr:from>
    <xdr:to>
      <xdr:col>4</xdr:col>
      <xdr:colOff>371475</xdr:colOff>
      <xdr:row>58</xdr:row>
      <xdr:rowOff>57150</xdr:rowOff>
    </xdr:to>
    <xdr:pic>
      <xdr:nvPicPr>
        <xdr:cNvPr id="13" name="Picture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381250" y="10382250"/>
          <a:ext cx="6191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60</xdr:row>
      <xdr:rowOff>38100</xdr:rowOff>
    </xdr:from>
    <xdr:to>
      <xdr:col>6</xdr:col>
      <xdr:colOff>343276</xdr:colOff>
      <xdr:row>67</xdr:row>
      <xdr:rowOff>152602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95425" y="11277600"/>
          <a:ext cx="2695951" cy="1448002"/>
        </a:xfrm>
        <a:prstGeom prst="rect">
          <a:avLst/>
        </a:prstGeom>
      </xdr:spPr>
    </xdr:pic>
    <xdr:clientData/>
  </xdr:twoCellAnchor>
  <xdr:twoCellAnchor>
    <xdr:from>
      <xdr:col>1</xdr:col>
      <xdr:colOff>600075</xdr:colOff>
      <xdr:row>70</xdr:row>
      <xdr:rowOff>9525</xdr:rowOff>
    </xdr:from>
    <xdr:to>
      <xdr:col>10</xdr:col>
      <xdr:colOff>285750</xdr:colOff>
      <xdr:row>72</xdr:row>
      <xdr:rowOff>66675</xdr:rowOff>
    </xdr:to>
    <xdr:sp macro="" textlink="">
      <xdr:nvSpPr>
        <xdr:cNvPr id="2049" name="Object 4" hidden="1">
          <a:extLst>
            <a:ext uri="{63B3BB69-23CF-44E3-9099-C40C66FF867C}">
              <a14:compatExt xmlns:a14="http://schemas.microsoft.com/office/drawing/2010/main" spid="_x0000_s204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552450</xdr:colOff>
      <xdr:row>76</xdr:row>
      <xdr:rowOff>28575</xdr:rowOff>
    </xdr:from>
    <xdr:to>
      <xdr:col>8</xdr:col>
      <xdr:colOff>94006</xdr:colOff>
      <xdr:row>78</xdr:row>
      <xdr:rowOff>9525</xdr:rowOff>
    </xdr:to>
    <xdr:pic>
      <xdr:nvPicPr>
        <xdr:cNvPr id="16" name="Picture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52550" y="14316075"/>
          <a:ext cx="3808756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76199</xdr:colOff>
      <xdr:row>82</xdr:row>
      <xdr:rowOff>66675</xdr:rowOff>
    </xdr:from>
    <xdr:to>
      <xdr:col>5</xdr:col>
      <xdr:colOff>504808</xdr:colOff>
      <xdr:row>84</xdr:row>
      <xdr:rowOff>161925</xdr:rowOff>
    </xdr:to>
    <xdr:pic>
      <xdr:nvPicPr>
        <xdr:cNvPr id="17" name="Picture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485899" y="15497175"/>
          <a:ext cx="2257409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</xdr:colOff>
      <xdr:row>88</xdr:row>
      <xdr:rowOff>114300</xdr:rowOff>
    </xdr:from>
    <xdr:to>
      <xdr:col>5</xdr:col>
      <xdr:colOff>265254</xdr:colOff>
      <xdr:row>90</xdr:row>
      <xdr:rowOff>161925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638300" y="16040100"/>
          <a:ext cx="2284554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57149</xdr:colOff>
      <xdr:row>94</xdr:row>
      <xdr:rowOff>47625</xdr:rowOff>
    </xdr:from>
    <xdr:to>
      <xdr:col>5</xdr:col>
      <xdr:colOff>5248</xdr:colOff>
      <xdr:row>96</xdr:row>
      <xdr:rowOff>66675</xdr:rowOff>
    </xdr:to>
    <xdr:pic>
      <xdr:nvPicPr>
        <xdr:cNvPr id="19" name="Picture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466849" y="17764125"/>
          <a:ext cx="1776899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209549</xdr:colOff>
      <xdr:row>100</xdr:row>
      <xdr:rowOff>28575</xdr:rowOff>
    </xdr:from>
    <xdr:to>
      <xdr:col>4</xdr:col>
      <xdr:colOff>526754</xdr:colOff>
      <xdr:row>102</xdr:row>
      <xdr:rowOff>1872</xdr:rowOff>
    </xdr:to>
    <xdr:pic>
      <xdr:nvPicPr>
        <xdr:cNvPr id="21" name="Picture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619249" y="18888075"/>
          <a:ext cx="153640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113</xdr:row>
      <xdr:rowOff>19050</xdr:rowOff>
    </xdr:from>
    <xdr:to>
      <xdr:col>12</xdr:col>
      <xdr:colOff>228599</xdr:colOff>
      <xdr:row>126</xdr:row>
      <xdr:rowOff>180158</xdr:rowOff>
    </xdr:to>
    <xdr:graphicFrame macro="">
      <xdr:nvGraphicFramePr>
        <xdr:cNvPr id="20" name="Chart 4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9525</xdr:colOff>
      <xdr:row>126</xdr:row>
      <xdr:rowOff>180158</xdr:rowOff>
    </xdr:from>
    <xdr:to>
      <xdr:col>12</xdr:col>
      <xdr:colOff>228599</xdr:colOff>
      <xdr:row>140</xdr:row>
      <xdr:rowOff>4233</xdr:rowOff>
    </xdr:to>
    <xdr:graphicFrame macro="">
      <xdr:nvGraphicFramePr>
        <xdr:cNvPr id="22" name="Chart 4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0</xdr:colOff>
      <xdr:row>155</xdr:row>
      <xdr:rowOff>0</xdr:rowOff>
    </xdr:from>
    <xdr:to>
      <xdr:col>13</xdr:col>
      <xdr:colOff>47625</xdr:colOff>
      <xdr:row>162</xdr:row>
      <xdr:rowOff>9712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4400" y="27870150"/>
          <a:ext cx="8277225" cy="1276537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154</xdr:row>
      <xdr:rowOff>19050</xdr:rowOff>
    </xdr:from>
    <xdr:to>
      <xdr:col>16</xdr:col>
      <xdr:colOff>219273</xdr:colOff>
      <xdr:row>161</xdr:row>
      <xdr:rowOff>133552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201775" y="27708225"/>
          <a:ext cx="1571823" cy="13813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13</xdr:col>
      <xdr:colOff>89014</xdr:colOff>
      <xdr:row>180</xdr:row>
      <xdr:rowOff>57150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14400" y="31127700"/>
          <a:ext cx="8318614" cy="13239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189</xdr:row>
      <xdr:rowOff>74084</xdr:rowOff>
    </xdr:from>
    <xdr:to>
      <xdr:col>13</xdr:col>
      <xdr:colOff>76200</xdr:colOff>
      <xdr:row>197</xdr:row>
      <xdr:rowOff>63500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33450" y="34097384"/>
          <a:ext cx="8286750" cy="1437216"/>
        </a:xfrm>
        <a:prstGeom prst="rect">
          <a:avLst/>
        </a:prstGeom>
      </xdr:spPr>
    </xdr:pic>
    <xdr:clientData/>
  </xdr:twoCellAnchor>
  <xdr:twoCellAnchor editAs="oneCell">
    <xdr:from>
      <xdr:col>1</xdr:col>
      <xdr:colOff>42334</xdr:colOff>
      <xdr:row>208</xdr:row>
      <xdr:rowOff>105834</xdr:rowOff>
    </xdr:from>
    <xdr:to>
      <xdr:col>13</xdr:col>
      <xdr:colOff>65708</xdr:colOff>
      <xdr:row>218</xdr:row>
      <xdr:rowOff>21167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56734" y="37653384"/>
          <a:ext cx="8252974" cy="1725083"/>
        </a:xfrm>
        <a:prstGeom prst="rect">
          <a:avLst/>
        </a:prstGeom>
      </xdr:spPr>
    </xdr:pic>
    <xdr:clientData/>
  </xdr:twoCellAnchor>
  <xdr:twoCellAnchor>
    <xdr:from>
      <xdr:col>1</xdr:col>
      <xdr:colOff>600075</xdr:colOff>
      <xdr:row>70</xdr:row>
      <xdr:rowOff>9525</xdr:rowOff>
    </xdr:from>
    <xdr:to>
      <xdr:col>10</xdr:col>
      <xdr:colOff>285750</xdr:colOff>
      <xdr:row>72</xdr:row>
      <xdr:rowOff>66675</xdr:rowOff>
    </xdr:to>
    <xdr:pic>
      <xdr:nvPicPr>
        <xdr:cNvPr id="12" name="Object 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13344525"/>
          <a:ext cx="51720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3</xdr:row>
      <xdr:rowOff>0</xdr:rowOff>
    </xdr:from>
    <xdr:to>
      <xdr:col>10</xdr:col>
      <xdr:colOff>1248833</xdr:colOff>
      <xdr:row>5</xdr:row>
      <xdr:rowOff>84666</xdr:rowOff>
    </xdr:to>
    <xdr:sp macro="" textlink="">
      <xdr:nvSpPr>
        <xdr:cNvPr id="2" name="Right Arrow 1"/>
        <xdr:cNvSpPr/>
      </xdr:nvSpPr>
      <xdr:spPr>
        <a:xfrm>
          <a:off x="11789833" y="359833"/>
          <a:ext cx="931333" cy="444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317500</xdr:colOff>
      <xdr:row>3</xdr:row>
      <xdr:rowOff>0</xdr:rowOff>
    </xdr:from>
    <xdr:to>
      <xdr:col>10</xdr:col>
      <xdr:colOff>1248833</xdr:colOff>
      <xdr:row>5</xdr:row>
      <xdr:rowOff>84666</xdr:rowOff>
    </xdr:to>
    <xdr:sp macro="" textlink="">
      <xdr:nvSpPr>
        <xdr:cNvPr id="3" name="Right Arrow 2"/>
        <xdr:cNvSpPr/>
      </xdr:nvSpPr>
      <xdr:spPr>
        <a:xfrm>
          <a:off x="11814175" y="361950"/>
          <a:ext cx="931333" cy="44661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317500</xdr:colOff>
      <xdr:row>3</xdr:row>
      <xdr:rowOff>0</xdr:rowOff>
    </xdr:from>
    <xdr:to>
      <xdr:col>10</xdr:col>
      <xdr:colOff>1248833</xdr:colOff>
      <xdr:row>5</xdr:row>
      <xdr:rowOff>84666</xdr:rowOff>
    </xdr:to>
    <xdr:sp macro="" textlink="">
      <xdr:nvSpPr>
        <xdr:cNvPr id="4" name="Right Arrow 3"/>
        <xdr:cNvSpPr/>
      </xdr:nvSpPr>
      <xdr:spPr>
        <a:xfrm>
          <a:off x="11814175" y="542925"/>
          <a:ext cx="931333" cy="44661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24</xdr:col>
      <xdr:colOff>228297</xdr:colOff>
      <xdr:row>3</xdr:row>
      <xdr:rowOff>75595</xdr:rowOff>
    </xdr:from>
    <xdr:to>
      <xdr:col>24</xdr:col>
      <xdr:colOff>1159630</xdr:colOff>
      <xdr:row>5</xdr:row>
      <xdr:rowOff>160261</xdr:rowOff>
    </xdr:to>
    <xdr:sp macro="" textlink="">
      <xdr:nvSpPr>
        <xdr:cNvPr id="5" name="Right Arrow 4"/>
        <xdr:cNvSpPr/>
      </xdr:nvSpPr>
      <xdr:spPr>
        <a:xfrm>
          <a:off x="23839714" y="657678"/>
          <a:ext cx="931333" cy="444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317500</xdr:colOff>
      <xdr:row>3</xdr:row>
      <xdr:rowOff>0</xdr:rowOff>
    </xdr:from>
    <xdr:to>
      <xdr:col>10</xdr:col>
      <xdr:colOff>1248833</xdr:colOff>
      <xdr:row>5</xdr:row>
      <xdr:rowOff>84666</xdr:rowOff>
    </xdr:to>
    <xdr:sp macro="" textlink="">
      <xdr:nvSpPr>
        <xdr:cNvPr id="13" name="Right Arrow 12"/>
        <xdr:cNvSpPr/>
      </xdr:nvSpPr>
      <xdr:spPr>
        <a:xfrm>
          <a:off x="11814175" y="542925"/>
          <a:ext cx="931333" cy="44661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43</xdr:col>
      <xdr:colOff>89656</xdr:colOff>
      <xdr:row>13</xdr:row>
      <xdr:rowOff>111730</xdr:rowOff>
    </xdr:from>
    <xdr:to>
      <xdr:col>43</xdr:col>
      <xdr:colOff>508000</xdr:colOff>
      <xdr:row>16</xdr:row>
      <xdr:rowOff>128364</xdr:rowOff>
    </xdr:to>
    <xdr:sp macro="" textlink="">
      <xdr:nvSpPr>
        <xdr:cNvPr id="15" name="Right Arrow 14"/>
        <xdr:cNvSpPr/>
      </xdr:nvSpPr>
      <xdr:spPr>
        <a:xfrm rot="5400000" flipV="1">
          <a:off x="40152636" y="2562000"/>
          <a:ext cx="556384" cy="418344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36</xdr:col>
      <xdr:colOff>253244</xdr:colOff>
      <xdr:row>18</xdr:row>
      <xdr:rowOff>144388</xdr:rowOff>
    </xdr:from>
    <xdr:to>
      <xdr:col>37</xdr:col>
      <xdr:colOff>508000</xdr:colOff>
      <xdr:row>21</xdr:row>
      <xdr:rowOff>10583</xdr:rowOff>
    </xdr:to>
    <xdr:sp macro="" textlink="">
      <xdr:nvSpPr>
        <xdr:cNvPr id="16" name="Right Arrow 15"/>
        <xdr:cNvSpPr/>
      </xdr:nvSpPr>
      <xdr:spPr>
        <a:xfrm>
          <a:off x="35400494" y="3425221"/>
          <a:ext cx="783923" cy="40594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57</xdr:col>
      <xdr:colOff>433917</xdr:colOff>
      <xdr:row>19</xdr:row>
      <xdr:rowOff>111882</xdr:rowOff>
    </xdr:from>
    <xdr:to>
      <xdr:col>58</xdr:col>
      <xdr:colOff>381944</xdr:colOff>
      <xdr:row>22</xdr:row>
      <xdr:rowOff>16631</xdr:rowOff>
    </xdr:to>
    <xdr:sp macro="" textlink="">
      <xdr:nvSpPr>
        <xdr:cNvPr id="19" name="Right Arrow 18"/>
        <xdr:cNvSpPr/>
      </xdr:nvSpPr>
      <xdr:spPr>
        <a:xfrm>
          <a:off x="57054750" y="3572632"/>
          <a:ext cx="657111" cy="44449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24</xdr:col>
      <xdr:colOff>247348</xdr:colOff>
      <xdr:row>18</xdr:row>
      <xdr:rowOff>25852</xdr:rowOff>
    </xdr:from>
    <xdr:to>
      <xdr:col>24</xdr:col>
      <xdr:colOff>1227666</xdr:colOff>
      <xdr:row>20</xdr:row>
      <xdr:rowOff>148165</xdr:rowOff>
    </xdr:to>
    <xdr:sp macro="" textlink="">
      <xdr:nvSpPr>
        <xdr:cNvPr id="17" name="Right Arrow 16"/>
        <xdr:cNvSpPr/>
      </xdr:nvSpPr>
      <xdr:spPr>
        <a:xfrm>
          <a:off x="23858765" y="3306685"/>
          <a:ext cx="980318" cy="482147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58</xdr:col>
      <xdr:colOff>476250</xdr:colOff>
      <xdr:row>35</xdr:row>
      <xdr:rowOff>169333</xdr:rowOff>
    </xdr:from>
    <xdr:to>
      <xdr:col>59</xdr:col>
      <xdr:colOff>374386</xdr:colOff>
      <xdr:row>38</xdr:row>
      <xdr:rowOff>74082</xdr:rowOff>
    </xdr:to>
    <xdr:sp macro="" textlink="">
      <xdr:nvSpPr>
        <xdr:cNvPr id="21" name="Right Arrow 20"/>
        <xdr:cNvSpPr/>
      </xdr:nvSpPr>
      <xdr:spPr>
        <a:xfrm>
          <a:off x="57097083" y="6519333"/>
          <a:ext cx="607220" cy="44449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46</xdr:col>
      <xdr:colOff>455083</xdr:colOff>
      <xdr:row>28</xdr:row>
      <xdr:rowOff>148166</xdr:rowOff>
    </xdr:from>
    <xdr:to>
      <xdr:col>46</xdr:col>
      <xdr:colOff>873427</xdr:colOff>
      <xdr:row>31</xdr:row>
      <xdr:rowOff>164800</xdr:rowOff>
    </xdr:to>
    <xdr:sp macro="" textlink="">
      <xdr:nvSpPr>
        <xdr:cNvPr id="22" name="Right Arrow 21"/>
        <xdr:cNvSpPr/>
      </xdr:nvSpPr>
      <xdr:spPr>
        <a:xfrm rot="5400000" flipV="1">
          <a:off x="42634730" y="5297186"/>
          <a:ext cx="556384" cy="418344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kkapan.P\Desktop\Support%20GRR%20Revise%20MIL27\QF-A1-TDD-0018-4%20Master%20Format_For%20running%20VBA_R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2B&amp;GRR"/>
      <sheetName val="Test Coverage "/>
      <sheetName val="Component damage"/>
      <sheetName val="Circuit crack"/>
      <sheetName val="Circuit diagram"/>
      <sheetName val="Index measuring"/>
      <sheetName val="PIC&amp;BLK Step"/>
      <sheetName val="Picture Require"/>
      <sheetName val="Combined"/>
      <sheetName val="Tester Buy off"/>
      <sheetName val="Prepare GRR Data"/>
      <sheetName val="testresult"/>
      <sheetName val="QF-A1-TDD-0018-4 Master Format_"/>
    </sheetNames>
    <definedNames>
      <definedName name="SmileyFace34_Click"/>
    </definedNames>
    <sheetDataSet>
      <sheetData sheetId="0">
        <row r="18">
          <cell r="E18">
            <v>1</v>
          </cell>
          <cell r="F18">
            <v>2</v>
          </cell>
          <cell r="G18">
            <v>3</v>
          </cell>
          <cell r="H18">
            <v>4</v>
          </cell>
          <cell r="I18">
            <v>5</v>
          </cell>
          <cell r="J18">
            <v>6</v>
          </cell>
          <cell r="K18">
            <v>7</v>
          </cell>
          <cell r="L18">
            <v>8</v>
          </cell>
          <cell r="M18">
            <v>9</v>
          </cell>
          <cell r="N18">
            <v>10</v>
          </cell>
        </row>
        <row r="19">
          <cell r="B19" t="str">
            <v>A</v>
          </cell>
          <cell r="E19">
            <v>0.19</v>
          </cell>
          <cell r="F19">
            <v>0.86199999999999999</v>
          </cell>
          <cell r="G19">
            <v>0.91900000000000004</v>
          </cell>
          <cell r="H19">
            <v>1.0840000000000001</v>
          </cell>
          <cell r="I19">
            <v>1.0449999999999999</v>
          </cell>
          <cell r="J19">
            <v>1.0349999999999999</v>
          </cell>
          <cell r="K19">
            <v>1.151</v>
          </cell>
          <cell r="L19">
            <v>1.0609999999999999</v>
          </cell>
          <cell r="M19">
            <v>0.95099999999999996</v>
          </cell>
          <cell r="N19">
            <v>2.9660000000000002</v>
          </cell>
        </row>
        <row r="20">
          <cell r="E20">
            <v>0.126</v>
          </cell>
          <cell r="F20">
            <v>0.85799999999999998</v>
          </cell>
          <cell r="G20">
            <v>0.874</v>
          </cell>
          <cell r="H20">
            <v>1.0389999999999999</v>
          </cell>
          <cell r="I20">
            <v>1.038</v>
          </cell>
          <cell r="J20">
            <v>1.252</v>
          </cell>
          <cell r="K20">
            <v>1.143</v>
          </cell>
          <cell r="L20">
            <v>1.0369999999999999</v>
          </cell>
          <cell r="M20">
            <v>0.81200000000000006</v>
          </cell>
          <cell r="N20">
            <v>2.93</v>
          </cell>
        </row>
        <row r="21">
          <cell r="E21">
            <v>0.13900000000000001</v>
          </cell>
          <cell r="F21">
            <v>0.86299999999999999</v>
          </cell>
          <cell r="G21">
            <v>0.81499999999999995</v>
          </cell>
          <cell r="H21">
            <v>0.84599999999999997</v>
          </cell>
          <cell r="I21">
            <v>1.0940000000000001</v>
          </cell>
          <cell r="J21">
            <v>1.081</v>
          </cell>
          <cell r="K21">
            <v>1.0449999999999999</v>
          </cell>
          <cell r="L21">
            <v>1.0049999999999999</v>
          </cell>
          <cell r="M21">
            <v>0.81499999999999995</v>
          </cell>
          <cell r="N21">
            <v>2.9209999999999998</v>
          </cell>
        </row>
        <row r="22">
          <cell r="E22">
            <v>0.15166666666666667</v>
          </cell>
          <cell r="F22">
            <v>0.8610000000000001</v>
          </cell>
          <cell r="G22">
            <v>0.8693333333333334</v>
          </cell>
          <cell r="H22">
            <v>0.98966666666666681</v>
          </cell>
          <cell r="I22">
            <v>1.0590000000000002</v>
          </cell>
          <cell r="J22">
            <v>1.1226666666666667</v>
          </cell>
          <cell r="K22">
            <v>1.113</v>
          </cell>
          <cell r="L22">
            <v>1.0343333333333333</v>
          </cell>
          <cell r="M22">
            <v>0.85933333333333328</v>
          </cell>
          <cell r="N22">
            <v>2.9390000000000001</v>
          </cell>
          <cell r="Q22">
            <v>1.0999000000000001</v>
          </cell>
        </row>
        <row r="24">
          <cell r="E24">
            <v>6.4000000000000001E-2</v>
          </cell>
          <cell r="F24">
            <v>5.0000000000000044E-3</v>
          </cell>
          <cell r="G24">
            <v>0.10400000000000009</v>
          </cell>
          <cell r="H24">
            <v>0.2380000000000001</v>
          </cell>
          <cell r="I24">
            <v>5.600000000000005E-2</v>
          </cell>
          <cell r="J24">
            <v>0.21700000000000008</v>
          </cell>
          <cell r="K24">
            <v>0.10600000000000009</v>
          </cell>
          <cell r="L24">
            <v>5.600000000000005E-2</v>
          </cell>
          <cell r="M24">
            <v>0.1389999999999999</v>
          </cell>
          <cell r="N24">
            <v>4.5000000000000373E-2</v>
          </cell>
        </row>
        <row r="25">
          <cell r="B25" t="str">
            <v>B</v>
          </cell>
          <cell r="E25">
            <v>0.16500000000000001</v>
          </cell>
          <cell r="F25">
            <v>0.94899999999999995</v>
          </cell>
          <cell r="G25">
            <v>0.81599999999999995</v>
          </cell>
          <cell r="H25">
            <v>0.81</v>
          </cell>
          <cell r="I25">
            <v>1.0049999999999999</v>
          </cell>
          <cell r="J25">
            <v>1.0620000000000001</v>
          </cell>
          <cell r="K25">
            <v>1.02</v>
          </cell>
          <cell r="L25">
            <v>0.94699999999999995</v>
          </cell>
          <cell r="M25">
            <v>0.98899999999999999</v>
          </cell>
          <cell r="N25">
            <v>2.9060000000000001</v>
          </cell>
        </row>
        <row r="26">
          <cell r="E26">
            <v>0.156</v>
          </cell>
          <cell r="F26">
            <v>0.99199999999999999</v>
          </cell>
          <cell r="G26">
            <v>0.82799999999999996</v>
          </cell>
          <cell r="H26">
            <v>1.0580000000000001</v>
          </cell>
          <cell r="I26">
            <v>1.032</v>
          </cell>
          <cell r="J26">
            <v>1.113</v>
          </cell>
          <cell r="K26">
            <v>1.0189999999999999</v>
          </cell>
          <cell r="L26">
            <v>0.94699999999999995</v>
          </cell>
          <cell r="M26">
            <v>0.98899999999999999</v>
          </cell>
          <cell r="N26">
            <v>2.9569999999999999</v>
          </cell>
        </row>
        <row r="27">
          <cell r="E27">
            <v>0.115</v>
          </cell>
          <cell r="F27">
            <v>0.98699999999999999</v>
          </cell>
          <cell r="G27">
            <v>0.82799999999999996</v>
          </cell>
          <cell r="H27">
            <v>1.0489999999999999</v>
          </cell>
          <cell r="I27">
            <v>1.0009999999999999</v>
          </cell>
          <cell r="J27">
            <v>1.1879999999999999</v>
          </cell>
          <cell r="K27">
            <v>0.82899999999999996</v>
          </cell>
          <cell r="L27">
            <v>0.82599999999999996</v>
          </cell>
          <cell r="M27">
            <v>0.96099999999999997</v>
          </cell>
          <cell r="N27">
            <v>2.8650000000000002</v>
          </cell>
        </row>
        <row r="28">
          <cell r="E28">
            <v>0.14533333333333334</v>
          </cell>
          <cell r="F28">
            <v>0.97599999999999998</v>
          </cell>
          <cell r="G28">
            <v>0.82399999999999995</v>
          </cell>
          <cell r="H28">
            <v>0.97233333333333327</v>
          </cell>
          <cell r="I28">
            <v>1.0126666666666666</v>
          </cell>
          <cell r="J28">
            <v>1.1209999999999998</v>
          </cell>
          <cell r="K28">
            <v>0.95599999999999985</v>
          </cell>
          <cell r="L28">
            <v>0.90666666666666662</v>
          </cell>
          <cell r="M28">
            <v>0.97966666666666669</v>
          </cell>
          <cell r="N28">
            <v>2.9093333333333331</v>
          </cell>
          <cell r="Q28">
            <v>1.0802999999999998</v>
          </cell>
        </row>
        <row r="30">
          <cell r="E30">
            <v>0.05</v>
          </cell>
          <cell r="F30">
            <v>4.3000000000000038E-2</v>
          </cell>
          <cell r="G30">
            <v>1.2000000000000011E-2</v>
          </cell>
          <cell r="H30">
            <v>0.248</v>
          </cell>
          <cell r="I30">
            <v>3.1000000000000139E-2</v>
          </cell>
          <cell r="J30">
            <v>0.12599999999999989</v>
          </cell>
          <cell r="K30">
            <v>0.19100000000000006</v>
          </cell>
          <cell r="L30">
            <v>0.121</v>
          </cell>
          <cell r="M30">
            <v>2.8000000000000025E-2</v>
          </cell>
          <cell r="N30">
            <v>9.1999999999999638E-2</v>
          </cell>
        </row>
        <row r="31">
          <cell r="B31" t="str">
            <v>C</v>
          </cell>
          <cell r="E31">
            <v>0.10199999999999999</v>
          </cell>
          <cell r="F31">
            <v>0.80600000000000005</v>
          </cell>
          <cell r="G31">
            <v>0.85699999999999998</v>
          </cell>
          <cell r="H31">
            <v>1.0780000000000001</v>
          </cell>
          <cell r="I31">
            <v>1.03</v>
          </cell>
          <cell r="J31">
            <v>1.1990000000000001</v>
          </cell>
          <cell r="K31">
            <v>0.88400000000000001</v>
          </cell>
          <cell r="L31">
            <v>1.0349999999999999</v>
          </cell>
          <cell r="M31">
            <v>0.93700000000000006</v>
          </cell>
          <cell r="N31">
            <v>2.8239999999999998</v>
          </cell>
        </row>
        <row r="32">
          <cell r="E32">
            <v>0.106</v>
          </cell>
          <cell r="F32">
            <v>0.86899999999999999</v>
          </cell>
          <cell r="G32">
            <v>0.83199999999999996</v>
          </cell>
          <cell r="H32">
            <v>1.1870000000000001</v>
          </cell>
          <cell r="I32">
            <v>1.077</v>
          </cell>
          <cell r="J32">
            <v>1.054</v>
          </cell>
          <cell r="K32">
            <v>1.131</v>
          </cell>
          <cell r="L32">
            <v>1.0189999999999999</v>
          </cell>
          <cell r="M32">
            <v>0.92500000000000004</v>
          </cell>
          <cell r="N32">
            <v>2.9780000000000002</v>
          </cell>
        </row>
        <row r="33">
          <cell r="E33">
            <v>0.113</v>
          </cell>
          <cell r="F33">
            <v>0.90700000000000003</v>
          </cell>
          <cell r="G33">
            <v>0.82899999999999996</v>
          </cell>
          <cell r="H33">
            <v>1.1870000000000001</v>
          </cell>
          <cell r="I33">
            <v>1.0900000000000001</v>
          </cell>
          <cell r="J33">
            <v>1.125</v>
          </cell>
          <cell r="K33">
            <v>1.004</v>
          </cell>
          <cell r="L33">
            <v>1</v>
          </cell>
          <cell r="M33">
            <v>0.98899999999999999</v>
          </cell>
          <cell r="N33">
            <v>2.9529999999999998</v>
          </cell>
        </row>
        <row r="34">
          <cell r="E34">
            <v>0.107</v>
          </cell>
          <cell r="F34">
            <v>0.86066666666666658</v>
          </cell>
          <cell r="G34">
            <v>0.83933333333333326</v>
          </cell>
          <cell r="H34">
            <v>1.1506666666666667</v>
          </cell>
          <cell r="I34">
            <v>1.0656666666666668</v>
          </cell>
          <cell r="J34">
            <v>1.1260000000000001</v>
          </cell>
          <cell r="K34">
            <v>1.0063333333333333</v>
          </cell>
          <cell r="L34">
            <v>1.018</v>
          </cell>
          <cell r="M34">
            <v>0.95033333333333336</v>
          </cell>
          <cell r="N34">
            <v>2.918333333333333</v>
          </cell>
          <cell r="Q34">
            <v>1.1042333333333334</v>
          </cell>
        </row>
        <row r="36">
          <cell r="E36">
            <v>1.100000000000001E-2</v>
          </cell>
          <cell r="F36">
            <v>0.10099999999999998</v>
          </cell>
          <cell r="G36">
            <v>2.8000000000000025E-2</v>
          </cell>
          <cell r="H36">
            <v>0.10899999999999999</v>
          </cell>
          <cell r="I36">
            <v>6.0000000000000053E-2</v>
          </cell>
          <cell r="J36">
            <v>0.14500000000000002</v>
          </cell>
          <cell r="K36">
            <v>0.247</v>
          </cell>
          <cell r="L36">
            <v>3.499999999999992E-2</v>
          </cell>
          <cell r="M36">
            <v>6.3999999999999946E-2</v>
          </cell>
          <cell r="N36">
            <v>0.15400000000000036</v>
          </cell>
        </row>
        <row r="37">
          <cell r="E37">
            <v>0.13466666666666666</v>
          </cell>
          <cell r="F37">
            <v>0.89922222222222226</v>
          </cell>
          <cell r="G37">
            <v>0.84422222222222221</v>
          </cell>
          <cell r="H37">
            <v>1.0375555555555556</v>
          </cell>
          <cell r="I37">
            <v>1.0457777777777777</v>
          </cell>
          <cell r="J37">
            <v>1.1232222222222221</v>
          </cell>
          <cell r="K37">
            <v>1.0251111111111111</v>
          </cell>
          <cell r="L37">
            <v>0.98633333333333317</v>
          </cell>
          <cell r="M37">
            <v>0.92977777777777781</v>
          </cell>
          <cell r="N37">
            <v>2.9222222222222225</v>
          </cell>
        </row>
        <row r="46">
          <cell r="D46"/>
          <cell r="E46">
            <v>1</v>
          </cell>
          <cell r="F46">
            <v>2</v>
          </cell>
          <cell r="G46">
            <v>3</v>
          </cell>
          <cell r="H46">
            <v>4</v>
          </cell>
          <cell r="I46">
            <v>5</v>
          </cell>
          <cell r="J46">
            <v>6</v>
          </cell>
          <cell r="K46">
            <v>7</v>
          </cell>
          <cell r="L46">
            <v>8</v>
          </cell>
          <cell r="M46">
            <v>9</v>
          </cell>
          <cell r="N46">
            <v>10</v>
          </cell>
        </row>
        <row r="47">
          <cell r="D47" t="str">
            <v>UCLx</v>
          </cell>
          <cell r="E47">
            <v>1.1945877111111112</v>
          </cell>
          <cell r="F47">
            <v>1.1945877111111112</v>
          </cell>
          <cell r="G47">
            <v>1.1945877111111112</v>
          </cell>
          <cell r="H47">
            <v>1.1945877111111112</v>
          </cell>
          <cell r="I47">
            <v>1.1945877111111112</v>
          </cell>
          <cell r="J47">
            <v>1.1945877111111112</v>
          </cell>
          <cell r="K47">
            <v>1.1945877111111112</v>
          </cell>
          <cell r="L47">
            <v>1.1945877111111112</v>
          </cell>
          <cell r="M47">
            <v>1.1945877111111112</v>
          </cell>
          <cell r="N47">
            <v>1.1945877111111112</v>
          </cell>
        </row>
        <row r="48">
          <cell r="D48" t="str">
            <v>LCLx</v>
          </cell>
          <cell r="E48">
            <v>0.99503451111111119</v>
          </cell>
          <cell r="F48">
            <v>0.99503451111111119</v>
          </cell>
          <cell r="G48">
            <v>0.99503451111111119</v>
          </cell>
          <cell r="H48">
            <v>0.99503451111111119</v>
          </cell>
          <cell r="I48">
            <v>0.99503451111111119</v>
          </cell>
          <cell r="J48">
            <v>0.99503451111111119</v>
          </cell>
          <cell r="K48">
            <v>0.99503451111111119</v>
          </cell>
          <cell r="L48">
            <v>0.99503451111111119</v>
          </cell>
          <cell r="M48">
            <v>0.99503451111111119</v>
          </cell>
          <cell r="N48">
            <v>0.99503451111111119</v>
          </cell>
        </row>
        <row r="49">
          <cell r="D49" t="str">
            <v>UCLR</v>
          </cell>
          <cell r="E49">
            <v>0.25114833333333342</v>
          </cell>
          <cell r="F49">
            <v>0.25114833333333342</v>
          </cell>
          <cell r="G49">
            <v>0.25114833333333342</v>
          </cell>
          <cell r="H49">
            <v>0.25114833333333342</v>
          </cell>
          <cell r="I49">
            <v>0.25114833333333342</v>
          </cell>
          <cell r="J49">
            <v>0.25114833333333342</v>
          </cell>
          <cell r="K49">
            <v>0.25114833333333342</v>
          </cell>
          <cell r="L49">
            <v>0.25114833333333342</v>
          </cell>
          <cell r="M49">
            <v>0.25114833333333342</v>
          </cell>
          <cell r="N49">
            <v>0.25114833333333342</v>
          </cell>
        </row>
        <row r="50">
          <cell r="D50" t="str">
            <v>LCLR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136">
          <cell r="J136" t="str">
            <v>%贡献率Contribution</v>
          </cell>
          <cell r="L136" t="str">
            <v>%总变差TV</v>
          </cell>
          <cell r="N136" t="str">
            <v>%公差Tolerance</v>
          </cell>
        </row>
        <row r="137">
          <cell r="B137" t="str">
            <v>系统Total Gauge R&amp;R</v>
          </cell>
          <cell r="C137"/>
          <cell r="D137"/>
          <cell r="E137"/>
          <cell r="J137">
            <v>1.2365397311429294E-2</v>
          </cell>
          <cell r="L137">
            <v>0.11119980805482217</v>
          </cell>
          <cell r="N137">
            <v>9.3913599378094653E-2</v>
          </cell>
        </row>
        <row r="138">
          <cell r="B138" t="str">
            <v>重复性Repeatability</v>
          </cell>
          <cell r="C138"/>
          <cell r="D138"/>
          <cell r="E138"/>
          <cell r="J138">
            <v>8.5064319444588653E-3</v>
          </cell>
          <cell r="L138">
            <v>9.2230320093008814E-2</v>
          </cell>
          <cell r="N138">
            <v>7.7892952184395889E-2</v>
          </cell>
        </row>
        <row r="139">
          <cell r="B139" t="str">
            <v>再现性Reproducibility</v>
          </cell>
          <cell r="C139"/>
          <cell r="D139"/>
          <cell r="E139"/>
          <cell r="J139">
            <v>3.8589653669704278E-3</v>
          </cell>
          <cell r="L139">
            <v>6.2120571206086217E-2</v>
          </cell>
          <cell r="N139">
            <v>5.2463817514060838E-2</v>
          </cell>
        </row>
        <row r="142">
          <cell r="B142" t="str">
            <v xml:space="preserve">零件Part </v>
          </cell>
          <cell r="C142"/>
          <cell r="D142"/>
          <cell r="E142"/>
          <cell r="J142">
            <v>0.98763460268857062</v>
          </cell>
          <cell r="L142">
            <v>0.99379806937253135</v>
          </cell>
          <cell r="N142">
            <v>0.83931038535392999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5"/>
  <sheetViews>
    <sheetView zoomScale="70" zoomScaleNormal="70" workbookViewId="0">
      <selection activeCell="E9" sqref="E9:F9"/>
    </sheetView>
  </sheetViews>
  <sheetFormatPr defaultColWidth="10.25" defaultRowHeight="11.25"/>
  <cols>
    <col min="1" max="1" width="2.875" style="29" customWidth="1"/>
    <col min="2" max="2" width="2.25" style="29" customWidth="1"/>
    <col min="3" max="3" width="62.125" style="29" bestFit="1" customWidth="1"/>
    <col min="4" max="4" width="17.375" style="29" bestFit="1" customWidth="1"/>
    <col min="5" max="8" width="15.625" style="29" bestFit="1" customWidth="1"/>
    <col min="9" max="9" width="7.25" style="29" customWidth="1"/>
    <col min="10" max="10" width="15.875" style="29" bestFit="1" customWidth="1"/>
    <col min="11" max="11" width="7.25" style="29" customWidth="1"/>
    <col min="12" max="16" width="15.625" style="29" bestFit="1" customWidth="1"/>
    <col min="17" max="17" width="13.25" style="29" customWidth="1"/>
    <col min="18" max="18" width="8.125" style="28" customWidth="1"/>
    <col min="19" max="19" width="4" style="28" customWidth="1"/>
    <col min="20" max="31" width="10.25" style="29"/>
    <col min="32" max="32" width="14.25" style="29" bestFit="1" customWidth="1"/>
    <col min="33" max="16384" width="10.25" style="29"/>
  </cols>
  <sheetData>
    <row r="1" spans="1:32" s="2" customFormat="1" ht="18" customHeight="1">
      <c r="A1" s="304"/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6"/>
      <c r="R1" s="1"/>
      <c r="S1" s="1"/>
      <c r="AF1" s="3" t="str">
        <f>I9</f>
        <v>RGPZ-030MW-2C</v>
      </c>
    </row>
    <row r="2" spans="1:32" s="2" customFormat="1" ht="13.5" customHeight="1">
      <c r="A2" s="307" t="s">
        <v>0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9"/>
      <c r="R2" s="1"/>
      <c r="S2" s="1"/>
      <c r="AF2" s="3" t="str">
        <f>E9</f>
        <v>OSTM-T-17-03-070</v>
      </c>
    </row>
    <row r="3" spans="1:32" s="2" customFormat="1" ht="3.75" customHeight="1">
      <c r="A3" s="4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7"/>
      <c r="Q3" s="8"/>
      <c r="R3" s="1"/>
      <c r="S3" s="1"/>
      <c r="AF3" s="9">
        <f>Q7</f>
        <v>45373</v>
      </c>
    </row>
    <row r="4" spans="1:32" s="2" customFormat="1" ht="14.25" customHeight="1" thickBot="1">
      <c r="A4" s="10"/>
      <c r="B4" s="11"/>
      <c r="C4" s="12"/>
      <c r="D4" s="12"/>
      <c r="E4" s="12"/>
      <c r="F4" s="13"/>
      <c r="G4" s="13"/>
      <c r="H4" s="13"/>
      <c r="I4" s="12"/>
      <c r="J4" s="13"/>
      <c r="K4" s="13"/>
      <c r="L4" s="310" t="s">
        <v>1</v>
      </c>
      <c r="M4" s="310"/>
      <c r="N4" s="310"/>
      <c r="O4" s="310"/>
      <c r="P4" s="311"/>
      <c r="Q4" s="312"/>
      <c r="R4" s="1"/>
      <c r="S4" s="1"/>
    </row>
    <row r="5" spans="1:32" s="2" customFormat="1" ht="2.25" customHeight="1" thickBot="1">
      <c r="A5" s="14"/>
      <c r="B5" s="15"/>
      <c r="C5" s="5"/>
      <c r="D5" s="5"/>
      <c r="E5" s="5"/>
      <c r="F5" s="16"/>
      <c r="G5" s="16"/>
      <c r="H5" s="16"/>
      <c r="I5" s="5"/>
      <c r="J5" s="16"/>
      <c r="K5" s="16"/>
      <c r="L5" s="16"/>
      <c r="M5" s="6"/>
      <c r="N5" s="17"/>
      <c r="O5" s="17"/>
      <c r="P5" s="18"/>
      <c r="Q5" s="18"/>
      <c r="R5" s="1"/>
      <c r="S5" s="1"/>
    </row>
    <row r="6" spans="1:32" s="2" customFormat="1" ht="2.25" customHeight="1">
      <c r="A6" s="19"/>
      <c r="B6" s="20"/>
      <c r="C6" s="21"/>
      <c r="D6" s="21"/>
      <c r="E6" s="21"/>
      <c r="F6" s="22"/>
      <c r="G6" s="22"/>
      <c r="H6" s="22"/>
      <c r="I6" s="21"/>
      <c r="J6" s="22"/>
      <c r="K6" s="22"/>
      <c r="L6" s="22"/>
      <c r="M6" s="23"/>
      <c r="N6" s="24"/>
      <c r="O6" s="24"/>
      <c r="P6" s="25"/>
      <c r="Q6" s="26"/>
      <c r="R6" s="1"/>
      <c r="S6" s="1"/>
    </row>
    <row r="7" spans="1:32" ht="24.75" customHeight="1">
      <c r="A7" s="295" t="s">
        <v>2</v>
      </c>
      <c r="B7" s="296"/>
      <c r="C7" s="296"/>
      <c r="D7" s="297"/>
      <c r="E7" s="298" t="s">
        <v>3</v>
      </c>
      <c r="F7" s="299"/>
      <c r="G7" s="293" t="s">
        <v>4</v>
      </c>
      <c r="H7" s="294"/>
      <c r="I7" s="298" t="s">
        <v>5</v>
      </c>
      <c r="J7" s="299"/>
      <c r="K7" s="293" t="s">
        <v>6</v>
      </c>
      <c r="L7" s="294"/>
      <c r="M7" s="300" t="s">
        <v>7</v>
      </c>
      <c r="N7" s="301"/>
      <c r="O7" s="293" t="s">
        <v>8</v>
      </c>
      <c r="P7" s="294"/>
      <c r="Q7" s="27">
        <v>45373</v>
      </c>
    </row>
    <row r="8" spans="1:32" ht="3" customHeight="1">
      <c r="A8" s="30"/>
      <c r="B8" s="31"/>
      <c r="C8" s="32"/>
      <c r="D8" s="32"/>
      <c r="E8" s="33"/>
      <c r="F8" s="33"/>
      <c r="G8" s="31"/>
      <c r="H8" s="31"/>
      <c r="I8" s="33"/>
      <c r="J8" s="33"/>
      <c r="K8" s="32"/>
      <c r="L8" s="31"/>
      <c r="M8" s="34"/>
      <c r="N8" s="34"/>
      <c r="O8" s="35"/>
      <c r="P8" s="31"/>
      <c r="Q8" s="36"/>
    </row>
    <row r="9" spans="1:32" ht="24.75" customHeight="1">
      <c r="A9" s="295" t="s">
        <v>9</v>
      </c>
      <c r="B9" s="296"/>
      <c r="C9" s="296"/>
      <c r="D9" s="297"/>
      <c r="E9" s="298" t="s">
        <v>10</v>
      </c>
      <c r="F9" s="299"/>
      <c r="G9" s="293" t="s">
        <v>11</v>
      </c>
      <c r="H9" s="297"/>
      <c r="I9" s="298" t="s">
        <v>12</v>
      </c>
      <c r="J9" s="299"/>
      <c r="K9" s="293" t="s">
        <v>13</v>
      </c>
      <c r="L9" s="294"/>
      <c r="M9" s="300" t="s">
        <v>14</v>
      </c>
      <c r="N9" s="301"/>
      <c r="O9" s="302" t="s">
        <v>15</v>
      </c>
      <c r="P9" s="303"/>
      <c r="Q9" s="37">
        <v>3</v>
      </c>
    </row>
    <row r="10" spans="1:32" ht="3" customHeight="1">
      <c r="A10" s="315"/>
      <c r="B10" s="296"/>
      <c r="C10" s="296"/>
      <c r="D10" s="296"/>
      <c r="E10" s="38"/>
      <c r="F10" s="38"/>
      <c r="G10" s="31"/>
      <c r="H10" s="31"/>
      <c r="I10" s="38"/>
      <c r="J10" s="38"/>
      <c r="K10" s="31"/>
      <c r="L10" s="31"/>
      <c r="M10" s="34"/>
      <c r="N10" s="34"/>
      <c r="O10" s="39"/>
      <c r="P10" s="40"/>
      <c r="Q10" s="41"/>
    </row>
    <row r="11" spans="1:32" ht="24.75" customHeight="1">
      <c r="A11" s="295" t="s">
        <v>16</v>
      </c>
      <c r="B11" s="296"/>
      <c r="C11" s="296"/>
      <c r="D11" s="297"/>
      <c r="E11" s="298" t="s">
        <v>17</v>
      </c>
      <c r="F11" s="299"/>
      <c r="G11" s="293" t="s">
        <v>18</v>
      </c>
      <c r="H11" s="297"/>
      <c r="I11" s="42" t="s">
        <v>19</v>
      </c>
      <c r="J11" s="43"/>
      <c r="K11" s="319" t="s">
        <v>20</v>
      </c>
      <c r="L11" s="294"/>
      <c r="M11" s="300" t="s">
        <v>21</v>
      </c>
      <c r="N11" s="301"/>
      <c r="O11" s="313" t="s">
        <v>22</v>
      </c>
      <c r="P11" s="314"/>
      <c r="Q11" s="37">
        <v>3</v>
      </c>
    </row>
    <row r="12" spans="1:32" ht="3" customHeight="1">
      <c r="A12" s="315"/>
      <c r="B12" s="296"/>
      <c r="C12" s="296"/>
      <c r="D12" s="296"/>
      <c r="E12" s="38"/>
      <c r="F12" s="33"/>
      <c r="G12" s="31"/>
      <c r="H12" s="31"/>
      <c r="I12" s="38"/>
      <c r="J12" s="38"/>
      <c r="K12" s="31"/>
      <c r="L12" s="31"/>
      <c r="M12" s="33"/>
      <c r="N12" s="33"/>
      <c r="O12" s="39"/>
      <c r="P12" s="44"/>
      <c r="Q12" s="41"/>
    </row>
    <row r="13" spans="1:32" ht="24.75" customHeight="1">
      <c r="A13" s="295" t="s">
        <v>23</v>
      </c>
      <c r="B13" s="296"/>
      <c r="C13" s="296"/>
      <c r="D13" s="297"/>
      <c r="E13" s="298" t="s">
        <v>24</v>
      </c>
      <c r="F13" s="299"/>
      <c r="G13" s="293" t="s">
        <v>25</v>
      </c>
      <c r="H13" s="297"/>
      <c r="I13" s="42" t="s">
        <v>26</v>
      </c>
      <c r="J13" s="316" t="s">
        <v>27</v>
      </c>
      <c r="K13" s="317"/>
      <c r="L13" s="318"/>
      <c r="M13" s="298" t="s">
        <v>28</v>
      </c>
      <c r="N13" s="299"/>
      <c r="O13" s="313" t="s">
        <v>29</v>
      </c>
      <c r="P13" s="314"/>
      <c r="Q13" s="45">
        <v>10</v>
      </c>
    </row>
    <row r="14" spans="1:32" ht="3" customHeight="1" thickBot="1">
      <c r="A14" s="46"/>
      <c r="B14" s="47"/>
      <c r="C14" s="48"/>
      <c r="D14" s="48"/>
      <c r="E14" s="49"/>
      <c r="F14" s="49"/>
      <c r="G14" s="48"/>
      <c r="H14" s="48"/>
      <c r="I14" s="48"/>
      <c r="J14" s="49"/>
      <c r="K14" s="48"/>
      <c r="L14" s="47"/>
      <c r="M14" s="12"/>
      <c r="N14" s="12"/>
      <c r="O14" s="12"/>
      <c r="P14" s="50"/>
      <c r="Q14" s="51"/>
    </row>
    <row r="15" spans="1:32" ht="2.25" customHeight="1" thickBot="1">
      <c r="A15" s="52"/>
      <c r="B15" s="53"/>
      <c r="C15" s="54"/>
      <c r="D15" s="54"/>
      <c r="E15" s="55"/>
      <c r="F15" s="55"/>
      <c r="G15" s="53"/>
      <c r="H15" s="53"/>
      <c r="I15" s="56"/>
      <c r="J15" s="56"/>
      <c r="K15" s="56"/>
      <c r="L15" s="54"/>
      <c r="M15" s="54"/>
      <c r="N15" s="56"/>
      <c r="O15" s="56"/>
      <c r="P15" s="53"/>
      <c r="Q15" s="57"/>
    </row>
    <row r="16" spans="1:32" ht="15.75" customHeight="1">
      <c r="A16" s="304" t="s">
        <v>30</v>
      </c>
      <c r="B16" s="326"/>
      <c r="C16" s="326"/>
      <c r="D16" s="326"/>
      <c r="E16" s="326"/>
      <c r="F16" s="326"/>
      <c r="G16" s="54"/>
      <c r="H16" s="54"/>
      <c r="I16" s="54"/>
      <c r="J16" s="54"/>
      <c r="K16" s="54"/>
      <c r="L16" s="54"/>
      <c r="M16" s="54"/>
      <c r="N16" s="58"/>
      <c r="O16" s="327"/>
      <c r="P16" s="327"/>
      <c r="Q16" s="328"/>
    </row>
    <row r="17" spans="1:18" ht="3" customHeight="1" thickBot="1">
      <c r="A17" s="59"/>
      <c r="B17" s="12"/>
      <c r="C17" s="12"/>
      <c r="D17" s="12"/>
      <c r="E17" s="12"/>
      <c r="F17" s="12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60"/>
    </row>
    <row r="18" spans="1:18" ht="12.75" customHeight="1">
      <c r="A18" s="329" t="s">
        <v>31</v>
      </c>
      <c r="B18" s="330"/>
      <c r="C18" s="330"/>
      <c r="D18" s="331"/>
      <c r="E18" s="61">
        <v>1</v>
      </c>
      <c r="F18" s="61">
        <v>2</v>
      </c>
      <c r="G18" s="61">
        <v>3</v>
      </c>
      <c r="H18" s="61">
        <v>4</v>
      </c>
      <c r="I18" s="61">
        <v>5</v>
      </c>
      <c r="J18" s="61">
        <v>6</v>
      </c>
      <c r="K18" s="61">
        <v>7</v>
      </c>
      <c r="L18" s="61">
        <v>8</v>
      </c>
      <c r="M18" s="61">
        <v>9</v>
      </c>
      <c r="N18" s="61">
        <v>10</v>
      </c>
      <c r="O18" s="62" t="s">
        <v>32</v>
      </c>
      <c r="P18" s="332" t="s">
        <v>33</v>
      </c>
      <c r="Q18" s="333"/>
    </row>
    <row r="19" spans="1:18" ht="18" customHeight="1">
      <c r="A19" s="63" t="s">
        <v>34</v>
      </c>
      <c r="B19" s="64" t="s">
        <v>35</v>
      </c>
      <c r="C19" s="65" t="str">
        <f>M7</f>
        <v>5002727</v>
      </c>
      <c r="D19" s="66">
        <v>1</v>
      </c>
      <c r="E19" s="67">
        <v>0.19</v>
      </c>
      <c r="F19" s="67">
        <v>0.86199999999999999</v>
      </c>
      <c r="G19" s="67">
        <v>0.91900000000000004</v>
      </c>
      <c r="H19" s="67">
        <v>1.0840000000000001</v>
      </c>
      <c r="I19" s="67">
        <v>1.0449999999999999</v>
      </c>
      <c r="J19" s="67">
        <v>1.0349999999999999</v>
      </c>
      <c r="K19" s="67">
        <v>1.151</v>
      </c>
      <c r="L19" s="67">
        <v>1.0609999999999999</v>
      </c>
      <c r="M19" s="67">
        <v>0.95099999999999996</v>
      </c>
      <c r="N19" s="67">
        <v>2.9660000000000002</v>
      </c>
      <c r="O19" s="68">
        <f>SUM(E19:N19)</f>
        <v>11.263999999999999</v>
      </c>
      <c r="P19" s="324">
        <f>AVERAGE(E19:N19)</f>
        <v>1.1263999999999998</v>
      </c>
      <c r="Q19" s="325"/>
    </row>
    <row r="20" spans="1:18" ht="18" customHeight="1">
      <c r="A20" s="69" t="s">
        <v>36</v>
      </c>
      <c r="B20" s="70"/>
      <c r="C20" s="71" t="str">
        <f>M7</f>
        <v>5002727</v>
      </c>
      <c r="D20" s="72">
        <v>2</v>
      </c>
      <c r="E20" s="67">
        <v>0.126</v>
      </c>
      <c r="F20" s="67">
        <v>0.85799999999999998</v>
      </c>
      <c r="G20" s="67">
        <v>0.874</v>
      </c>
      <c r="H20" s="67">
        <v>1.0389999999999999</v>
      </c>
      <c r="I20" s="67">
        <v>1.038</v>
      </c>
      <c r="J20" s="67">
        <v>1.252</v>
      </c>
      <c r="K20" s="67">
        <v>1.143</v>
      </c>
      <c r="L20" s="67">
        <v>1.0369999999999999</v>
      </c>
      <c r="M20" s="67">
        <v>0.81200000000000006</v>
      </c>
      <c r="N20" s="67">
        <v>2.93</v>
      </c>
      <c r="O20" s="68">
        <f>SUM(E20:N20)</f>
        <v>11.109</v>
      </c>
      <c r="P20" s="324">
        <f>AVERAGE(E20:N20)</f>
        <v>1.1109</v>
      </c>
      <c r="Q20" s="325"/>
    </row>
    <row r="21" spans="1:18" ht="18" customHeight="1">
      <c r="A21" s="73" t="s">
        <v>37</v>
      </c>
      <c r="B21" s="64"/>
      <c r="C21" s="65" t="str">
        <f>M7</f>
        <v>5002727</v>
      </c>
      <c r="D21" s="72">
        <v>3</v>
      </c>
      <c r="E21" s="67">
        <v>0.13900000000000001</v>
      </c>
      <c r="F21" s="67">
        <v>0.86299999999999999</v>
      </c>
      <c r="G21" s="67">
        <v>0.81499999999999995</v>
      </c>
      <c r="H21" s="67">
        <v>0.84599999999999997</v>
      </c>
      <c r="I21" s="67">
        <v>1.0940000000000001</v>
      </c>
      <c r="J21" s="67">
        <v>1.081</v>
      </c>
      <c r="K21" s="67">
        <v>1.0449999999999999</v>
      </c>
      <c r="L21" s="67">
        <v>1.0049999999999999</v>
      </c>
      <c r="M21" s="67">
        <v>0.81499999999999995</v>
      </c>
      <c r="N21" s="67">
        <v>2.9209999999999998</v>
      </c>
      <c r="O21" s="68">
        <f>SUM(E21:N21)</f>
        <v>10.623999999999999</v>
      </c>
      <c r="P21" s="320">
        <f>IF($D$18=2,"",AVERAGE(E21:N21))</f>
        <v>1.0623999999999998</v>
      </c>
      <c r="Q21" s="321"/>
      <c r="R21" s="32"/>
    </row>
    <row r="22" spans="1:18" ht="13.5" customHeight="1">
      <c r="A22" s="69" t="s">
        <v>38</v>
      </c>
      <c r="B22" s="70"/>
      <c r="C22" s="70"/>
      <c r="D22" s="74" t="s">
        <v>39</v>
      </c>
      <c r="E22" s="75">
        <f t="shared" ref="E22:N22" si="0">AVERAGE(E19:E21)</f>
        <v>0.15166666666666667</v>
      </c>
      <c r="F22" s="75">
        <f t="shared" si="0"/>
        <v>0.8610000000000001</v>
      </c>
      <c r="G22" s="75">
        <f t="shared" si="0"/>
        <v>0.8693333333333334</v>
      </c>
      <c r="H22" s="75">
        <f t="shared" si="0"/>
        <v>0.98966666666666681</v>
      </c>
      <c r="I22" s="75">
        <f t="shared" si="0"/>
        <v>1.0590000000000002</v>
      </c>
      <c r="J22" s="75">
        <f>AVERAGE(J19:J21)</f>
        <v>1.1226666666666667</v>
      </c>
      <c r="K22" s="75">
        <f t="shared" si="0"/>
        <v>1.113</v>
      </c>
      <c r="L22" s="75">
        <f t="shared" si="0"/>
        <v>1.0343333333333333</v>
      </c>
      <c r="M22" s="75">
        <f t="shared" si="0"/>
        <v>0.85933333333333328</v>
      </c>
      <c r="N22" s="75">
        <f t="shared" si="0"/>
        <v>2.9390000000000001</v>
      </c>
      <c r="O22" s="76"/>
      <c r="P22" s="77"/>
      <c r="Q22" s="78">
        <f>AVERAGE(E22:N22)</f>
        <v>1.0999000000000001</v>
      </c>
    </row>
    <row r="23" spans="1:18" ht="13.5" customHeight="1">
      <c r="A23" s="79"/>
      <c r="B23" s="80"/>
      <c r="C23" s="80"/>
      <c r="D23" s="81" t="s">
        <v>40</v>
      </c>
      <c r="E23" s="75">
        <f>SUM(E19:E21)</f>
        <v>0.45500000000000002</v>
      </c>
      <c r="F23" s="75">
        <f t="shared" ref="F23:N23" si="1">SUM(F19:F21)</f>
        <v>2.5830000000000002</v>
      </c>
      <c r="G23" s="75">
        <f t="shared" si="1"/>
        <v>2.6080000000000001</v>
      </c>
      <c r="H23" s="75">
        <f t="shared" si="1"/>
        <v>2.9690000000000003</v>
      </c>
      <c r="I23" s="75">
        <f t="shared" si="1"/>
        <v>3.1770000000000005</v>
      </c>
      <c r="J23" s="75">
        <f>SUM(J19:J21)</f>
        <v>3.3679999999999999</v>
      </c>
      <c r="K23" s="75">
        <f t="shared" si="1"/>
        <v>3.339</v>
      </c>
      <c r="L23" s="75">
        <f t="shared" si="1"/>
        <v>3.1029999999999998</v>
      </c>
      <c r="M23" s="75">
        <f t="shared" si="1"/>
        <v>2.5779999999999998</v>
      </c>
      <c r="N23" s="75">
        <f t="shared" si="1"/>
        <v>8.8170000000000002</v>
      </c>
      <c r="O23" s="82">
        <f>SUM(E23:N23)</f>
        <v>32.997</v>
      </c>
      <c r="P23" s="77"/>
      <c r="Q23" s="78"/>
    </row>
    <row r="24" spans="1:18" ht="13.5" customHeight="1" thickBot="1">
      <c r="A24" s="83" t="s">
        <v>41</v>
      </c>
      <c r="B24" s="84"/>
      <c r="C24" s="84"/>
      <c r="D24" s="85" t="s">
        <v>42</v>
      </c>
      <c r="E24" s="86">
        <f>MAX(E19:E21)-MIN(E19:E21)</f>
        <v>6.4000000000000001E-2</v>
      </c>
      <c r="F24" s="86">
        <f>MAX(F19:F21)-MIN(F19:F21)</f>
        <v>5.0000000000000044E-3</v>
      </c>
      <c r="G24" s="86">
        <f t="shared" ref="G24:N24" si="2">MAX(G19:G21)-MIN(G19:G21)</f>
        <v>0.10400000000000009</v>
      </c>
      <c r="H24" s="86">
        <f t="shared" si="2"/>
        <v>0.2380000000000001</v>
      </c>
      <c r="I24" s="86">
        <f t="shared" si="2"/>
        <v>5.600000000000005E-2</v>
      </c>
      <c r="J24" s="86">
        <f>MAX(J19:J21)-MIN(J19:J21)</f>
        <v>0.21700000000000008</v>
      </c>
      <c r="K24" s="86">
        <f t="shared" si="2"/>
        <v>0.10600000000000009</v>
      </c>
      <c r="L24" s="86">
        <f t="shared" si="2"/>
        <v>5.600000000000005E-2</v>
      </c>
      <c r="M24" s="86">
        <f t="shared" si="2"/>
        <v>0.1389999999999999</v>
      </c>
      <c r="N24" s="86">
        <f t="shared" si="2"/>
        <v>4.5000000000000373E-2</v>
      </c>
      <c r="O24" s="76"/>
      <c r="P24" s="87"/>
      <c r="Q24" s="88">
        <f>AVERAGE(E24:N24)</f>
        <v>0.10300000000000006</v>
      </c>
    </row>
    <row r="25" spans="1:18" ht="18" customHeight="1" thickTop="1">
      <c r="A25" s="73" t="s">
        <v>43</v>
      </c>
      <c r="B25" s="64" t="s">
        <v>44</v>
      </c>
      <c r="C25" s="65" t="str">
        <f>M9</f>
        <v>S059818</v>
      </c>
      <c r="D25" s="66">
        <v>1</v>
      </c>
      <c r="E25" s="67">
        <v>0.16500000000000001</v>
      </c>
      <c r="F25" s="67">
        <v>0.94899999999999995</v>
      </c>
      <c r="G25" s="67">
        <v>0.81599999999999995</v>
      </c>
      <c r="H25" s="67">
        <v>0.81</v>
      </c>
      <c r="I25" s="67">
        <v>1.0049999999999999</v>
      </c>
      <c r="J25" s="67">
        <v>1.0620000000000001</v>
      </c>
      <c r="K25" s="67">
        <v>1.02</v>
      </c>
      <c r="L25" s="67">
        <v>0.94699999999999995</v>
      </c>
      <c r="M25" s="67">
        <v>0.98899999999999999</v>
      </c>
      <c r="N25" s="67">
        <v>2.9060000000000001</v>
      </c>
      <c r="O25" s="68">
        <f>SUM(E25:N25)</f>
        <v>10.669</v>
      </c>
      <c r="P25" s="322">
        <f>AVERAGE(E25:N25)</f>
        <v>1.0669</v>
      </c>
      <c r="Q25" s="323"/>
    </row>
    <row r="26" spans="1:18" ht="18" customHeight="1">
      <c r="A26" s="73" t="s">
        <v>45</v>
      </c>
      <c r="B26" s="70"/>
      <c r="C26" s="71" t="str">
        <f>M9</f>
        <v>S059818</v>
      </c>
      <c r="D26" s="72">
        <v>2</v>
      </c>
      <c r="E26" s="67">
        <v>0.156</v>
      </c>
      <c r="F26" s="67">
        <v>0.99199999999999999</v>
      </c>
      <c r="G26" s="67">
        <v>0.82799999999999996</v>
      </c>
      <c r="H26" s="67">
        <v>1.0580000000000001</v>
      </c>
      <c r="I26" s="67">
        <v>1.032</v>
      </c>
      <c r="J26" s="67">
        <v>1.113</v>
      </c>
      <c r="K26" s="67">
        <v>1.0189999999999999</v>
      </c>
      <c r="L26" s="67">
        <v>0.94699999999999995</v>
      </c>
      <c r="M26" s="67">
        <v>0.98899999999999999</v>
      </c>
      <c r="N26" s="67">
        <v>2.9569999999999999</v>
      </c>
      <c r="O26" s="68">
        <f>SUM(E26:N26)</f>
        <v>11.091000000000001</v>
      </c>
      <c r="P26" s="324">
        <f>AVERAGE(E26:N26)</f>
        <v>1.1091000000000002</v>
      </c>
      <c r="Q26" s="325"/>
    </row>
    <row r="27" spans="1:18" ht="18" customHeight="1">
      <c r="A27" s="69" t="s">
        <v>46</v>
      </c>
      <c r="B27" s="64"/>
      <c r="C27" s="65" t="str">
        <f>M9</f>
        <v>S059818</v>
      </c>
      <c r="D27" s="72">
        <v>3</v>
      </c>
      <c r="E27" s="67">
        <v>0.115</v>
      </c>
      <c r="F27" s="67">
        <v>0.98699999999999999</v>
      </c>
      <c r="G27" s="67">
        <v>0.82799999999999996</v>
      </c>
      <c r="H27" s="67">
        <v>1.0489999999999999</v>
      </c>
      <c r="I27" s="67">
        <v>1.0009999999999999</v>
      </c>
      <c r="J27" s="67">
        <v>1.1879999999999999</v>
      </c>
      <c r="K27" s="67">
        <v>0.82899999999999996</v>
      </c>
      <c r="L27" s="67">
        <v>0.82599999999999996</v>
      </c>
      <c r="M27" s="67">
        <v>0.96099999999999997</v>
      </c>
      <c r="N27" s="67">
        <v>2.8650000000000002</v>
      </c>
      <c r="O27" s="68">
        <f>SUM(E27:N27)</f>
        <v>10.649000000000001</v>
      </c>
      <c r="P27" s="324">
        <f>IF($D$18=2,"",AVERAGE(E27:N27))</f>
        <v>1.0649000000000002</v>
      </c>
      <c r="Q27" s="325"/>
    </row>
    <row r="28" spans="1:18" ht="13.5" customHeight="1">
      <c r="A28" s="73" t="s">
        <v>47</v>
      </c>
      <c r="B28" s="70"/>
      <c r="C28" s="70"/>
      <c r="D28" s="74" t="s">
        <v>39</v>
      </c>
      <c r="E28" s="75">
        <f t="shared" ref="E28:N28" si="3">AVERAGE(E25:E27)</f>
        <v>0.14533333333333334</v>
      </c>
      <c r="F28" s="75">
        <f t="shared" si="3"/>
        <v>0.97599999999999998</v>
      </c>
      <c r="G28" s="75">
        <f t="shared" si="3"/>
        <v>0.82399999999999995</v>
      </c>
      <c r="H28" s="75">
        <f t="shared" si="3"/>
        <v>0.97233333333333327</v>
      </c>
      <c r="I28" s="75">
        <f t="shared" si="3"/>
        <v>1.0126666666666666</v>
      </c>
      <c r="J28" s="75">
        <f t="shared" si="3"/>
        <v>1.1209999999999998</v>
      </c>
      <c r="K28" s="75">
        <f t="shared" si="3"/>
        <v>0.95599999999999985</v>
      </c>
      <c r="L28" s="75">
        <f t="shared" si="3"/>
        <v>0.90666666666666662</v>
      </c>
      <c r="M28" s="75">
        <f t="shared" si="3"/>
        <v>0.97966666666666669</v>
      </c>
      <c r="N28" s="75">
        <f t="shared" si="3"/>
        <v>2.9093333333333331</v>
      </c>
      <c r="O28" s="89"/>
      <c r="P28" s="77"/>
      <c r="Q28" s="78">
        <f>AVERAGE(E28:N28)</f>
        <v>1.0802999999999998</v>
      </c>
    </row>
    <row r="29" spans="1:18" ht="13.5" customHeight="1">
      <c r="A29" s="4"/>
      <c r="B29" s="80"/>
      <c r="C29" s="80"/>
      <c r="D29" s="81" t="s">
        <v>48</v>
      </c>
      <c r="E29" s="86">
        <f>SUM(E25:E27)</f>
        <v>0.436</v>
      </c>
      <c r="F29" s="86">
        <f t="shared" ref="F29:N29" si="4">SUM(F25:F27)</f>
        <v>2.9279999999999999</v>
      </c>
      <c r="G29" s="86">
        <f t="shared" si="4"/>
        <v>2.472</v>
      </c>
      <c r="H29" s="86">
        <f t="shared" si="4"/>
        <v>2.9169999999999998</v>
      </c>
      <c r="I29" s="86">
        <f t="shared" si="4"/>
        <v>3.0379999999999998</v>
      </c>
      <c r="J29" s="86">
        <f t="shared" si="4"/>
        <v>3.3629999999999995</v>
      </c>
      <c r="K29" s="86">
        <f t="shared" si="4"/>
        <v>2.8679999999999994</v>
      </c>
      <c r="L29" s="86">
        <f t="shared" si="4"/>
        <v>2.7199999999999998</v>
      </c>
      <c r="M29" s="86">
        <f t="shared" si="4"/>
        <v>2.9390000000000001</v>
      </c>
      <c r="N29" s="86">
        <f t="shared" si="4"/>
        <v>8.7279999999999998</v>
      </c>
      <c r="O29" s="82">
        <f>SUM(E29:N29)</f>
        <v>32.408999999999999</v>
      </c>
      <c r="P29" s="77"/>
      <c r="Q29" s="78"/>
    </row>
    <row r="30" spans="1:18" ht="13.5" customHeight="1" thickBot="1">
      <c r="A30" s="83" t="s">
        <v>49</v>
      </c>
      <c r="B30" s="84"/>
      <c r="C30" s="84"/>
      <c r="D30" s="85" t="s">
        <v>42</v>
      </c>
      <c r="E30" s="86">
        <f t="shared" ref="E30:N30" si="5">MAX(E25:E27)-MIN(E25:E27)</f>
        <v>0.05</v>
      </c>
      <c r="F30" s="86">
        <f t="shared" si="5"/>
        <v>4.3000000000000038E-2</v>
      </c>
      <c r="G30" s="86">
        <f t="shared" si="5"/>
        <v>1.2000000000000011E-2</v>
      </c>
      <c r="H30" s="86">
        <f t="shared" si="5"/>
        <v>0.248</v>
      </c>
      <c r="I30" s="86">
        <f t="shared" si="5"/>
        <v>3.1000000000000139E-2</v>
      </c>
      <c r="J30" s="86">
        <f t="shared" si="5"/>
        <v>0.12599999999999989</v>
      </c>
      <c r="K30" s="86">
        <f t="shared" si="5"/>
        <v>0.19100000000000006</v>
      </c>
      <c r="L30" s="86">
        <f t="shared" si="5"/>
        <v>0.121</v>
      </c>
      <c r="M30" s="86">
        <f t="shared" si="5"/>
        <v>2.8000000000000025E-2</v>
      </c>
      <c r="N30" s="86">
        <f t="shared" si="5"/>
        <v>9.1999999999999638E-2</v>
      </c>
      <c r="O30" s="89"/>
      <c r="P30" s="87"/>
      <c r="Q30" s="88">
        <f>AVERAGE(E30:N30)</f>
        <v>9.4199999999999978E-2</v>
      </c>
    </row>
    <row r="31" spans="1:18" ht="18" customHeight="1" thickTop="1">
      <c r="A31" s="73" t="s">
        <v>50</v>
      </c>
      <c r="B31" s="64" t="s">
        <v>51</v>
      </c>
      <c r="C31" s="65" t="str">
        <f>M11</f>
        <v>6019635</v>
      </c>
      <c r="D31" s="66">
        <v>1</v>
      </c>
      <c r="E31" s="67">
        <v>0.10199999999999999</v>
      </c>
      <c r="F31" s="67">
        <v>0.80600000000000005</v>
      </c>
      <c r="G31" s="67">
        <v>0.85699999999999998</v>
      </c>
      <c r="H31" s="67">
        <v>1.0780000000000001</v>
      </c>
      <c r="I31" s="67">
        <v>1.03</v>
      </c>
      <c r="J31" s="67">
        <v>1.1990000000000001</v>
      </c>
      <c r="K31" s="67">
        <v>0.88400000000000001</v>
      </c>
      <c r="L31" s="67">
        <v>1.0349999999999999</v>
      </c>
      <c r="M31" s="67">
        <v>0.93700000000000006</v>
      </c>
      <c r="N31" s="67">
        <v>2.8239999999999998</v>
      </c>
      <c r="O31" s="82">
        <f>SUM(E31:N31)</f>
        <v>10.752000000000001</v>
      </c>
      <c r="P31" s="324">
        <f>AVERAGE(E31:N31)</f>
        <v>1.0752000000000002</v>
      </c>
      <c r="Q31" s="325"/>
    </row>
    <row r="32" spans="1:18" ht="18" customHeight="1">
      <c r="A32" s="69" t="s">
        <v>52</v>
      </c>
      <c r="B32" s="70"/>
      <c r="C32" s="71" t="str">
        <f>M11</f>
        <v>6019635</v>
      </c>
      <c r="D32" s="72">
        <v>2</v>
      </c>
      <c r="E32" s="67">
        <v>0.106</v>
      </c>
      <c r="F32" s="67">
        <v>0.86899999999999999</v>
      </c>
      <c r="G32" s="67">
        <v>0.83199999999999996</v>
      </c>
      <c r="H32" s="67">
        <v>1.1870000000000001</v>
      </c>
      <c r="I32" s="67">
        <v>1.077</v>
      </c>
      <c r="J32" s="67">
        <v>1.054</v>
      </c>
      <c r="K32" s="67">
        <v>1.131</v>
      </c>
      <c r="L32" s="67">
        <v>1.0189999999999999</v>
      </c>
      <c r="M32" s="67">
        <v>0.92500000000000004</v>
      </c>
      <c r="N32" s="67">
        <v>2.9780000000000002</v>
      </c>
      <c r="O32" s="82">
        <f>SUM(E32:N32)</f>
        <v>11.178000000000001</v>
      </c>
      <c r="P32" s="324">
        <f>AVERAGE(E32:N32)</f>
        <v>1.1178000000000001</v>
      </c>
      <c r="Q32" s="325"/>
    </row>
    <row r="33" spans="1:19" ht="18" customHeight="1">
      <c r="A33" s="73" t="s">
        <v>53</v>
      </c>
      <c r="B33" s="64"/>
      <c r="C33" s="65" t="str">
        <f>M11</f>
        <v>6019635</v>
      </c>
      <c r="D33" s="72">
        <v>3</v>
      </c>
      <c r="E33" s="67">
        <v>0.113</v>
      </c>
      <c r="F33" s="67">
        <v>0.90700000000000003</v>
      </c>
      <c r="G33" s="67">
        <v>0.82899999999999996</v>
      </c>
      <c r="H33" s="67">
        <v>1.1870000000000001</v>
      </c>
      <c r="I33" s="67">
        <v>1.0900000000000001</v>
      </c>
      <c r="J33" s="67">
        <v>1.125</v>
      </c>
      <c r="K33" s="67">
        <v>1.004</v>
      </c>
      <c r="L33" s="216">
        <v>1</v>
      </c>
      <c r="M33" s="67">
        <v>0.98899999999999999</v>
      </c>
      <c r="N33" s="67">
        <v>2.9529999999999998</v>
      </c>
      <c r="O33" s="82">
        <f>SUM(E33:N33)</f>
        <v>11.197000000000001</v>
      </c>
      <c r="P33" s="324">
        <f>IF($D$18=2,"",AVERAGE(E33:N33))</f>
        <v>1.1197000000000001</v>
      </c>
      <c r="Q33" s="325"/>
    </row>
    <row r="34" spans="1:19" ht="13.5" customHeight="1">
      <c r="A34" s="69" t="s">
        <v>54</v>
      </c>
      <c r="B34" s="70"/>
      <c r="C34" s="70"/>
      <c r="D34" s="74" t="s">
        <v>39</v>
      </c>
      <c r="E34" s="90">
        <f>AVERAGE(E31:E33)</f>
        <v>0.107</v>
      </c>
      <c r="F34" s="90">
        <f t="shared" ref="F34:N34" si="6">IF(F31="",NA(),AVERAGE(F31:F33))</f>
        <v>0.86066666666666658</v>
      </c>
      <c r="G34" s="90">
        <f>IF(G31="",NA(),AVERAGE(G31:G33))</f>
        <v>0.83933333333333326</v>
      </c>
      <c r="H34" s="90">
        <f t="shared" si="6"/>
        <v>1.1506666666666667</v>
      </c>
      <c r="I34" s="90">
        <f t="shared" si="6"/>
        <v>1.0656666666666668</v>
      </c>
      <c r="J34" s="90">
        <f t="shared" si="6"/>
        <v>1.1260000000000001</v>
      </c>
      <c r="K34" s="90">
        <f t="shared" si="6"/>
        <v>1.0063333333333333</v>
      </c>
      <c r="L34" s="90">
        <f t="shared" si="6"/>
        <v>1.018</v>
      </c>
      <c r="M34" s="90">
        <f t="shared" si="6"/>
        <v>0.95033333333333336</v>
      </c>
      <c r="N34" s="90">
        <f t="shared" si="6"/>
        <v>2.918333333333333</v>
      </c>
      <c r="O34" s="89"/>
      <c r="P34" s="77"/>
      <c r="Q34" s="78">
        <f>AVERAGE(E34:N34)</f>
        <v>1.1042333333333334</v>
      </c>
      <c r="R34" s="32"/>
    </row>
    <row r="35" spans="1:19" ht="13.5" customHeight="1">
      <c r="A35" s="79"/>
      <c r="B35" s="80"/>
      <c r="C35" s="80"/>
      <c r="D35" s="81" t="s">
        <v>259</v>
      </c>
      <c r="E35" s="91">
        <f t="shared" ref="E35:N35" si="7">SUM(E31:E33)</f>
        <v>0.32100000000000001</v>
      </c>
      <c r="F35" s="91">
        <f t="shared" si="7"/>
        <v>2.5819999999999999</v>
      </c>
      <c r="G35" s="91">
        <f t="shared" si="7"/>
        <v>2.5179999999999998</v>
      </c>
      <c r="H35" s="91">
        <f t="shared" si="7"/>
        <v>3.452</v>
      </c>
      <c r="I35" s="91">
        <f t="shared" si="7"/>
        <v>3.1970000000000001</v>
      </c>
      <c r="J35" s="91">
        <f t="shared" si="7"/>
        <v>3.3780000000000001</v>
      </c>
      <c r="K35" s="91">
        <f t="shared" si="7"/>
        <v>3.0190000000000001</v>
      </c>
      <c r="L35" s="91">
        <f t="shared" si="7"/>
        <v>3.0539999999999998</v>
      </c>
      <c r="M35" s="91">
        <f t="shared" si="7"/>
        <v>2.851</v>
      </c>
      <c r="N35" s="91">
        <f t="shared" si="7"/>
        <v>8.754999999999999</v>
      </c>
      <c r="O35" s="89">
        <f>SUM(E35:N35)</f>
        <v>33.126999999999995</v>
      </c>
      <c r="P35" s="77"/>
      <c r="Q35" s="78"/>
    </row>
    <row r="36" spans="1:19" ht="13.5" customHeight="1" thickBot="1">
      <c r="A36" s="83" t="s">
        <v>55</v>
      </c>
      <c r="B36" s="84"/>
      <c r="C36" s="84"/>
      <c r="D36" s="85" t="s">
        <v>42</v>
      </c>
      <c r="E36" s="92">
        <f>IF(E31="",NA(),MAX(E31:E33)-MIN(E31:E33))</f>
        <v>1.100000000000001E-2</v>
      </c>
      <c r="F36" s="93">
        <f t="shared" ref="F36:M36" si="8">IF(F31="",NA(),MAX(F31:F33)-MIN(F31:F33))</f>
        <v>0.10099999999999998</v>
      </c>
      <c r="G36" s="93">
        <f t="shared" si="8"/>
        <v>2.8000000000000025E-2</v>
      </c>
      <c r="H36" s="93">
        <f t="shared" si="8"/>
        <v>0.10899999999999999</v>
      </c>
      <c r="I36" s="93">
        <f t="shared" si="8"/>
        <v>6.0000000000000053E-2</v>
      </c>
      <c r="J36" s="93">
        <f t="shared" si="8"/>
        <v>0.14500000000000002</v>
      </c>
      <c r="K36" s="93">
        <f t="shared" si="8"/>
        <v>0.247</v>
      </c>
      <c r="L36" s="94">
        <f t="shared" si="8"/>
        <v>3.499999999999992E-2</v>
      </c>
      <c r="M36" s="94">
        <f t="shared" si="8"/>
        <v>6.3999999999999946E-2</v>
      </c>
      <c r="N36" s="95">
        <f>IF(N31="",NA(),MAX(N31:N33)-MIN(N31:N33))</f>
        <v>0.15400000000000036</v>
      </c>
      <c r="O36" s="96"/>
      <c r="P36" s="87"/>
      <c r="Q36" s="88">
        <f>AVERAGE(E36:N36)</f>
        <v>9.5400000000000026E-2</v>
      </c>
    </row>
    <row r="37" spans="1:19" ht="19.5" customHeight="1" thickTop="1">
      <c r="A37" s="335" t="s">
        <v>56</v>
      </c>
      <c r="B37" s="336"/>
      <c r="C37" s="336"/>
      <c r="D37" s="337"/>
      <c r="E37" s="97">
        <f t="shared" ref="E37:N37" si="9">AVERAGE(E19:E21,E25:E27,E31:E33)</f>
        <v>0.13466666666666666</v>
      </c>
      <c r="F37" s="97">
        <f t="shared" si="9"/>
        <v>0.89922222222222226</v>
      </c>
      <c r="G37" s="97">
        <f t="shared" si="9"/>
        <v>0.84422222222222221</v>
      </c>
      <c r="H37" s="97">
        <f t="shared" si="9"/>
        <v>1.0375555555555556</v>
      </c>
      <c r="I37" s="97">
        <f t="shared" si="9"/>
        <v>1.0457777777777777</v>
      </c>
      <c r="J37" s="97">
        <f>AVERAGE(J19:J21,J25:J27,J31:J33)</f>
        <v>1.1232222222222221</v>
      </c>
      <c r="K37" s="97">
        <f t="shared" si="9"/>
        <v>1.0251111111111111</v>
      </c>
      <c r="L37" s="97">
        <f t="shared" si="9"/>
        <v>0.98633333333333317</v>
      </c>
      <c r="M37" s="97">
        <f t="shared" si="9"/>
        <v>0.92977777777777781</v>
      </c>
      <c r="N37" s="97">
        <f t="shared" si="9"/>
        <v>2.9222222222222225</v>
      </c>
      <c r="O37" s="98"/>
      <c r="P37" s="5"/>
      <c r="Q37" s="99">
        <f>AVERAGE(E37:N37)</f>
        <v>1.0948111111111112</v>
      </c>
    </row>
    <row r="38" spans="1:19" ht="15" customHeight="1" thickBot="1">
      <c r="A38" s="338" t="s">
        <v>32</v>
      </c>
      <c r="B38" s="339"/>
      <c r="C38" s="339"/>
      <c r="D38" s="340"/>
      <c r="E38" s="100">
        <f t="shared" ref="E38:N38" si="10">SUM(E19:E21,E25:E27,E31:E33)</f>
        <v>1.212</v>
      </c>
      <c r="F38" s="100">
        <f t="shared" si="10"/>
        <v>8.093</v>
      </c>
      <c r="G38" s="100">
        <f t="shared" si="10"/>
        <v>7.5979999999999999</v>
      </c>
      <c r="H38" s="100">
        <f t="shared" si="10"/>
        <v>9.338000000000001</v>
      </c>
      <c r="I38" s="100">
        <f t="shared" si="10"/>
        <v>9.411999999999999</v>
      </c>
      <c r="J38" s="100">
        <f>SUM(J19:J21,J25:J27,J31:J33)</f>
        <v>10.108999999999998</v>
      </c>
      <c r="K38" s="100">
        <f t="shared" si="10"/>
        <v>9.2259999999999991</v>
      </c>
      <c r="L38" s="100">
        <f t="shared" si="10"/>
        <v>8.8769999999999989</v>
      </c>
      <c r="M38" s="100">
        <f t="shared" si="10"/>
        <v>8.3680000000000003</v>
      </c>
      <c r="N38" s="100">
        <f t="shared" si="10"/>
        <v>26.3</v>
      </c>
      <c r="O38" s="101">
        <f>SUM(E38:N38)</f>
        <v>98.532999999999987</v>
      </c>
      <c r="P38" s="12"/>
      <c r="Q38" s="102">
        <f>MAX(E37:N37)-MIN(E37:N37)</f>
        <v>2.787555555555556</v>
      </c>
    </row>
    <row r="39" spans="1:19" ht="37.5" customHeight="1">
      <c r="A39" s="341"/>
      <c r="B39" s="342"/>
      <c r="C39" s="342"/>
      <c r="D39" s="342"/>
      <c r="E39" s="64"/>
      <c r="F39" s="103"/>
      <c r="G39" s="64"/>
      <c r="H39" s="104"/>
      <c r="I39" s="105">
        <f>IF(Q9=2,(Q24+Q30)/2,(Q24+Q30+Q36)/3)</f>
        <v>9.7533333333333361E-2</v>
      </c>
      <c r="J39" s="105"/>
      <c r="K39" s="64"/>
      <c r="L39" s="106"/>
      <c r="M39" s="342" t="s">
        <v>57</v>
      </c>
      <c r="N39" s="343"/>
      <c r="O39" s="107"/>
      <c r="P39" s="107">
        <v>2</v>
      </c>
      <c r="Q39" s="108">
        <v>3</v>
      </c>
      <c r="R39" s="32"/>
    </row>
    <row r="40" spans="1:19" ht="38.25" customHeight="1">
      <c r="A40" s="109"/>
      <c r="B40" s="344"/>
      <c r="C40" s="344"/>
      <c r="D40" s="344"/>
      <c r="E40" s="70"/>
      <c r="F40" s="70"/>
      <c r="G40" s="110"/>
      <c r="H40" s="70"/>
      <c r="I40" s="345">
        <f>MAX(Q22,Q28,Q34)-MIN(Q22,Q28,Q34)</f>
        <v>2.3933333333333584E-2</v>
      </c>
      <c r="J40" s="345"/>
      <c r="K40" s="70"/>
      <c r="L40" s="70"/>
      <c r="M40" s="111"/>
      <c r="N40" s="112"/>
      <c r="O40" s="112" t="s">
        <v>58</v>
      </c>
      <c r="P40" s="112">
        <v>3.2669999999999999</v>
      </c>
      <c r="Q40" s="113">
        <v>2.5750000000000002</v>
      </c>
    </row>
    <row r="41" spans="1:19" ht="15.75" customHeight="1">
      <c r="A41" s="109"/>
      <c r="B41" s="344"/>
      <c r="C41" s="344"/>
      <c r="D41" s="344"/>
      <c r="E41" s="70"/>
      <c r="F41" s="110"/>
      <c r="G41" s="114">
        <f>IF(Q11=2,Q37+P42*I39,Q37+Q42*I39)</f>
        <v>1.1945877111111112</v>
      </c>
      <c r="H41" s="70"/>
      <c r="I41" s="70"/>
      <c r="J41" s="70"/>
      <c r="K41" s="70"/>
      <c r="L41" s="114">
        <f>IF(Q11=2,P40*I39,Q40*I39)</f>
        <v>0.25114833333333342</v>
      </c>
      <c r="M41" s="111"/>
      <c r="N41" s="112"/>
      <c r="O41" s="112" t="s">
        <v>59</v>
      </c>
      <c r="P41" s="112">
        <v>0</v>
      </c>
      <c r="Q41" s="113">
        <v>0</v>
      </c>
    </row>
    <row r="42" spans="1:19" ht="15.75" customHeight="1" thickBot="1">
      <c r="A42" s="115"/>
      <c r="B42" s="346"/>
      <c r="C42" s="346"/>
      <c r="D42" s="346"/>
      <c r="E42" s="80"/>
      <c r="F42" s="116"/>
      <c r="G42" s="117">
        <f>IF(Q11=2,Q37-P42*I39,Q37-Q42*I39)</f>
        <v>0.99503451111111119</v>
      </c>
      <c r="H42" s="80"/>
      <c r="I42" s="80"/>
      <c r="J42" s="80"/>
      <c r="K42" s="80"/>
      <c r="L42" s="117">
        <f>IF(Q11=2,P41*I39,Q41*I39)</f>
        <v>0</v>
      </c>
      <c r="M42" s="118"/>
      <c r="N42" s="119"/>
      <c r="O42" s="119" t="s">
        <v>60</v>
      </c>
      <c r="P42" s="119">
        <v>1.88</v>
      </c>
      <c r="Q42" s="120">
        <v>1.0229999999999999</v>
      </c>
    </row>
    <row r="43" spans="1:19" ht="15.75" customHeight="1" thickBot="1">
      <c r="A43" s="347" t="s">
        <v>61</v>
      </c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8"/>
      <c r="Q43" s="349"/>
    </row>
    <row r="44" spans="1:19" s="122" customFormat="1" ht="15">
      <c r="A44" s="350" t="s">
        <v>62</v>
      </c>
      <c r="B44" s="351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21"/>
      <c r="S44" s="121"/>
    </row>
    <row r="45" spans="1:19" s="122" customFormat="1" ht="15">
      <c r="A45" s="350"/>
      <c r="B45" s="351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21"/>
      <c r="S45" s="121"/>
    </row>
    <row r="46" spans="1:19" s="122" customFormat="1" ht="15">
      <c r="A46" s="350"/>
      <c r="B46" s="351"/>
      <c r="C46" s="185"/>
      <c r="D46" s="185"/>
      <c r="E46" s="185">
        <v>1</v>
      </c>
      <c r="F46" s="185">
        <v>2</v>
      </c>
      <c r="G46" s="185">
        <v>3</v>
      </c>
      <c r="H46" s="185">
        <v>4</v>
      </c>
      <c r="I46" s="185">
        <v>5</v>
      </c>
      <c r="J46" s="185">
        <v>6</v>
      </c>
      <c r="K46" s="185">
        <v>7</v>
      </c>
      <c r="L46" s="185">
        <v>8</v>
      </c>
      <c r="M46" s="185">
        <v>9</v>
      </c>
      <c r="N46" s="185">
        <v>10</v>
      </c>
      <c r="O46" s="185"/>
      <c r="P46" s="185"/>
      <c r="Q46" s="185"/>
      <c r="R46" s="121"/>
      <c r="S46" s="121"/>
    </row>
    <row r="47" spans="1:19" s="122" customFormat="1" ht="15">
      <c r="A47" s="350"/>
      <c r="B47" s="351"/>
      <c r="C47" s="185"/>
      <c r="D47" s="185" t="s">
        <v>63</v>
      </c>
      <c r="E47" s="185">
        <f t="shared" ref="E47:N47" si="11">$G$41</f>
        <v>1.1945877111111112</v>
      </c>
      <c r="F47" s="185">
        <f t="shared" si="11"/>
        <v>1.1945877111111112</v>
      </c>
      <c r="G47" s="185">
        <f t="shared" si="11"/>
        <v>1.1945877111111112</v>
      </c>
      <c r="H47" s="185">
        <f t="shared" si="11"/>
        <v>1.1945877111111112</v>
      </c>
      <c r="I47" s="185">
        <f t="shared" si="11"/>
        <v>1.1945877111111112</v>
      </c>
      <c r="J47" s="185">
        <f t="shared" si="11"/>
        <v>1.1945877111111112</v>
      </c>
      <c r="K47" s="185">
        <f t="shared" si="11"/>
        <v>1.1945877111111112</v>
      </c>
      <c r="L47" s="185">
        <f t="shared" si="11"/>
        <v>1.1945877111111112</v>
      </c>
      <c r="M47" s="185">
        <f t="shared" si="11"/>
        <v>1.1945877111111112</v>
      </c>
      <c r="N47" s="185">
        <f t="shared" si="11"/>
        <v>1.1945877111111112</v>
      </c>
      <c r="O47" s="185"/>
      <c r="P47" s="185"/>
      <c r="Q47" s="185"/>
      <c r="R47" s="121"/>
      <c r="S47" s="121"/>
    </row>
    <row r="48" spans="1:19" s="122" customFormat="1" ht="15">
      <c r="A48" s="350"/>
      <c r="B48" s="351"/>
      <c r="C48" s="185"/>
      <c r="D48" s="185" t="s">
        <v>64</v>
      </c>
      <c r="E48" s="185">
        <f t="shared" ref="E48:N48" si="12">$G$42</f>
        <v>0.99503451111111119</v>
      </c>
      <c r="F48" s="185">
        <f t="shared" si="12"/>
        <v>0.99503451111111119</v>
      </c>
      <c r="G48" s="185">
        <f t="shared" si="12"/>
        <v>0.99503451111111119</v>
      </c>
      <c r="H48" s="185">
        <f t="shared" si="12"/>
        <v>0.99503451111111119</v>
      </c>
      <c r="I48" s="185">
        <f t="shared" si="12"/>
        <v>0.99503451111111119</v>
      </c>
      <c r="J48" s="185">
        <f t="shared" si="12"/>
        <v>0.99503451111111119</v>
      </c>
      <c r="K48" s="185">
        <f t="shared" si="12"/>
        <v>0.99503451111111119</v>
      </c>
      <c r="L48" s="185">
        <f t="shared" si="12"/>
        <v>0.99503451111111119</v>
      </c>
      <c r="M48" s="185">
        <f t="shared" si="12"/>
        <v>0.99503451111111119</v>
      </c>
      <c r="N48" s="185">
        <f t="shared" si="12"/>
        <v>0.99503451111111119</v>
      </c>
      <c r="O48" s="185"/>
      <c r="P48" s="185"/>
      <c r="Q48" s="185"/>
      <c r="R48" s="121"/>
      <c r="S48" s="121"/>
    </row>
    <row r="49" spans="1:19" s="122" customFormat="1" ht="15">
      <c r="A49" s="350"/>
      <c r="B49" s="351"/>
      <c r="C49" s="185"/>
      <c r="D49" s="185" t="s">
        <v>169</v>
      </c>
      <c r="E49" s="185">
        <f t="shared" ref="E49:N49" si="13">$L$41</f>
        <v>0.25114833333333342</v>
      </c>
      <c r="F49" s="185">
        <f t="shared" si="13"/>
        <v>0.25114833333333342</v>
      </c>
      <c r="G49" s="185">
        <f t="shared" si="13"/>
        <v>0.25114833333333342</v>
      </c>
      <c r="H49" s="185">
        <f t="shared" si="13"/>
        <v>0.25114833333333342</v>
      </c>
      <c r="I49" s="185">
        <f t="shared" si="13"/>
        <v>0.25114833333333342</v>
      </c>
      <c r="J49" s="185">
        <f t="shared" si="13"/>
        <v>0.25114833333333342</v>
      </c>
      <c r="K49" s="185">
        <f t="shared" si="13"/>
        <v>0.25114833333333342</v>
      </c>
      <c r="L49" s="185">
        <f t="shared" si="13"/>
        <v>0.25114833333333342</v>
      </c>
      <c r="M49" s="185">
        <f t="shared" si="13"/>
        <v>0.25114833333333342</v>
      </c>
      <c r="N49" s="185">
        <f t="shared" si="13"/>
        <v>0.25114833333333342</v>
      </c>
      <c r="O49" s="185"/>
      <c r="P49" s="185"/>
      <c r="Q49" s="185"/>
      <c r="R49" s="121"/>
      <c r="S49" s="121"/>
    </row>
    <row r="50" spans="1:19" s="122" customFormat="1" ht="15">
      <c r="A50" s="350"/>
      <c r="B50" s="351"/>
      <c r="C50" s="185"/>
      <c r="D50" s="185" t="s">
        <v>170</v>
      </c>
      <c r="E50" s="185">
        <f t="shared" ref="E50:N50" si="14">$L$42</f>
        <v>0</v>
      </c>
      <c r="F50" s="185">
        <f t="shared" si="14"/>
        <v>0</v>
      </c>
      <c r="G50" s="185">
        <f t="shared" si="14"/>
        <v>0</v>
      </c>
      <c r="H50" s="185">
        <f t="shared" si="14"/>
        <v>0</v>
      </c>
      <c r="I50" s="185">
        <f t="shared" si="14"/>
        <v>0</v>
      </c>
      <c r="J50" s="185">
        <f t="shared" si="14"/>
        <v>0</v>
      </c>
      <c r="K50" s="185">
        <f t="shared" si="14"/>
        <v>0</v>
      </c>
      <c r="L50" s="185">
        <f t="shared" si="14"/>
        <v>0</v>
      </c>
      <c r="M50" s="185">
        <f t="shared" si="14"/>
        <v>0</v>
      </c>
      <c r="N50" s="185">
        <f t="shared" si="14"/>
        <v>0</v>
      </c>
      <c r="O50" s="185"/>
      <c r="P50" s="185"/>
      <c r="Q50" s="185"/>
      <c r="R50" s="121"/>
      <c r="S50" s="121"/>
    </row>
    <row r="51" spans="1:19" s="122" customFormat="1" ht="15">
      <c r="A51" s="350"/>
      <c r="B51" s="351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21"/>
      <c r="S51" s="121"/>
    </row>
    <row r="52" spans="1:19" s="122" customFormat="1" ht="15">
      <c r="A52" s="350"/>
      <c r="B52" s="351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21"/>
      <c r="S52" s="121"/>
    </row>
    <row r="53" spans="1:19" s="122" customFormat="1" ht="15">
      <c r="A53" s="350"/>
      <c r="B53" s="351"/>
      <c r="C53" s="185"/>
      <c r="D53" s="185"/>
      <c r="E53" s="185" t="s">
        <v>171</v>
      </c>
      <c r="F53" s="185"/>
      <c r="G53" s="185"/>
      <c r="H53" s="185"/>
      <c r="I53" s="185" t="s">
        <v>65</v>
      </c>
      <c r="J53" s="185"/>
      <c r="K53" s="185"/>
      <c r="L53" s="185" t="s">
        <v>66</v>
      </c>
      <c r="M53" s="185" t="s">
        <v>172</v>
      </c>
      <c r="N53" s="185"/>
      <c r="O53" s="185"/>
      <c r="P53" s="185"/>
      <c r="Q53" s="185"/>
      <c r="R53" s="121"/>
      <c r="S53" s="121"/>
    </row>
    <row r="54" spans="1:19" s="122" customFormat="1" ht="15">
      <c r="A54" s="350"/>
      <c r="B54" s="351"/>
      <c r="C54" s="185"/>
      <c r="D54" s="185"/>
      <c r="E54" s="185" t="s">
        <v>67</v>
      </c>
      <c r="F54" s="334" t="e">
        <f>N54</f>
        <v>#REF!</v>
      </c>
      <c r="G54" s="334"/>
      <c r="H54" s="185"/>
      <c r="I54" s="185" t="s">
        <v>67</v>
      </c>
      <c r="J54" s="334" t="e">
        <f>N54</f>
        <v>#REF!</v>
      </c>
      <c r="K54" s="334"/>
      <c r="L54" s="185" t="e">
        <f>J54</f>
        <v>#REF!</v>
      </c>
      <c r="M54" s="185" t="s">
        <v>67</v>
      </c>
      <c r="N54" s="334" t="e">
        <f>#REF!</f>
        <v>#REF!</v>
      </c>
      <c r="O54" s="334"/>
      <c r="P54" s="185"/>
      <c r="Q54" s="185"/>
      <c r="R54" s="121"/>
      <c r="S54" s="121"/>
    </row>
    <row r="55" spans="1:19" s="122" customFormat="1" ht="15">
      <c r="A55" s="350"/>
      <c r="B55" s="351"/>
      <c r="C55" s="185"/>
      <c r="D55" s="185"/>
      <c r="E55" s="185" t="s">
        <v>68</v>
      </c>
      <c r="F55" s="334">
        <f>(I11-I13)/6</f>
        <v>0.83333333333333337</v>
      </c>
      <c r="G55" s="334"/>
      <c r="H55" s="185"/>
      <c r="I55" s="185" t="s">
        <v>68</v>
      </c>
      <c r="J55" s="334" t="str">
        <f>M13</f>
        <v>ELT</v>
      </c>
      <c r="K55" s="334"/>
      <c r="L55" s="185" t="e">
        <f>(I11-I13)/(6*M13)</f>
        <v>#VALUE!</v>
      </c>
      <c r="M55" s="185" t="s">
        <v>68</v>
      </c>
      <c r="N55" s="334" t="e">
        <f>POWER(POWER(#REF!,2)+POWER($N$54,2),0.5)</f>
        <v>#REF!</v>
      </c>
      <c r="O55" s="334"/>
      <c r="P55" s="185"/>
      <c r="Q55" s="185" t="s">
        <v>173</v>
      </c>
      <c r="R55" s="121"/>
      <c r="S55" s="121"/>
    </row>
    <row r="56" spans="1:19" s="122" customFormat="1" ht="15">
      <c r="A56" s="350"/>
      <c r="B56" s="351"/>
      <c r="C56" s="185" t="s">
        <v>69</v>
      </c>
      <c r="D56" s="185"/>
      <c r="E56" s="185"/>
      <c r="F56" s="334" t="e">
        <f>#REF!/$F$55</f>
        <v>#REF!</v>
      </c>
      <c r="G56" s="334"/>
      <c r="H56" s="185"/>
      <c r="I56" s="185"/>
      <c r="J56" s="334" t="e">
        <f>#REF!/$J$55</f>
        <v>#REF!</v>
      </c>
      <c r="K56" s="334"/>
      <c r="L56" s="185" t="e">
        <f>#REF!/L55</f>
        <v>#REF!</v>
      </c>
      <c r="M56" s="185"/>
      <c r="N56" s="334" t="e">
        <f>#REF!/$N$55</f>
        <v>#REF!</v>
      </c>
      <c r="O56" s="334"/>
      <c r="P56" s="185"/>
      <c r="Q56" s="185" t="s">
        <v>174</v>
      </c>
      <c r="R56" s="121"/>
      <c r="S56" s="121"/>
    </row>
    <row r="57" spans="1:19" s="122" customFormat="1" ht="15">
      <c r="A57" s="350"/>
      <c r="B57" s="351"/>
      <c r="C57" s="185" t="s">
        <v>70</v>
      </c>
      <c r="D57" s="185"/>
      <c r="E57" s="185"/>
      <c r="F57" s="334" t="e">
        <f>#REF!/$F$55</f>
        <v>#REF!</v>
      </c>
      <c r="G57" s="334"/>
      <c r="H57" s="185"/>
      <c r="I57" s="185"/>
      <c r="J57" s="334" t="e">
        <f>#REF!/$J$55</f>
        <v>#REF!</v>
      </c>
      <c r="K57" s="334"/>
      <c r="L57" s="185" t="e">
        <f>#REF!/L55</f>
        <v>#REF!</v>
      </c>
      <c r="M57" s="185"/>
      <c r="N57" s="334" t="e">
        <f>#REF!/$N$55</f>
        <v>#REF!</v>
      </c>
      <c r="O57" s="334"/>
      <c r="P57" s="185"/>
      <c r="Q57" s="185" t="s">
        <v>175</v>
      </c>
      <c r="R57" s="121"/>
      <c r="S57" s="121"/>
    </row>
    <row r="58" spans="1:19" s="122" customFormat="1" ht="15">
      <c r="A58" s="350"/>
      <c r="B58" s="351"/>
      <c r="C58" s="185" t="s">
        <v>71</v>
      </c>
      <c r="D58" s="185"/>
      <c r="E58" s="185"/>
      <c r="F58" s="334" t="e">
        <f>#REF!/$F$55</f>
        <v>#REF!</v>
      </c>
      <c r="G58" s="334"/>
      <c r="H58" s="185"/>
      <c r="I58" s="185"/>
      <c r="J58" s="334" t="e">
        <f>#REF!/J55</f>
        <v>#REF!</v>
      </c>
      <c r="K58" s="334"/>
      <c r="L58" s="185" t="e">
        <f>#REF!/L55</f>
        <v>#REF!</v>
      </c>
      <c r="M58" s="185"/>
      <c r="N58" s="334" t="e">
        <f>#REF!/$N$55</f>
        <v>#REF!</v>
      </c>
      <c r="O58" s="334"/>
      <c r="P58" s="185"/>
      <c r="Q58" s="185" t="s">
        <v>176</v>
      </c>
      <c r="R58" s="121"/>
      <c r="S58" s="121"/>
    </row>
    <row r="59" spans="1:19" s="122" customFormat="1" ht="15">
      <c r="A59" s="350"/>
      <c r="B59" s="351"/>
      <c r="C59" s="185" t="s">
        <v>72</v>
      </c>
      <c r="D59" s="185"/>
      <c r="E59" s="185"/>
      <c r="F59" s="334" t="e">
        <f>#REF!/$F$55</f>
        <v>#REF!</v>
      </c>
      <c r="G59" s="334"/>
      <c r="H59" s="185"/>
      <c r="I59" s="185"/>
      <c r="J59" s="334" t="e">
        <f>$J$54/$J$55</f>
        <v>#REF!</v>
      </c>
      <c r="K59" s="334"/>
      <c r="L59" s="185" t="e">
        <f>#REF!/L55</f>
        <v>#REF!</v>
      </c>
      <c r="M59" s="185"/>
      <c r="N59" s="334" t="e">
        <f>$N$54/$N$55</f>
        <v>#REF!</v>
      </c>
      <c r="O59" s="334"/>
      <c r="P59" s="185"/>
      <c r="Q59" s="185" t="s">
        <v>177</v>
      </c>
      <c r="R59" s="121"/>
      <c r="S59" s="121"/>
    </row>
    <row r="60" spans="1:19" s="122" customFormat="1" ht="15">
      <c r="A60" s="350"/>
      <c r="B60" s="351"/>
      <c r="C60" s="185"/>
      <c r="D60" s="185"/>
      <c r="E60" s="185" t="s">
        <v>73</v>
      </c>
      <c r="F60" s="185" t="e">
        <f>1.41*#REF!/#REF!</f>
        <v>#REF!</v>
      </c>
      <c r="G60" s="185"/>
      <c r="H60" s="185"/>
      <c r="I60" s="185"/>
      <c r="J60" s="185"/>
      <c r="K60" s="185"/>
      <c r="L60" s="185" t="e">
        <f>IF(#REF!&gt;0.3,"%R&amp;R大于30%.","")</f>
        <v>#REF!</v>
      </c>
      <c r="M60" s="185"/>
      <c r="N60" s="185"/>
      <c r="O60" s="185"/>
      <c r="P60" s="185"/>
      <c r="Q60" s="185" t="s">
        <v>178</v>
      </c>
      <c r="R60" s="121"/>
      <c r="S60" s="121"/>
    </row>
    <row r="61" spans="1:19" s="122" customFormat="1" ht="15">
      <c r="A61" s="350"/>
      <c r="B61" s="351"/>
      <c r="C61" s="185"/>
      <c r="D61" s="185"/>
      <c r="E61" s="185" t="s">
        <v>74</v>
      </c>
      <c r="F61" s="185">
        <f>(SUM(O23,O29,O35))^2/(Q9*Q11*Q13)</f>
        <v>107.87502321111111</v>
      </c>
      <c r="G61" s="185"/>
      <c r="H61" s="334" t="s">
        <v>75</v>
      </c>
      <c r="I61" s="334"/>
      <c r="J61" s="334"/>
      <c r="K61" s="185">
        <f>SUMSQ(O29,O35,O23)/Q13/Q11</f>
        <v>107.88478063333332</v>
      </c>
      <c r="L61" s="334" t="s">
        <v>76</v>
      </c>
      <c r="M61" s="334"/>
      <c r="N61" s="334"/>
      <c r="O61" s="185">
        <f>SUMSQ(E38:N38)/Q9/Q11</f>
        <v>147.58941055555553</v>
      </c>
      <c r="P61" s="185"/>
      <c r="Q61" s="185"/>
      <c r="R61" s="121"/>
      <c r="S61" s="121"/>
    </row>
    <row r="62" spans="1:19" s="122" customFormat="1" ht="15">
      <c r="A62" s="363" t="s">
        <v>77</v>
      </c>
      <c r="B62" s="364"/>
      <c r="C62" s="334" t="s">
        <v>78</v>
      </c>
      <c r="D62" s="334"/>
      <c r="E62" s="334"/>
      <c r="F62" s="334"/>
      <c r="G62" s="185">
        <f>SUMSQ(E23:N23,E29:N29,E35:N35)/Q11</f>
        <v>147.77822633333332</v>
      </c>
      <c r="H62" s="185"/>
      <c r="I62" s="334" t="s">
        <v>79</v>
      </c>
      <c r="J62" s="334"/>
      <c r="K62" s="185">
        <f>SUMSQ(E19:N21,E25:N27,E31:N33)</f>
        <v>148.03103100000001</v>
      </c>
      <c r="L62" s="185"/>
      <c r="M62" s="185"/>
      <c r="N62" s="185"/>
      <c r="O62" s="334" t="s">
        <v>80</v>
      </c>
      <c r="P62" s="334"/>
      <c r="Q62" s="185"/>
      <c r="R62" s="121"/>
      <c r="S62" s="121"/>
    </row>
    <row r="63" spans="1:19" s="122" customFormat="1" ht="15">
      <c r="A63" s="363"/>
      <c r="B63" s="364"/>
      <c r="C63" s="185"/>
      <c r="D63" s="334" t="s">
        <v>81</v>
      </c>
      <c r="E63" s="334"/>
      <c r="F63" s="334"/>
      <c r="G63" s="334"/>
      <c r="H63" s="334"/>
      <c r="I63" s="334"/>
      <c r="J63" s="334"/>
      <c r="K63" s="334" t="s">
        <v>82</v>
      </c>
      <c r="L63" s="334"/>
      <c r="M63" s="334"/>
      <c r="N63" s="334"/>
      <c r="O63" s="334"/>
      <c r="P63" s="334"/>
      <c r="Q63" s="334"/>
      <c r="R63" s="121"/>
      <c r="S63" s="121"/>
    </row>
    <row r="64" spans="1:19" s="122" customFormat="1" ht="15">
      <c r="A64" s="363"/>
      <c r="B64" s="364"/>
      <c r="C64" s="185"/>
      <c r="D64" s="185" t="s">
        <v>83</v>
      </c>
      <c r="E64" s="185"/>
      <c r="F64" s="185" t="s">
        <v>84</v>
      </c>
      <c r="G64" s="185" t="s">
        <v>85</v>
      </c>
      <c r="H64" s="185" t="s">
        <v>86</v>
      </c>
      <c r="I64" s="185" t="s">
        <v>87</v>
      </c>
      <c r="J64" s="185" t="s">
        <v>88</v>
      </c>
      <c r="K64" s="185" t="s">
        <v>83</v>
      </c>
      <c r="L64" s="185"/>
      <c r="M64" s="185" t="s">
        <v>84</v>
      </c>
      <c r="N64" s="185" t="s">
        <v>85</v>
      </c>
      <c r="O64" s="185" t="s">
        <v>86</v>
      </c>
      <c r="P64" s="185" t="s">
        <v>87</v>
      </c>
      <c r="Q64" s="185" t="s">
        <v>88</v>
      </c>
      <c r="R64" s="121"/>
      <c r="S64" s="121"/>
    </row>
    <row r="65" spans="1:19" s="122" customFormat="1" ht="15">
      <c r="A65" s="363"/>
      <c r="B65" s="364"/>
      <c r="C65" s="185"/>
      <c r="D65" s="185" t="s">
        <v>89</v>
      </c>
      <c r="E65" s="185"/>
      <c r="F65" s="185">
        <f>Q13-1</f>
        <v>9</v>
      </c>
      <c r="G65" s="185">
        <f>O61-F61</f>
        <v>39.714387344444418</v>
      </c>
      <c r="H65" s="185">
        <f>G65/F65</f>
        <v>4.4127097049382691</v>
      </c>
      <c r="I65" s="185">
        <f>H65/H67</f>
        <v>443.59155674381708</v>
      </c>
      <c r="J65" s="185">
        <f>FDIST(I65,F65,F67)</f>
        <v>2.9540066010588224E-19</v>
      </c>
      <c r="K65" s="334" t="s">
        <v>90</v>
      </c>
      <c r="L65" s="334"/>
      <c r="M65" s="185">
        <f>Q13-1</f>
        <v>9</v>
      </c>
      <c r="N65" s="185">
        <f>G65</f>
        <v>39.714387344444418</v>
      </c>
      <c r="O65" s="185">
        <f>N65/M65</f>
        <v>4.4127097049382691</v>
      </c>
      <c r="P65" s="185">
        <f>O65/O68</f>
        <v>796.99196104832197</v>
      </c>
      <c r="Q65" s="185">
        <f>FDIST(P65,M65,M68)</f>
        <v>6.4303446016820299E-73</v>
      </c>
      <c r="R65" s="121"/>
      <c r="S65" s="121"/>
    </row>
    <row r="66" spans="1:19" s="122" customFormat="1" ht="15">
      <c r="A66" s="363"/>
      <c r="B66" s="364"/>
      <c r="C66" s="185"/>
      <c r="D66" s="334" t="s">
        <v>91</v>
      </c>
      <c r="E66" s="334"/>
      <c r="F66" s="185">
        <f>Q9-1</f>
        <v>2</v>
      </c>
      <c r="G66" s="185">
        <f>K61-F61</f>
        <v>9.7574222222078788E-3</v>
      </c>
      <c r="H66" s="185">
        <f>G66/F66</f>
        <v>4.8787111111039394E-3</v>
      </c>
      <c r="I66" s="185">
        <f>H66/H67</f>
        <v>0.49043676139766129</v>
      </c>
      <c r="J66" s="185">
        <f>FDIST(I66,F66,F67)</f>
        <v>0.6203071514785039</v>
      </c>
      <c r="K66" s="334" t="s">
        <v>92</v>
      </c>
      <c r="L66" s="334"/>
      <c r="M66" s="185">
        <f>F66</f>
        <v>2</v>
      </c>
      <c r="N66" s="185">
        <f>G66</f>
        <v>9.7574222222078788E-3</v>
      </c>
      <c r="O66" s="185">
        <f>N66/M66</f>
        <v>4.8787111111039394E-3</v>
      </c>
      <c r="P66" s="185">
        <f>O66/O68</f>
        <v>0.8811577909771795</v>
      </c>
      <c r="Q66" s="185">
        <f>FDIST(P66,M66,M69)</f>
        <v>0.41788573802686901</v>
      </c>
      <c r="R66" s="121"/>
      <c r="S66" s="121"/>
    </row>
    <row r="67" spans="1:19" s="122" customFormat="1" ht="15">
      <c r="A67" s="363"/>
      <c r="B67" s="364"/>
      <c r="C67" s="185"/>
      <c r="D67" s="334" t="s">
        <v>93</v>
      </c>
      <c r="E67" s="334"/>
      <c r="F67" s="185">
        <f>F65*F66</f>
        <v>18</v>
      </c>
      <c r="G67" s="185">
        <f>G62-O61-K61+F61</f>
        <v>0.17905835555558269</v>
      </c>
      <c r="H67" s="185">
        <f>G67/F67</f>
        <v>9.9476864197545947E-3</v>
      </c>
      <c r="I67" s="185">
        <f>H67/H68</f>
        <v>2.3609579405913586</v>
      </c>
      <c r="J67" s="185">
        <f>FDIST(I67,F67,F68)</f>
        <v>6.8154828251686108E-3</v>
      </c>
      <c r="K67" s="334"/>
      <c r="L67" s="334"/>
      <c r="M67" s="185"/>
      <c r="N67" s="185"/>
      <c r="O67" s="185"/>
      <c r="P67" s="185"/>
      <c r="Q67" s="185"/>
      <c r="R67" s="121"/>
      <c r="S67" s="121"/>
    </row>
    <row r="68" spans="1:19" s="122" customFormat="1" ht="15">
      <c r="A68" s="363"/>
      <c r="B68" s="364"/>
      <c r="C68" s="185"/>
      <c r="D68" s="334" t="s">
        <v>94</v>
      </c>
      <c r="E68" s="334"/>
      <c r="F68" s="185">
        <f>Q9*Q13*(Q11-1)</f>
        <v>60</v>
      </c>
      <c r="G68" s="185">
        <f>K62-G62</f>
        <v>0.25280466666669099</v>
      </c>
      <c r="H68" s="185">
        <f>G68/F68</f>
        <v>4.2134111111115169E-3</v>
      </c>
      <c r="I68" s="185"/>
      <c r="J68" s="185"/>
      <c r="K68" s="334" t="s">
        <v>95</v>
      </c>
      <c r="L68" s="334"/>
      <c r="M68" s="185">
        <f>Q9*Q13*(Q11-1)+(Q13-1)*(Q9-1)</f>
        <v>78</v>
      </c>
      <c r="N68" s="185">
        <f>K62-O61-K61+F61</f>
        <v>0.43186302222227368</v>
      </c>
      <c r="O68" s="185">
        <f>N68/M68</f>
        <v>5.5367054131060731E-3</v>
      </c>
      <c r="P68" s="185"/>
      <c r="Q68" s="185"/>
      <c r="R68" s="121"/>
      <c r="S68" s="121"/>
    </row>
    <row r="69" spans="1:19" s="122" customFormat="1" ht="15">
      <c r="A69" s="363"/>
      <c r="B69" s="364"/>
      <c r="C69" s="185"/>
      <c r="D69" s="185" t="s">
        <v>96</v>
      </c>
      <c r="E69" s="185"/>
      <c r="F69" s="185">
        <f>Q9*Q11*Q13-1</f>
        <v>89</v>
      </c>
      <c r="G69" s="185">
        <f>K62-F61</f>
        <v>40.1560077888889</v>
      </c>
      <c r="H69" s="185"/>
      <c r="I69" s="185"/>
      <c r="J69" s="185"/>
      <c r="K69" s="334" t="s">
        <v>32</v>
      </c>
      <c r="L69" s="334"/>
      <c r="M69" s="185">
        <f>F69</f>
        <v>89</v>
      </c>
      <c r="N69" s="185">
        <f>K62-F61</f>
        <v>40.1560077888889</v>
      </c>
      <c r="O69" s="185"/>
      <c r="P69" s="185"/>
      <c r="Q69" s="185"/>
      <c r="R69" s="121"/>
      <c r="S69" s="121"/>
    </row>
    <row r="70" spans="1:19" s="122" customFormat="1" ht="15">
      <c r="A70" s="363"/>
      <c r="B70" s="364"/>
      <c r="C70" s="185"/>
      <c r="D70" s="334" t="s">
        <v>97</v>
      </c>
      <c r="E70" s="334"/>
      <c r="F70" s="334"/>
      <c r="G70" s="334"/>
      <c r="H70" s="334"/>
      <c r="I70" s="334"/>
      <c r="J70" s="334"/>
      <c r="K70" s="334" t="s">
        <v>98</v>
      </c>
      <c r="L70" s="334"/>
      <c r="M70" s="334"/>
      <c r="N70" s="334"/>
      <c r="O70" s="334"/>
      <c r="P70" s="334"/>
      <c r="Q70" s="334"/>
      <c r="R70" s="121"/>
      <c r="S70" s="121"/>
    </row>
    <row r="71" spans="1:19" s="122" customFormat="1" ht="15">
      <c r="A71" s="363"/>
      <c r="B71" s="364"/>
      <c r="C71" s="185"/>
      <c r="D71" s="185" t="s">
        <v>83</v>
      </c>
      <c r="E71" s="185"/>
      <c r="F71" s="185" t="s">
        <v>99</v>
      </c>
      <c r="G71" s="185" t="s">
        <v>100</v>
      </c>
      <c r="H71" s="185" t="s">
        <v>101</v>
      </c>
      <c r="I71" s="185" t="s">
        <v>102</v>
      </c>
      <c r="J71" s="185" t="s">
        <v>103</v>
      </c>
      <c r="K71" s="185" t="s">
        <v>83</v>
      </c>
      <c r="L71" s="185"/>
      <c r="M71" s="185" t="s">
        <v>99</v>
      </c>
      <c r="N71" s="185" t="s">
        <v>100</v>
      </c>
      <c r="O71" s="185" t="s">
        <v>101</v>
      </c>
      <c r="P71" s="185" t="s">
        <v>102</v>
      </c>
      <c r="Q71" s="185" t="s">
        <v>103</v>
      </c>
      <c r="R71" s="121"/>
      <c r="S71" s="121"/>
    </row>
    <row r="72" spans="1:19" s="122" customFormat="1" ht="15">
      <c r="A72" s="363"/>
      <c r="B72" s="364"/>
      <c r="C72" s="185"/>
      <c r="D72" s="334" t="s">
        <v>104</v>
      </c>
      <c r="E72" s="334"/>
      <c r="F72" s="185">
        <f>F73+F74</f>
        <v>6.1248362139925431E-3</v>
      </c>
      <c r="G72" s="185">
        <f t="shared" ref="G72:G78" si="15">SQRT(F72)</f>
        <v>7.8261332815078882E-2</v>
      </c>
      <c r="H72" s="185">
        <f t="shared" ref="H72:H78" si="16">F72/$F$78</f>
        <v>1.2365397311429294E-2</v>
      </c>
      <c r="I72" s="185">
        <f t="shared" ref="I72:I78" si="17">G72/$G$78</f>
        <v>0.11119980805482217</v>
      </c>
      <c r="J72" s="185">
        <f t="shared" ref="J72:J78" si="18">6*G72/($I$11-$I$13)</f>
        <v>9.3913599378094653E-2</v>
      </c>
      <c r="K72" s="334" t="s">
        <v>104</v>
      </c>
      <c r="L72" s="334"/>
      <c r="M72" s="185">
        <f>M73+M74</f>
        <v>5.5367054131060731E-3</v>
      </c>
      <c r="N72" s="185">
        <f>SQRT(M72)</f>
        <v>7.4409041205394336E-2</v>
      </c>
      <c r="O72" s="185">
        <f>M72/$M$78</f>
        <v>1.1180235872516681E-2</v>
      </c>
      <c r="P72" s="185">
        <f>N72/$N$78</f>
        <v>0.10573663448642896</v>
      </c>
      <c r="Q72" s="185">
        <f>6*N72/($I$11-$I$13)</f>
        <v>8.9290849446473211E-2</v>
      </c>
      <c r="R72" s="121"/>
      <c r="S72" s="121"/>
    </row>
    <row r="73" spans="1:19" s="122" customFormat="1" ht="15">
      <c r="A73" s="363"/>
      <c r="B73" s="364"/>
      <c r="C73" s="185"/>
      <c r="D73" s="334" t="s">
        <v>105</v>
      </c>
      <c r="E73" s="334"/>
      <c r="F73" s="185">
        <f>H68</f>
        <v>4.2134111111115169E-3</v>
      </c>
      <c r="G73" s="185">
        <f t="shared" si="15"/>
        <v>6.4910793486996576E-2</v>
      </c>
      <c r="H73" s="185">
        <f t="shared" si="16"/>
        <v>8.5064319444588653E-3</v>
      </c>
      <c r="I73" s="185">
        <f t="shared" si="17"/>
        <v>9.2230320093008814E-2</v>
      </c>
      <c r="J73" s="185">
        <f t="shared" si="18"/>
        <v>7.7892952184395889E-2</v>
      </c>
      <c r="K73" s="334" t="s">
        <v>106</v>
      </c>
      <c r="L73" s="334"/>
      <c r="M73" s="185">
        <f>O68</f>
        <v>5.5367054131060731E-3</v>
      </c>
      <c r="N73" s="185">
        <f>SQRT(M73)</f>
        <v>7.4409041205394336E-2</v>
      </c>
      <c r="O73" s="185">
        <f>M73/$M$78</f>
        <v>1.1180235872516681E-2</v>
      </c>
      <c r="P73" s="185">
        <f>N73/$N$78</f>
        <v>0.10573663448642896</v>
      </c>
      <c r="Q73" s="185">
        <f>6*N73/($I$11-$I$13)</f>
        <v>8.9290849446473211E-2</v>
      </c>
      <c r="R73" s="121"/>
      <c r="S73" s="121"/>
    </row>
    <row r="74" spans="1:19" s="122" customFormat="1" ht="15">
      <c r="A74" s="363"/>
      <c r="B74" s="364"/>
      <c r="C74" s="185"/>
      <c r="D74" s="334" t="s">
        <v>107</v>
      </c>
      <c r="E74" s="334"/>
      <c r="F74" s="185">
        <f>F75+F76</f>
        <v>1.911425102881026E-3</v>
      </c>
      <c r="G74" s="185">
        <f t="shared" si="15"/>
        <v>4.3719847928384035E-2</v>
      </c>
      <c r="H74" s="185">
        <f t="shared" si="16"/>
        <v>3.8589653669704278E-3</v>
      </c>
      <c r="I74" s="185">
        <f t="shared" si="17"/>
        <v>6.2120571206086217E-2</v>
      </c>
      <c r="J74" s="185">
        <f t="shared" si="18"/>
        <v>5.2463817514060838E-2</v>
      </c>
      <c r="K74" s="334" t="s">
        <v>108</v>
      </c>
      <c r="L74" s="334"/>
      <c r="M74" s="185">
        <f>IF(M75&gt;0,M75,0)</f>
        <v>0</v>
      </c>
      <c r="N74" s="185">
        <f>SQRT(M74)</f>
        <v>0</v>
      </c>
      <c r="O74" s="185">
        <f>M74/$M$78</f>
        <v>0</v>
      </c>
      <c r="P74" s="185">
        <f>N74/$N$78</f>
        <v>0</v>
      </c>
      <c r="Q74" s="185">
        <f>6*N74/($I$11-$I$13)</f>
        <v>0</v>
      </c>
      <c r="R74" s="121"/>
      <c r="S74" s="121"/>
    </row>
    <row r="75" spans="1:19" s="122" customFormat="1" ht="15">
      <c r="A75" s="363"/>
      <c r="B75" s="364"/>
      <c r="C75" s="185"/>
      <c r="D75" s="334" t="s">
        <v>109</v>
      </c>
      <c r="E75" s="334"/>
      <c r="F75" s="185">
        <f>IF((H66-H67)/(Q13*Q11)&lt;0,0,(H66-H67)/(Q13*Q11))</f>
        <v>0</v>
      </c>
      <c r="G75" s="185">
        <f t="shared" si="15"/>
        <v>0</v>
      </c>
      <c r="H75" s="185">
        <f t="shared" si="16"/>
        <v>0</v>
      </c>
      <c r="I75" s="185">
        <f t="shared" si="17"/>
        <v>0</v>
      </c>
      <c r="J75" s="185">
        <f t="shared" si="18"/>
        <v>0</v>
      </c>
      <c r="K75" s="334" t="s">
        <v>110</v>
      </c>
      <c r="L75" s="334"/>
      <c r="M75" s="185">
        <f>IF((O66-O68)/(Q11*Q13)&lt;0,0,(O66-O68)/(Q11*Q13))</f>
        <v>0</v>
      </c>
      <c r="N75" s="185">
        <f>SQRT(M75)</f>
        <v>0</v>
      </c>
      <c r="O75" s="185">
        <f>M75/$M$78</f>
        <v>0</v>
      </c>
      <c r="P75" s="185">
        <f>N75/$N$78</f>
        <v>0</v>
      </c>
      <c r="Q75" s="185">
        <f>6*N75/($I$11-$I$13)</f>
        <v>0</v>
      </c>
      <c r="R75" s="121"/>
      <c r="S75" s="121"/>
    </row>
    <row r="76" spans="1:19" s="122" customFormat="1" ht="15">
      <c r="A76" s="363"/>
      <c r="B76" s="364"/>
      <c r="C76" s="185"/>
      <c r="D76" s="334" t="s">
        <v>93</v>
      </c>
      <c r="E76" s="334"/>
      <c r="F76" s="185">
        <f>IF((H67-H68)/Q11&lt;0,0,(H67-H68)/Q11)</f>
        <v>1.911425102881026E-3</v>
      </c>
      <c r="G76" s="185">
        <f t="shared" si="15"/>
        <v>4.3719847928384035E-2</v>
      </c>
      <c r="H76" s="185">
        <f t="shared" si="16"/>
        <v>3.8589653669704278E-3</v>
      </c>
      <c r="I76" s="185">
        <f t="shared" si="17"/>
        <v>6.2120571206086217E-2</v>
      </c>
      <c r="J76" s="185">
        <f t="shared" si="18"/>
        <v>5.2463817514060838E-2</v>
      </c>
      <c r="K76" s="334"/>
      <c r="L76" s="334"/>
      <c r="M76" s="185"/>
      <c r="N76" s="185"/>
      <c r="O76" s="185"/>
      <c r="P76" s="185"/>
      <c r="Q76" s="185"/>
      <c r="R76" s="121"/>
      <c r="S76" s="121"/>
    </row>
    <row r="77" spans="1:19" s="122" customFormat="1" ht="15">
      <c r="A77" s="363"/>
      <c r="B77" s="364"/>
      <c r="C77" s="185"/>
      <c r="D77" s="334" t="s">
        <v>111</v>
      </c>
      <c r="E77" s="334"/>
      <c r="F77" s="185">
        <f>IF((H65-H67)/(Q9*Q11)&lt;0,0,(H65-H67)/(Q9*Q11))</f>
        <v>0.48919577983539053</v>
      </c>
      <c r="G77" s="185">
        <f t="shared" si="15"/>
        <v>0.69942532112827493</v>
      </c>
      <c r="H77" s="185">
        <f t="shared" si="16"/>
        <v>0.98763460268857062</v>
      </c>
      <c r="I77" s="185">
        <f t="shared" si="17"/>
        <v>0.99379806937253135</v>
      </c>
      <c r="J77" s="185">
        <f t="shared" si="18"/>
        <v>0.83931038535392999</v>
      </c>
      <c r="K77" s="334" t="s">
        <v>112</v>
      </c>
      <c r="L77" s="334"/>
      <c r="M77" s="185">
        <f>IF((O65-O68)/(Q9*Q11)&lt;0,0,(O65-O68)/(Q9*Q11))</f>
        <v>0.48968588883612924</v>
      </c>
      <c r="N77" s="185">
        <f>SQRT(M77)</f>
        <v>0.69977559891448715</v>
      </c>
      <c r="O77" s="185">
        <f>M77/$M$78</f>
        <v>0.98881976412748329</v>
      </c>
      <c r="P77" s="185">
        <f>N77/$N$78</f>
        <v>0.99439416939535763</v>
      </c>
      <c r="Q77" s="185">
        <f>6*N77/($I$11-$I$13)</f>
        <v>0.83973071869738458</v>
      </c>
      <c r="R77" s="121"/>
      <c r="S77" s="121"/>
    </row>
    <row r="78" spans="1:19" ht="15.75" thickBot="1">
      <c r="A78" s="365"/>
      <c r="B78" s="366"/>
      <c r="C78" s="185"/>
      <c r="D78" s="334" t="s">
        <v>113</v>
      </c>
      <c r="E78" s="334"/>
      <c r="F78" s="185">
        <f>F77+F72</f>
        <v>0.4953206160493831</v>
      </c>
      <c r="G78" s="185">
        <f t="shared" si="15"/>
        <v>0.70379017899469376</v>
      </c>
      <c r="H78" s="185">
        <f t="shared" si="16"/>
        <v>1</v>
      </c>
      <c r="I78" s="185">
        <f t="shared" si="17"/>
        <v>1</v>
      </c>
      <c r="J78" s="185">
        <f t="shared" si="18"/>
        <v>0.84454821479363251</v>
      </c>
      <c r="K78" s="334" t="s">
        <v>113</v>
      </c>
      <c r="L78" s="334"/>
      <c r="M78" s="185">
        <f>M72+M77</f>
        <v>0.49522259424923532</v>
      </c>
      <c r="N78" s="185">
        <f>SQRT(M78)</f>
        <v>0.70372053703813087</v>
      </c>
      <c r="O78" s="185">
        <f>M78/$M$78</f>
        <v>1</v>
      </c>
      <c r="P78" s="185">
        <f>N78/$N$78</f>
        <v>1</v>
      </c>
      <c r="Q78" s="185">
        <f>6*N78/($I$11-$I$13)</f>
        <v>0.84446464444575697</v>
      </c>
    </row>
    <row r="79" spans="1:19" ht="15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</row>
    <row r="80" spans="1:19" ht="15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</row>
    <row r="81" spans="1:17" ht="15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</row>
    <row r="82" spans="1:17" ht="1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</row>
    <row r="83" spans="1:17" ht="15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</row>
    <row r="84" spans="1:17" ht="15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</row>
    <row r="85" spans="1:17" ht="15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</row>
    <row r="86" spans="1:17" ht="15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</row>
    <row r="87" spans="1:17" ht="15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</row>
    <row r="88" spans="1:17" ht="15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</row>
    <row r="89" spans="1:17" ht="15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</row>
    <row r="90" spans="1:17" ht="15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</row>
    <row r="91" spans="1:17" ht="15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</row>
    <row r="92" spans="1:17" ht="15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</row>
    <row r="93" spans="1:17" ht="15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</row>
    <row r="94" spans="1:17" ht="15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</row>
    <row r="95" spans="1:17" ht="15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</row>
    <row r="96" spans="1:17" ht="15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</row>
    <row r="97" spans="1:17" ht="15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</row>
    <row r="98" spans="1:17" ht="15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</row>
    <row r="99" spans="1:17" ht="15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</row>
    <row r="100" spans="1:17" ht="15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</row>
    <row r="101" spans="1:17" ht="15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</row>
    <row r="102" spans="1:17" ht="15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</row>
    <row r="103" spans="1:17" ht="15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</row>
    <row r="104" spans="1:17" ht="15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</row>
    <row r="105" spans="1:17" ht="15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</row>
    <row r="106" spans="1:17" ht="15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</row>
    <row r="107" spans="1:17" ht="15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</row>
    <row r="108" spans="1:17" ht="15">
      <c r="A108" s="185"/>
      <c r="B108" s="185"/>
      <c r="C108" s="185"/>
      <c r="D108" s="185" t="s">
        <v>109</v>
      </c>
      <c r="E108" s="185"/>
      <c r="F108" s="185" t="e">
        <f>IF((#REF!-#REF!)/(#REF!*#REF!)&lt;0,0,(#REF!-#REF!)/(#REF!*#REF!))</f>
        <v>#REF!</v>
      </c>
      <c r="G108" s="185" t="e">
        <f>SQRT(F108)</f>
        <v>#REF!</v>
      </c>
      <c r="H108" s="185" t="e">
        <f>F108/F$48*100</f>
        <v>#REF!</v>
      </c>
      <c r="I108" s="185"/>
      <c r="J108" s="185" t="e">
        <f>IF(OR(#REF!="",#REF!=""),"",5.15*SQRT(F108)/(O$46-O$47)*100)</f>
        <v>#REF!</v>
      </c>
      <c r="K108" s="185"/>
      <c r="L108" s="185"/>
      <c r="M108" s="185"/>
      <c r="N108" s="185"/>
      <c r="O108" s="185"/>
      <c r="P108" s="185"/>
      <c r="Q108" s="185"/>
    </row>
    <row r="109" spans="1:17" ht="15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</row>
    <row r="110" spans="1:17" ht="15">
      <c r="A110" s="185"/>
      <c r="B110" s="185"/>
      <c r="C110" s="185"/>
      <c r="D110" s="185" t="s">
        <v>111</v>
      </c>
      <c r="E110" s="185"/>
      <c r="F110" s="185" t="e">
        <f>IF((#REF!-#REF!)/(#REF!*#REF!)&lt;0,0,(#REF!-#REF!)/(#REF!*#REF!))</f>
        <v>#REF!</v>
      </c>
      <c r="G110" s="185" t="e">
        <f>SQRT(F110)</f>
        <v>#REF!</v>
      </c>
      <c r="H110" s="185" t="e">
        <f>F110/F$48*100</f>
        <v>#REF!</v>
      </c>
      <c r="I110" s="185"/>
      <c r="J110" s="185" t="e">
        <f>IF(OR(#REF!="",#REF!=""),"",5.15*SQRT(F110)/(O$46-O$47)*100)</f>
        <v>#REF!</v>
      </c>
      <c r="K110" s="185"/>
      <c r="L110" s="185"/>
      <c r="M110" s="185"/>
      <c r="N110" s="185"/>
      <c r="O110" s="185"/>
      <c r="P110" s="185"/>
      <c r="Q110" s="185"/>
    </row>
    <row r="111" spans="1:17" ht="15">
      <c r="A111" s="185"/>
      <c r="B111" s="185"/>
      <c r="C111" s="185"/>
      <c r="D111" s="185" t="s">
        <v>114</v>
      </c>
      <c r="E111" s="185"/>
      <c r="F111" s="185" t="e">
        <f>#REF!+F110</f>
        <v>#REF!</v>
      </c>
      <c r="G111" s="185" t="e">
        <f>SQRT(F111)</f>
        <v>#REF!</v>
      </c>
      <c r="H111" s="185" t="e">
        <f>F111/F$48*100</f>
        <v>#REF!</v>
      </c>
      <c r="I111" s="185"/>
      <c r="J111" s="185" t="e">
        <f>IF(OR(#REF!="",#REF!=""),"",5.15*SQRT(F111)/(O$46-O$47)*100)</f>
        <v>#REF!</v>
      </c>
      <c r="K111" s="185"/>
      <c r="L111" s="185"/>
      <c r="M111" s="185"/>
      <c r="N111" s="185"/>
      <c r="O111" s="185"/>
      <c r="P111" s="185"/>
      <c r="Q111" s="185"/>
    </row>
    <row r="112" spans="1:17" ht="18" customHeight="1" thickBot="1">
      <c r="A112" s="123" t="s">
        <v>115</v>
      </c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4" t="s">
        <v>116</v>
      </c>
    </row>
    <row r="113" spans="1:19" s="2" customFormat="1" ht="15" customHeight="1">
      <c r="A113" s="352"/>
      <c r="B113" s="353"/>
      <c r="C113" s="353"/>
      <c r="D113" s="353"/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53"/>
      <c r="P113" s="353"/>
      <c r="Q113" s="354"/>
      <c r="R113" s="28"/>
      <c r="S113" s="1"/>
    </row>
    <row r="114" spans="1:19" s="2" customFormat="1" ht="13.5" customHeight="1">
      <c r="A114" s="355" t="s">
        <v>117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7"/>
      <c r="R114" s="28"/>
      <c r="S114" s="1"/>
    </row>
    <row r="115" spans="1:19" s="2" customFormat="1" ht="3" customHeight="1">
      <c r="A115" s="125"/>
      <c r="B115" s="126"/>
      <c r="C115" s="126"/>
      <c r="D115" s="126"/>
      <c r="E115" s="126"/>
      <c r="F115" s="126"/>
      <c r="G115" s="126"/>
      <c r="H115" s="126"/>
      <c r="I115" s="126"/>
      <c r="J115" s="127"/>
      <c r="K115" s="127"/>
      <c r="L115" s="127"/>
      <c r="M115" s="127"/>
      <c r="N115" s="127"/>
      <c r="O115" s="127"/>
      <c r="P115" s="128"/>
      <c r="Q115" s="129"/>
      <c r="R115" s="28"/>
      <c r="S115" s="1"/>
    </row>
    <row r="116" spans="1:19" s="2" customFormat="1" ht="11.25" customHeight="1">
      <c r="A116" s="358"/>
      <c r="B116" s="359"/>
      <c r="C116" s="359"/>
      <c r="D116" s="359"/>
      <c r="E116" s="126"/>
      <c r="F116" s="130"/>
      <c r="G116" s="130"/>
      <c r="H116" s="130"/>
      <c r="I116" s="126"/>
      <c r="J116" s="130"/>
      <c r="K116" s="130"/>
      <c r="L116" s="130"/>
      <c r="M116" s="360" t="str">
        <f>IF(L4="","",L4)</f>
        <v>报告编号Report NO.</v>
      </c>
      <c r="N116" s="360"/>
      <c r="O116" s="360"/>
      <c r="P116" s="361" t="str">
        <f>IF(P4="","",P4)</f>
        <v/>
      </c>
      <c r="Q116" s="362"/>
      <c r="R116" s="28"/>
      <c r="S116" s="1"/>
    </row>
    <row r="117" spans="1:19" ht="3" customHeight="1" thickBot="1">
      <c r="A117" s="131"/>
      <c r="B117" s="132"/>
      <c r="C117" s="132"/>
      <c r="D117" s="133"/>
      <c r="E117" s="133"/>
      <c r="F117" s="132"/>
      <c r="G117" s="132"/>
      <c r="H117" s="132"/>
      <c r="I117" s="133"/>
      <c r="J117" s="132"/>
      <c r="K117" s="132"/>
      <c r="L117" s="132"/>
      <c r="M117" s="132"/>
      <c r="N117" s="132"/>
      <c r="O117" s="132"/>
      <c r="P117" s="132"/>
      <c r="Q117" s="134"/>
    </row>
    <row r="118" spans="1:19" ht="2.25" customHeight="1">
      <c r="A118" s="135"/>
      <c r="B118" s="136"/>
      <c r="C118" s="136"/>
      <c r="D118" s="137"/>
      <c r="E118" s="137"/>
      <c r="F118" s="136"/>
      <c r="G118" s="136"/>
      <c r="H118" s="136"/>
      <c r="I118" s="137"/>
      <c r="J118" s="136"/>
      <c r="K118" s="136"/>
      <c r="L118" s="136"/>
      <c r="M118" s="136"/>
      <c r="N118" s="136"/>
      <c r="O118" s="136"/>
      <c r="P118" s="136"/>
      <c r="Q118" s="138"/>
    </row>
    <row r="119" spans="1:19" s="141" customFormat="1" ht="19.5" customHeight="1">
      <c r="A119" s="367" t="s">
        <v>118</v>
      </c>
      <c r="B119" s="368"/>
      <c r="C119" s="368"/>
      <c r="D119" s="369"/>
      <c r="E119" s="370" t="str">
        <f>IF(E7="","",E7)</f>
        <v>T2-40-107</v>
      </c>
      <c r="F119" s="371"/>
      <c r="G119" s="372" t="s">
        <v>4</v>
      </c>
      <c r="H119" s="373"/>
      <c r="I119" s="374" t="str">
        <f>IF(I7="","",I7)</f>
        <v>FPC</v>
      </c>
      <c r="J119" s="375"/>
      <c r="K119" s="376" t="s">
        <v>119</v>
      </c>
      <c r="L119" s="377"/>
      <c r="M119" s="370" t="str">
        <f>IF(M7="","",M7)</f>
        <v>5002727</v>
      </c>
      <c r="N119" s="371"/>
      <c r="O119" s="378" t="s">
        <v>120</v>
      </c>
      <c r="P119" s="379"/>
      <c r="Q119" s="139">
        <f>IF(Q7="","",Q7)</f>
        <v>45373</v>
      </c>
      <c r="R119" s="140"/>
      <c r="S119" s="140"/>
    </row>
    <row r="120" spans="1:19" s="141" customFormat="1" ht="3" customHeight="1">
      <c r="A120" s="142"/>
      <c r="B120" s="143"/>
      <c r="C120" s="144"/>
      <c r="D120" s="144"/>
      <c r="E120" s="145"/>
      <c r="F120" s="145"/>
      <c r="G120" s="143"/>
      <c r="H120" s="143"/>
      <c r="I120" s="146"/>
      <c r="J120" s="146"/>
      <c r="K120" s="147"/>
      <c r="L120" s="147"/>
      <c r="M120" s="145"/>
      <c r="N120" s="145"/>
      <c r="O120" s="146"/>
      <c r="P120" s="148"/>
      <c r="Q120" s="149"/>
      <c r="R120" s="140"/>
      <c r="S120" s="140"/>
    </row>
    <row r="121" spans="1:19" s="141" customFormat="1" ht="18" customHeight="1">
      <c r="A121" s="367" t="s">
        <v>9</v>
      </c>
      <c r="B121" s="368"/>
      <c r="C121" s="368"/>
      <c r="D121" s="369"/>
      <c r="E121" s="370" t="str">
        <f>IF(E9="","",E9)</f>
        <v>OSTM-T-17-03-070</v>
      </c>
      <c r="F121" s="371"/>
      <c r="G121" s="372" t="s">
        <v>121</v>
      </c>
      <c r="H121" s="369"/>
      <c r="I121" s="374" t="str">
        <f>IF(I9="","",I9)</f>
        <v>RGPZ-030MW-2C</v>
      </c>
      <c r="J121" s="375"/>
      <c r="K121" s="376" t="s">
        <v>122</v>
      </c>
      <c r="L121" s="387"/>
      <c r="M121" s="370" t="str">
        <f>IF(M9="","",M9)</f>
        <v>S059818</v>
      </c>
      <c r="N121" s="371"/>
      <c r="O121" s="383" t="s">
        <v>123</v>
      </c>
      <c r="P121" s="384"/>
      <c r="Q121" s="150">
        <f>IF(Q9="","",Q9)</f>
        <v>3</v>
      </c>
      <c r="R121" s="140"/>
      <c r="S121" s="140"/>
    </row>
    <row r="122" spans="1:19" s="141" customFormat="1" ht="3" customHeight="1">
      <c r="A122" s="380"/>
      <c r="B122" s="368"/>
      <c r="C122" s="368"/>
      <c r="D122" s="368"/>
      <c r="E122" s="145"/>
      <c r="F122" s="145"/>
      <c r="G122" s="143"/>
      <c r="H122" s="143"/>
      <c r="I122" s="146"/>
      <c r="J122" s="146"/>
      <c r="K122" s="147"/>
      <c r="L122" s="147"/>
      <c r="M122" s="145"/>
      <c r="N122" s="145"/>
      <c r="O122" s="146"/>
      <c r="P122" s="151"/>
      <c r="Q122" s="149"/>
      <c r="R122" s="140"/>
      <c r="S122" s="140"/>
    </row>
    <row r="123" spans="1:19" s="141" customFormat="1" ht="18" customHeight="1">
      <c r="A123" s="367" t="s">
        <v>124</v>
      </c>
      <c r="B123" s="368"/>
      <c r="C123" s="368"/>
      <c r="D123" s="369"/>
      <c r="E123" s="385" t="s">
        <v>125</v>
      </c>
      <c r="F123" s="371"/>
      <c r="G123" s="372" t="s">
        <v>126</v>
      </c>
      <c r="H123" s="369"/>
      <c r="I123" s="152" t="str">
        <f>IF(I11="","",I11)</f>
        <v>5</v>
      </c>
      <c r="J123" s="153"/>
      <c r="K123" s="386" t="s">
        <v>127</v>
      </c>
      <c r="L123" s="387"/>
      <c r="M123" s="370" t="str">
        <f>IF(M11="","",M11)</f>
        <v>6019635</v>
      </c>
      <c r="N123" s="371"/>
      <c r="O123" s="383" t="s">
        <v>128</v>
      </c>
      <c r="P123" s="384"/>
      <c r="Q123" s="150">
        <f>IF(Q11="","",Q11)</f>
        <v>3</v>
      </c>
      <c r="R123" s="140"/>
      <c r="S123" s="140"/>
    </row>
    <row r="124" spans="1:19" s="141" customFormat="1" ht="3" customHeight="1">
      <c r="A124" s="380"/>
      <c r="B124" s="368"/>
      <c r="C124" s="368"/>
      <c r="D124" s="368"/>
      <c r="E124" s="145"/>
      <c r="F124" s="145"/>
      <c r="G124" s="143"/>
      <c r="H124" s="143"/>
      <c r="I124" s="146" t="str">
        <f>I13</f>
        <v>0</v>
      </c>
      <c r="J124" s="146"/>
      <c r="K124" s="154"/>
      <c r="L124" s="147"/>
      <c r="M124" s="145"/>
      <c r="N124" s="145"/>
      <c r="O124" s="146"/>
      <c r="P124" s="151"/>
      <c r="Q124" s="149"/>
      <c r="R124" s="140"/>
      <c r="S124" s="140"/>
    </row>
    <row r="125" spans="1:19" s="141" customFormat="1" ht="18" customHeight="1">
      <c r="A125" s="367" t="s">
        <v>129</v>
      </c>
      <c r="B125" s="368"/>
      <c r="C125" s="368"/>
      <c r="D125" s="368"/>
      <c r="E125" s="370" t="str">
        <f>IF(E13="","",E13)</f>
        <v>Ohm</v>
      </c>
      <c r="F125" s="371"/>
      <c r="G125" s="381" t="s">
        <v>130</v>
      </c>
      <c r="H125" s="368"/>
      <c r="I125" s="152" t="str">
        <f>IF(I13="","",I13)</f>
        <v>0</v>
      </c>
      <c r="J125" s="382" t="s">
        <v>131</v>
      </c>
      <c r="K125" s="382"/>
      <c r="L125" s="382"/>
      <c r="M125" s="370" t="str">
        <f>IF(M13="","",M13)</f>
        <v>ELT</v>
      </c>
      <c r="N125" s="371"/>
      <c r="O125" s="388" t="s">
        <v>132</v>
      </c>
      <c r="P125" s="389"/>
      <c r="Q125" s="150">
        <f>Q13</f>
        <v>10</v>
      </c>
      <c r="R125" s="140"/>
      <c r="S125" s="140"/>
    </row>
    <row r="126" spans="1:19" ht="2.25" customHeight="1" thickBot="1">
      <c r="A126" s="155"/>
      <c r="B126" s="156"/>
      <c r="C126" s="156"/>
      <c r="D126" s="156"/>
      <c r="E126" s="133"/>
      <c r="F126" s="133"/>
      <c r="G126" s="156"/>
      <c r="H126" s="156"/>
      <c r="I126" s="133"/>
      <c r="J126" s="133"/>
      <c r="K126" s="132"/>
      <c r="L126" s="132"/>
      <c r="M126" s="133"/>
      <c r="N126" s="133"/>
      <c r="O126" s="133"/>
      <c r="P126" s="132"/>
      <c r="Q126" s="51"/>
    </row>
    <row r="127" spans="1:19" ht="3" customHeight="1">
      <c r="A127" s="157"/>
      <c r="B127" s="158"/>
      <c r="C127" s="158"/>
      <c r="D127" s="158"/>
      <c r="E127" s="137"/>
      <c r="F127" s="137"/>
      <c r="G127" s="158"/>
      <c r="H127" s="158"/>
      <c r="I127" s="137"/>
      <c r="J127" s="137"/>
      <c r="K127" s="136"/>
      <c r="L127" s="136"/>
      <c r="M127" s="137"/>
      <c r="N127" s="137"/>
      <c r="O127" s="137"/>
      <c r="P127" s="136"/>
      <c r="Q127" s="159"/>
    </row>
    <row r="128" spans="1:19" ht="28.5" customHeight="1">
      <c r="A128" s="160"/>
      <c r="B128" s="390" t="s">
        <v>133</v>
      </c>
      <c r="C128" s="390"/>
      <c r="D128" s="390"/>
      <c r="E128" s="161" t="str">
        <f>IF(J67&gt;=K146,"不包含without","包含With")</f>
        <v>包含With</v>
      </c>
      <c r="F128" s="391" t="s">
        <v>134</v>
      </c>
      <c r="G128" s="391"/>
      <c r="H128" s="391"/>
      <c r="I128" s="162"/>
      <c r="J128" s="163"/>
      <c r="K128" s="163"/>
      <c r="L128" s="163"/>
      <c r="M128" s="163"/>
      <c r="N128" s="164"/>
      <c r="O128" s="164"/>
      <c r="P128" s="163"/>
      <c r="Q128" s="165"/>
    </row>
    <row r="129" spans="1:17" ht="21" customHeight="1">
      <c r="A129" s="160"/>
      <c r="B129" s="392" t="s">
        <v>135</v>
      </c>
      <c r="C129" s="392"/>
      <c r="D129" s="392"/>
      <c r="E129" s="392"/>
      <c r="F129" s="392" t="s">
        <v>136</v>
      </c>
      <c r="G129" s="392"/>
      <c r="H129" s="392" t="s">
        <v>137</v>
      </c>
      <c r="I129" s="392"/>
      <c r="J129" s="392" t="s">
        <v>138</v>
      </c>
      <c r="K129" s="392"/>
      <c r="L129" s="392" t="s">
        <v>139</v>
      </c>
      <c r="M129" s="392"/>
      <c r="N129" s="393" t="s">
        <v>140</v>
      </c>
      <c r="O129" s="394"/>
      <c r="P129" s="164"/>
      <c r="Q129" s="165"/>
    </row>
    <row r="130" spans="1:17" ht="15" customHeight="1">
      <c r="A130" s="160"/>
      <c r="B130" s="399" t="s">
        <v>141</v>
      </c>
      <c r="C130" s="399"/>
      <c r="D130" s="399"/>
      <c r="E130" s="399"/>
      <c r="F130" s="392">
        <f>IF($K$146&gt;$O$146,F65,M65)</f>
        <v>9</v>
      </c>
      <c r="G130" s="392"/>
      <c r="H130" s="400">
        <f>IF($K$146&gt;$O$146,G65,N65)</f>
        <v>39.714387344444418</v>
      </c>
      <c r="I130" s="400"/>
      <c r="J130" s="400">
        <f>IF($K$146&gt;$O$146,H65,O65)</f>
        <v>4.4127097049382691</v>
      </c>
      <c r="K130" s="400"/>
      <c r="L130" s="400">
        <f>IF($K$146&gt;$O$146,I65,P65)</f>
        <v>443.59155674381708</v>
      </c>
      <c r="M130" s="400"/>
      <c r="N130" s="395"/>
      <c r="O130" s="396"/>
      <c r="P130" s="163"/>
      <c r="Q130" s="165"/>
    </row>
    <row r="131" spans="1:17" ht="15" customHeight="1">
      <c r="A131" s="160"/>
      <c r="B131" s="399" t="s">
        <v>142</v>
      </c>
      <c r="C131" s="399"/>
      <c r="D131" s="399"/>
      <c r="E131" s="399"/>
      <c r="F131" s="392">
        <f>IF($K$146&gt;$O$146,F66,M66)</f>
        <v>2</v>
      </c>
      <c r="G131" s="392"/>
      <c r="H131" s="400">
        <f>IF($K$146&gt;$O$146,G66,N66)</f>
        <v>9.7574222222078788E-3</v>
      </c>
      <c r="I131" s="400"/>
      <c r="J131" s="400">
        <f>IF($K$146&gt;$O$146,H66,O66)</f>
        <v>4.8787111111039394E-3</v>
      </c>
      <c r="K131" s="400"/>
      <c r="L131" s="400">
        <f>IF($K$146&gt;$O$146,I66,P66)</f>
        <v>0.49043676139766129</v>
      </c>
      <c r="M131" s="400"/>
      <c r="N131" s="397"/>
      <c r="O131" s="398"/>
      <c r="P131" s="163"/>
      <c r="Q131" s="165"/>
    </row>
    <row r="132" spans="1:17" ht="15" customHeight="1">
      <c r="A132" s="160"/>
      <c r="B132" s="401" t="s">
        <v>143</v>
      </c>
      <c r="C132" s="402"/>
      <c r="D132" s="402"/>
      <c r="E132" s="403"/>
      <c r="F132" s="392">
        <f>IF($K$146&gt;$O$146,F67,M67)</f>
        <v>18</v>
      </c>
      <c r="G132" s="392"/>
      <c r="H132" s="400">
        <f>IF($K$146&gt;$O$146,G67,N67)</f>
        <v>0.17905835555558269</v>
      </c>
      <c r="I132" s="400"/>
      <c r="J132" s="400">
        <f>IF($K$146&gt;$O$146,H67,O67)</f>
        <v>9.9476864197545947E-3</v>
      </c>
      <c r="K132" s="400"/>
      <c r="L132" s="400">
        <f>IF($K$146&gt;$O$146,I67,P67)</f>
        <v>2.3609579405913586</v>
      </c>
      <c r="M132" s="404"/>
      <c r="N132" s="166"/>
      <c r="O132" s="167"/>
      <c r="P132" s="163"/>
      <c r="Q132" s="165"/>
    </row>
    <row r="133" spans="1:17" ht="15" customHeight="1">
      <c r="A133" s="160"/>
      <c r="B133" s="399" t="s">
        <v>144</v>
      </c>
      <c r="C133" s="399"/>
      <c r="D133" s="399"/>
      <c r="E133" s="399"/>
      <c r="F133" s="392">
        <f>IF($K$146&gt;$O$146,F68,M68)</f>
        <v>60</v>
      </c>
      <c r="G133" s="392"/>
      <c r="H133" s="400">
        <f>IF($K$146&gt;$O$146,G68,N68)</f>
        <v>0.25280466666669099</v>
      </c>
      <c r="I133" s="400"/>
      <c r="J133" s="400">
        <f>IF($K$146&gt;$O$146,H68,O68)</f>
        <v>4.2134111111115169E-3</v>
      </c>
      <c r="K133" s="400"/>
      <c r="L133" s="400"/>
      <c r="M133" s="404"/>
      <c r="N133" s="413">
        <f>ROUNDDOWN(1.41*H142/H137,0)</f>
        <v>12</v>
      </c>
      <c r="O133" s="414"/>
      <c r="P133" s="163"/>
      <c r="Q133" s="165"/>
    </row>
    <row r="134" spans="1:17" ht="15" customHeight="1">
      <c r="A134" s="160"/>
      <c r="B134" s="399" t="s">
        <v>145</v>
      </c>
      <c r="C134" s="399"/>
      <c r="D134" s="399"/>
      <c r="E134" s="399"/>
      <c r="F134" s="392">
        <f>IF($K$146&gt;$O$146,F69,M69)</f>
        <v>89</v>
      </c>
      <c r="G134" s="392"/>
      <c r="H134" s="400">
        <f>IF($K$146&gt;$O$146,G69,N69)</f>
        <v>40.1560077888889</v>
      </c>
      <c r="I134" s="400"/>
      <c r="J134" s="400"/>
      <c r="K134" s="400"/>
      <c r="L134" s="400"/>
      <c r="M134" s="404"/>
      <c r="N134" s="168"/>
      <c r="O134" s="169"/>
      <c r="P134" s="163"/>
      <c r="Q134" s="165"/>
    </row>
    <row r="135" spans="1:17" ht="1.5" customHeight="1">
      <c r="A135" s="160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5"/>
    </row>
    <row r="136" spans="1:17" ht="24" customHeight="1" thickBot="1">
      <c r="A136" s="160"/>
      <c r="B136" s="405" t="s">
        <v>135</v>
      </c>
      <c r="C136" s="405"/>
      <c r="D136" s="405"/>
      <c r="E136" s="405"/>
      <c r="F136" s="406" t="s">
        <v>146</v>
      </c>
      <c r="G136" s="407"/>
      <c r="H136" s="405" t="s">
        <v>147</v>
      </c>
      <c r="I136" s="408"/>
      <c r="J136" s="409" t="s">
        <v>148</v>
      </c>
      <c r="K136" s="410"/>
      <c r="L136" s="411" t="s">
        <v>149</v>
      </c>
      <c r="M136" s="412"/>
      <c r="N136" s="412" t="s">
        <v>150</v>
      </c>
      <c r="O136" s="412"/>
      <c r="P136" s="163"/>
      <c r="Q136" s="165"/>
    </row>
    <row r="137" spans="1:17" ht="15" customHeight="1" thickBot="1">
      <c r="A137" s="160"/>
      <c r="B137" s="415" t="s">
        <v>151</v>
      </c>
      <c r="C137" s="415"/>
      <c r="D137" s="415"/>
      <c r="E137" s="415"/>
      <c r="F137" s="400">
        <f>IF($K$146&gt;$O$146,F72,M72)</f>
        <v>6.1248362139925431E-3</v>
      </c>
      <c r="G137" s="400"/>
      <c r="H137" s="400">
        <f>IF($K$146&gt;$O$146,G72,N72)</f>
        <v>7.8261332815078882E-2</v>
      </c>
      <c r="I137" s="404"/>
      <c r="J137" s="417">
        <f>IF($K$146&gt;$O$146,H72,O72)</f>
        <v>1.2365397311429294E-2</v>
      </c>
      <c r="K137" s="418"/>
      <c r="L137" s="418">
        <f>IF($K$146&gt;$O$146,I72,P72)</f>
        <v>0.11119980805482217</v>
      </c>
      <c r="M137" s="418"/>
      <c r="N137" s="418">
        <f>IF($K$146&gt;$O$146,J72,Q72)</f>
        <v>9.3913599378094653E-2</v>
      </c>
      <c r="O137" s="419"/>
      <c r="P137" s="163"/>
      <c r="Q137" s="165"/>
    </row>
    <row r="138" spans="1:17" ht="15" customHeight="1">
      <c r="A138" s="160"/>
      <c r="B138" s="415" t="s">
        <v>152</v>
      </c>
      <c r="C138" s="415"/>
      <c r="D138" s="415"/>
      <c r="E138" s="415"/>
      <c r="F138" s="400">
        <f>IF($K$146&gt;$O$146,F73,M73)</f>
        <v>4.2134111111115169E-3</v>
      </c>
      <c r="G138" s="400"/>
      <c r="H138" s="400">
        <f>IF($K$146&gt;$O$146,G73,N73)</f>
        <v>6.4910793486996576E-2</v>
      </c>
      <c r="I138" s="400"/>
      <c r="J138" s="416">
        <f>IF($K$146&gt;$O$146,H73,O73)</f>
        <v>8.5064319444588653E-3</v>
      </c>
      <c r="K138" s="416"/>
      <c r="L138" s="416">
        <f>IF($K$146&gt;$O$146,I73,P73)</f>
        <v>9.2230320093008814E-2</v>
      </c>
      <c r="M138" s="416"/>
      <c r="N138" s="416">
        <f>IF($K$146&gt;$O$146,J73,Q73)</f>
        <v>7.7892952184395889E-2</v>
      </c>
      <c r="O138" s="416"/>
      <c r="P138" s="163"/>
      <c r="Q138" s="165"/>
    </row>
    <row r="139" spans="1:17" ht="15" customHeight="1">
      <c r="A139" s="160"/>
      <c r="B139" s="420" t="s">
        <v>153</v>
      </c>
      <c r="C139" s="420"/>
      <c r="D139" s="420"/>
      <c r="E139" s="420"/>
      <c r="F139" s="400">
        <f>IF($K$146&gt;$O$146,F74,M74)</f>
        <v>1.911425102881026E-3</v>
      </c>
      <c r="G139" s="400"/>
      <c r="H139" s="400">
        <f>IF($K$146&gt;$O$146,G74,N74)</f>
        <v>4.3719847928384035E-2</v>
      </c>
      <c r="I139" s="400"/>
      <c r="J139" s="421">
        <f>IF($K$146&gt;$O$146,H74,O74)</f>
        <v>3.8589653669704278E-3</v>
      </c>
      <c r="K139" s="421"/>
      <c r="L139" s="421">
        <f>IF($K$146&gt;$O$146,I74,P74)</f>
        <v>6.2120571206086217E-2</v>
      </c>
      <c r="M139" s="421"/>
      <c r="N139" s="421">
        <f>IF($K$146&gt;$O$146,J74,Q74)</f>
        <v>5.2463817514060838E-2</v>
      </c>
      <c r="O139" s="421"/>
      <c r="P139" s="163"/>
      <c r="Q139" s="165"/>
    </row>
    <row r="140" spans="1:17" ht="15" customHeight="1">
      <c r="A140" s="160"/>
      <c r="B140" s="420" t="s">
        <v>154</v>
      </c>
      <c r="C140" s="420"/>
      <c r="D140" s="420"/>
      <c r="E140" s="420"/>
      <c r="F140" s="400">
        <f>IF($K$146&gt;$O$146,F75,M75)</f>
        <v>0</v>
      </c>
      <c r="G140" s="400"/>
      <c r="H140" s="400">
        <f>IF($K$146&gt;$O$146,G75,N75)</f>
        <v>0</v>
      </c>
      <c r="I140" s="400"/>
      <c r="J140" s="421">
        <f>IF($K$146&gt;$O$146,H75,O75)</f>
        <v>0</v>
      </c>
      <c r="K140" s="421"/>
      <c r="L140" s="421">
        <f>IF($K$146&gt;$O$146,I75,P75)</f>
        <v>0</v>
      </c>
      <c r="M140" s="421"/>
      <c r="N140" s="421">
        <f>IF($K$146&gt;$O$146,J75,Q75)</f>
        <v>0</v>
      </c>
      <c r="O140" s="421"/>
      <c r="P140" s="163"/>
      <c r="Q140" s="165"/>
    </row>
    <row r="141" spans="1:17" ht="15" customHeight="1">
      <c r="A141" s="160"/>
      <c r="B141" s="422" t="s">
        <v>155</v>
      </c>
      <c r="C141" s="423"/>
      <c r="D141" s="423"/>
      <c r="E141" s="424"/>
      <c r="F141" s="425">
        <v>0</v>
      </c>
      <c r="G141" s="425"/>
      <c r="H141" s="425">
        <v>0</v>
      </c>
      <c r="I141" s="425"/>
      <c r="J141" s="425">
        <v>0</v>
      </c>
      <c r="K141" s="425"/>
      <c r="L141" s="425">
        <v>0</v>
      </c>
      <c r="M141" s="425"/>
      <c r="N141" s="425">
        <v>0</v>
      </c>
      <c r="O141" s="425"/>
      <c r="P141" s="163"/>
      <c r="Q141" s="165"/>
    </row>
    <row r="142" spans="1:17" ht="15" customHeight="1">
      <c r="A142" s="160"/>
      <c r="B142" s="415" t="s">
        <v>156</v>
      </c>
      <c r="C142" s="415"/>
      <c r="D142" s="415"/>
      <c r="E142" s="415"/>
      <c r="F142" s="400">
        <f>IF($K$146&gt;$O$146,F77,M77)</f>
        <v>0.48919577983539053</v>
      </c>
      <c r="G142" s="400"/>
      <c r="H142" s="400">
        <f>IF($K$146&gt;$O$146,G77,N77)</f>
        <v>0.69942532112827493</v>
      </c>
      <c r="I142" s="400"/>
      <c r="J142" s="421">
        <f>IF($K$146&gt;$O$146,H77,O77)</f>
        <v>0.98763460268857062</v>
      </c>
      <c r="K142" s="421"/>
      <c r="L142" s="421">
        <f>IF($K$146&gt;$O$146,I77,P77)</f>
        <v>0.99379806937253135</v>
      </c>
      <c r="M142" s="421"/>
      <c r="N142" s="421">
        <f>IF($K$146&gt;$O$146,J77,Q77)</f>
        <v>0.83931038535392999</v>
      </c>
      <c r="O142" s="421"/>
      <c r="P142" s="163"/>
      <c r="Q142" s="165"/>
    </row>
    <row r="143" spans="1:17" ht="15" customHeight="1">
      <c r="A143" s="160"/>
      <c r="B143" s="420" t="s">
        <v>157</v>
      </c>
      <c r="C143" s="420"/>
      <c r="D143" s="420"/>
      <c r="E143" s="420"/>
      <c r="F143" s="400">
        <f>IF($K$146&gt;$O$146,F78,M78)</f>
        <v>0.4953206160493831</v>
      </c>
      <c r="G143" s="400"/>
      <c r="H143" s="400">
        <f>IF($K$146&gt;$O$146,G78,N78)</f>
        <v>0.70379017899469376</v>
      </c>
      <c r="I143" s="400"/>
      <c r="J143" s="421">
        <f>IF($K$146&gt;$O$146,H78,O78)</f>
        <v>1</v>
      </c>
      <c r="K143" s="421"/>
      <c r="L143" s="421">
        <f>IF($K$146&gt;$O$146,I78,P78)</f>
        <v>1</v>
      </c>
      <c r="M143" s="421"/>
      <c r="N143" s="421">
        <f>IF($K$146&gt;$O$146,J78,Q78)</f>
        <v>0.84454821479363251</v>
      </c>
      <c r="O143" s="421"/>
      <c r="P143" s="163"/>
      <c r="Q143" s="165"/>
    </row>
    <row r="144" spans="1:17">
      <c r="A144" s="160"/>
      <c r="B144" s="163"/>
      <c r="C144" s="170" t="str">
        <f>IF($K$146&lt;$O$146,"Note: Refer to above tables because P value of operator*Part is greater than setting value","Note:Refer to above tables because P value of operator'*Part is less than setting value")</f>
        <v>Note:Refer to above tables because P value of operator'*Part is less than setting value</v>
      </c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5"/>
    </row>
    <row r="145" spans="1:17" ht="3.75" customHeight="1">
      <c r="A145" s="160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5"/>
    </row>
    <row r="146" spans="1:17" ht="20.25" customHeight="1" thickBot="1">
      <c r="A146" s="131"/>
      <c r="B146" s="132"/>
      <c r="C146" s="426" t="s">
        <v>158</v>
      </c>
      <c r="D146" s="426"/>
      <c r="E146" s="426"/>
      <c r="F146" s="426"/>
      <c r="G146" s="426"/>
      <c r="H146" s="426"/>
      <c r="I146" s="426"/>
      <c r="J146" s="426"/>
      <c r="K146" s="171">
        <v>0.25</v>
      </c>
      <c r="L146" s="132"/>
      <c r="M146" s="427" t="s">
        <v>159</v>
      </c>
      <c r="N146" s="427"/>
      <c r="O146" s="172">
        <f>J67</f>
        <v>6.8154828251686108E-3</v>
      </c>
      <c r="P146" s="132"/>
      <c r="Q146" s="134"/>
    </row>
    <row r="147" spans="1:17" ht="22.5" customHeight="1">
      <c r="A147" s="135"/>
      <c r="B147" s="136"/>
      <c r="C147" s="428"/>
      <c r="D147" s="428"/>
      <c r="E147" s="428"/>
      <c r="F147" s="428"/>
      <c r="G147" s="428"/>
      <c r="H147" s="173"/>
      <c r="I147" s="173"/>
      <c r="J147" s="136"/>
      <c r="K147" s="136"/>
      <c r="L147" s="136"/>
      <c r="M147" s="136"/>
      <c r="N147" s="174"/>
      <c r="O147" s="174"/>
      <c r="P147" s="136"/>
      <c r="Q147" s="138"/>
    </row>
    <row r="148" spans="1:17">
      <c r="A148" s="160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5"/>
    </row>
    <row r="149" spans="1:17">
      <c r="A149" s="160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5"/>
    </row>
    <row r="150" spans="1:17">
      <c r="A150" s="160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5"/>
    </row>
    <row r="151" spans="1:17">
      <c r="A151" s="160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5"/>
    </row>
    <row r="152" spans="1:17">
      <c r="A152" s="160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5"/>
    </row>
    <row r="153" spans="1:17">
      <c r="A153" s="160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5"/>
    </row>
    <row r="154" spans="1:17">
      <c r="A154" s="160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5"/>
    </row>
    <row r="155" spans="1:17">
      <c r="A155" s="160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5"/>
    </row>
    <row r="156" spans="1:17">
      <c r="A156" s="160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5"/>
    </row>
    <row r="157" spans="1:17">
      <c r="A157" s="160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5"/>
    </row>
    <row r="158" spans="1:17">
      <c r="A158" s="160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5"/>
    </row>
    <row r="159" spans="1:17" ht="12.75" customHeight="1">
      <c r="A159" s="160"/>
      <c r="B159" s="163"/>
      <c r="C159" s="163"/>
      <c r="D159" s="163"/>
      <c r="E159" s="163"/>
      <c r="F159" s="163"/>
      <c r="G159" s="163"/>
      <c r="H159" s="163"/>
      <c r="I159" s="163"/>
      <c r="J159" s="429" t="s">
        <v>160</v>
      </c>
      <c r="K159" s="429"/>
      <c r="L159" s="429"/>
      <c r="M159" s="429"/>
      <c r="N159" s="408" t="s">
        <v>148</v>
      </c>
      <c r="O159" s="408"/>
      <c r="P159" s="405" t="s">
        <v>149</v>
      </c>
      <c r="Q159" s="430"/>
    </row>
    <row r="160" spans="1:17">
      <c r="A160" s="160"/>
      <c r="B160" s="163"/>
      <c r="C160" s="163"/>
      <c r="D160" s="163"/>
      <c r="E160" s="163"/>
      <c r="F160" s="163"/>
      <c r="G160" s="163"/>
      <c r="H160" s="163"/>
      <c r="I160" s="163"/>
      <c r="J160" s="429"/>
      <c r="K160" s="429"/>
      <c r="L160" s="429"/>
      <c r="M160" s="429"/>
      <c r="N160" s="431">
        <f>J137</f>
        <v>1.2365397311429294E-2</v>
      </c>
      <c r="O160" s="432"/>
      <c r="P160" s="431">
        <f>L137</f>
        <v>0.11119980805482217</v>
      </c>
      <c r="Q160" s="435"/>
    </row>
    <row r="161" spans="1:17">
      <c r="A161" s="160"/>
      <c r="B161" s="163"/>
      <c r="C161" s="163"/>
      <c r="D161" s="163"/>
      <c r="E161" s="163"/>
      <c r="F161" s="163"/>
      <c r="G161" s="163"/>
      <c r="H161" s="163"/>
      <c r="I161" s="163"/>
      <c r="J161" s="429"/>
      <c r="K161" s="429"/>
      <c r="L161" s="429"/>
      <c r="M161" s="429"/>
      <c r="N161" s="433"/>
      <c r="O161" s="434"/>
      <c r="P161" s="433"/>
      <c r="Q161" s="436"/>
    </row>
    <row r="162" spans="1:17" ht="10.15" customHeight="1">
      <c r="A162" s="160"/>
      <c r="B162" s="163"/>
      <c r="C162" s="163"/>
      <c r="D162" s="163"/>
      <c r="E162" s="163"/>
      <c r="F162" s="163"/>
      <c r="G162" s="163"/>
      <c r="H162" s="163"/>
      <c r="I162" s="163"/>
      <c r="J162" s="429" t="s">
        <v>161</v>
      </c>
      <c r="K162" s="429"/>
      <c r="L162" s="429"/>
      <c r="M162" s="429"/>
      <c r="N162" s="431">
        <f>J137</f>
        <v>1.2365397311429294E-2</v>
      </c>
      <c r="O162" s="432"/>
      <c r="P162" s="431">
        <f>N137</f>
        <v>9.3913599378094653E-2</v>
      </c>
      <c r="Q162" s="435"/>
    </row>
    <row r="163" spans="1:17">
      <c r="A163" s="160"/>
      <c r="B163" s="163"/>
      <c r="C163" s="163"/>
      <c r="D163" s="163"/>
      <c r="E163" s="163"/>
      <c r="F163" s="163"/>
      <c r="G163" s="163"/>
      <c r="H163" s="163"/>
      <c r="I163" s="163"/>
      <c r="J163" s="429"/>
      <c r="K163" s="429"/>
      <c r="L163" s="429"/>
      <c r="M163" s="429"/>
      <c r="N163" s="433"/>
      <c r="O163" s="434"/>
      <c r="P163" s="433"/>
      <c r="Q163" s="436"/>
    </row>
    <row r="164" spans="1:17">
      <c r="A164" s="160"/>
      <c r="B164" s="163"/>
      <c r="C164" s="163"/>
      <c r="D164" s="163"/>
      <c r="E164" s="163"/>
      <c r="F164" s="163"/>
      <c r="G164" s="163"/>
      <c r="H164" s="163"/>
      <c r="I164" s="163"/>
      <c r="J164" s="429"/>
      <c r="K164" s="429"/>
      <c r="L164" s="429"/>
      <c r="M164" s="429"/>
      <c r="N164" s="163"/>
      <c r="O164" s="163"/>
      <c r="P164" s="163"/>
      <c r="Q164" s="165"/>
    </row>
    <row r="165" spans="1:17">
      <c r="A165" s="160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5"/>
    </row>
    <row r="166" spans="1:17">
      <c r="A166" s="160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 t="str">
        <f>IF(P160&lt;0.1,"良好Excellent",IF(P160&gt;0.3,"需改善Must be improved","可接收Accepted"))</f>
        <v>可接收Accepted</v>
      </c>
      <c r="O166" s="163"/>
      <c r="P166" s="163"/>
      <c r="Q166" s="165"/>
    </row>
    <row r="167" spans="1:17">
      <c r="A167" s="160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 t="str">
        <f>IF(P162&lt;0.1,"良好Excellent",IF(P162&gt;0.3,"需改善Must be improved","可接收Accepted"))</f>
        <v>良好Excellent</v>
      </c>
      <c r="O167" s="163"/>
      <c r="P167" s="163"/>
      <c r="Q167" s="165"/>
    </row>
    <row r="168" spans="1:17" ht="13.5" customHeight="1" thickBot="1">
      <c r="A168" s="131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4"/>
    </row>
    <row r="169" spans="1:17" ht="1.5" customHeight="1">
      <c r="A169" s="135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8"/>
    </row>
    <row r="170" spans="1:17" ht="30.75" customHeight="1">
      <c r="A170" s="451" t="s">
        <v>162</v>
      </c>
      <c r="B170" s="429"/>
      <c r="C170" s="429"/>
      <c r="D170" s="429"/>
      <c r="E170" s="452" t="s">
        <v>163</v>
      </c>
      <c r="F170" s="452"/>
      <c r="G170" s="452"/>
      <c r="H170" s="452"/>
      <c r="I170" s="175"/>
      <c r="J170" s="176" t="s">
        <v>164</v>
      </c>
      <c r="K170" s="453" t="str">
        <f>IF(E170="基于零件变差Base on parts variation",N166,IF(E170="基于公差Base on parts spec",N167,"选择分析方法Choose the analysis method"))</f>
        <v>良好Excellent</v>
      </c>
      <c r="L170" s="453"/>
      <c r="M170" s="453"/>
      <c r="N170" s="453"/>
      <c r="O170" s="453"/>
      <c r="P170" s="453"/>
      <c r="Q170" s="454"/>
    </row>
    <row r="171" spans="1:17" ht="1.5" customHeight="1" thickBot="1">
      <c r="A171" s="177"/>
      <c r="B171" s="47"/>
      <c r="C171" s="47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9"/>
      <c r="P171" s="179"/>
      <c r="Q171" s="180"/>
    </row>
    <row r="172" spans="1:17" ht="16.5" customHeight="1">
      <c r="A172" s="437" t="s">
        <v>165</v>
      </c>
      <c r="B172" s="438"/>
      <c r="C172" s="438"/>
      <c r="D172" s="439"/>
      <c r="E172" s="443"/>
      <c r="F172" s="444"/>
      <c r="G172" s="444"/>
      <c r="H172" s="444"/>
      <c r="I172" s="444"/>
      <c r="J172" s="444"/>
      <c r="K172" s="444"/>
      <c r="L172" s="444"/>
      <c r="M172" s="444"/>
      <c r="N172" s="444"/>
      <c r="O172" s="444"/>
      <c r="P172" s="444"/>
      <c r="Q172" s="445"/>
    </row>
    <row r="173" spans="1:17" ht="16.5" customHeight="1" thickBot="1">
      <c r="A173" s="440"/>
      <c r="B173" s="441"/>
      <c r="C173" s="441"/>
      <c r="D173" s="442"/>
      <c r="E173" s="446"/>
      <c r="F173" s="447"/>
      <c r="G173" s="447"/>
      <c r="H173" s="447"/>
      <c r="I173" s="447"/>
      <c r="J173" s="447"/>
      <c r="K173" s="447"/>
      <c r="L173" s="447"/>
      <c r="M173" s="447"/>
      <c r="N173" s="447"/>
      <c r="O173" s="447"/>
      <c r="P173" s="447"/>
      <c r="Q173" s="448"/>
    </row>
    <row r="174" spans="1:17" ht="21.75" customHeight="1" thickBot="1">
      <c r="A174" s="59"/>
      <c r="B174" s="12"/>
      <c r="C174" s="12" t="s">
        <v>166</v>
      </c>
      <c r="D174" s="12"/>
      <c r="E174" s="449" t="s">
        <v>167</v>
      </c>
      <c r="F174" s="449"/>
      <c r="G174" s="449"/>
      <c r="H174" s="450" t="s">
        <v>168</v>
      </c>
      <c r="I174" s="450"/>
      <c r="J174" s="181"/>
      <c r="K174" s="182">
        <v>45538</v>
      </c>
      <c r="L174" s="181"/>
      <c r="M174" s="181"/>
      <c r="N174" s="181"/>
      <c r="O174" s="181"/>
      <c r="P174" s="181"/>
      <c r="Q174" s="183"/>
    </row>
    <row r="175" spans="1:17">
      <c r="A175" s="184" t="s">
        <v>115</v>
      </c>
      <c r="H175" s="123"/>
      <c r="I175" s="123"/>
      <c r="J175" s="123"/>
      <c r="K175" s="123"/>
      <c r="L175" s="123"/>
      <c r="M175" s="123"/>
      <c r="N175" s="123"/>
      <c r="O175" s="123"/>
      <c r="P175" s="123"/>
      <c r="Q175" s="124" t="str">
        <f>Q112</f>
        <v>QF-A1-TDD-0018  Rev.5</v>
      </c>
    </row>
  </sheetData>
  <mergeCells count="239">
    <mergeCell ref="A172:D173"/>
    <mergeCell ref="E172:Q172"/>
    <mergeCell ref="E173:Q173"/>
    <mergeCell ref="E174:G174"/>
    <mergeCell ref="H174:I174"/>
    <mergeCell ref="J162:M164"/>
    <mergeCell ref="N162:O163"/>
    <mergeCell ref="P162:Q163"/>
    <mergeCell ref="A170:D170"/>
    <mergeCell ref="E170:H170"/>
    <mergeCell ref="K170:Q170"/>
    <mergeCell ref="C146:J146"/>
    <mergeCell ref="M146:N146"/>
    <mergeCell ref="C147:G147"/>
    <mergeCell ref="J159:M161"/>
    <mergeCell ref="N159:O159"/>
    <mergeCell ref="P159:Q159"/>
    <mergeCell ref="N160:O161"/>
    <mergeCell ref="P160:Q161"/>
    <mergeCell ref="B143:E143"/>
    <mergeCell ref="F143:G143"/>
    <mergeCell ref="H143:I143"/>
    <mergeCell ref="J143:K143"/>
    <mergeCell ref="L143:M143"/>
    <mergeCell ref="N143:O143"/>
    <mergeCell ref="B142:E142"/>
    <mergeCell ref="F142:G142"/>
    <mergeCell ref="H142:I142"/>
    <mergeCell ref="J142:K142"/>
    <mergeCell ref="L142:M142"/>
    <mergeCell ref="N142:O142"/>
    <mergeCell ref="B141:E141"/>
    <mergeCell ref="F141:G141"/>
    <mergeCell ref="H141:I141"/>
    <mergeCell ref="J141:K141"/>
    <mergeCell ref="L141:M141"/>
    <mergeCell ref="N141:O141"/>
    <mergeCell ref="B140:E140"/>
    <mergeCell ref="F140:G140"/>
    <mergeCell ref="H140:I140"/>
    <mergeCell ref="J140:K140"/>
    <mergeCell ref="L140:M140"/>
    <mergeCell ref="N140:O140"/>
    <mergeCell ref="B139:E139"/>
    <mergeCell ref="F139:G139"/>
    <mergeCell ref="H139:I139"/>
    <mergeCell ref="J139:K139"/>
    <mergeCell ref="L139:M139"/>
    <mergeCell ref="N139:O139"/>
    <mergeCell ref="B138:E138"/>
    <mergeCell ref="F138:G138"/>
    <mergeCell ref="H138:I138"/>
    <mergeCell ref="J138:K138"/>
    <mergeCell ref="L138:M138"/>
    <mergeCell ref="N138:O138"/>
    <mergeCell ref="B137:E137"/>
    <mergeCell ref="F137:G137"/>
    <mergeCell ref="H137:I137"/>
    <mergeCell ref="J137:K137"/>
    <mergeCell ref="L137:M137"/>
    <mergeCell ref="N137:O137"/>
    <mergeCell ref="B136:E136"/>
    <mergeCell ref="F136:G136"/>
    <mergeCell ref="H136:I136"/>
    <mergeCell ref="J136:K136"/>
    <mergeCell ref="L136:M136"/>
    <mergeCell ref="N136:O136"/>
    <mergeCell ref="N133:O133"/>
    <mergeCell ref="B134:E134"/>
    <mergeCell ref="F134:G134"/>
    <mergeCell ref="H134:I134"/>
    <mergeCell ref="J134:K134"/>
    <mergeCell ref="L134:M134"/>
    <mergeCell ref="B132:E132"/>
    <mergeCell ref="F132:G132"/>
    <mergeCell ref="H132:I132"/>
    <mergeCell ref="J132:K132"/>
    <mergeCell ref="L132:M132"/>
    <mergeCell ref="B133:E133"/>
    <mergeCell ref="F133:G133"/>
    <mergeCell ref="H133:I133"/>
    <mergeCell ref="J133:K133"/>
    <mergeCell ref="L133:M133"/>
    <mergeCell ref="I121:J121"/>
    <mergeCell ref="K121:L121"/>
    <mergeCell ref="M121:N121"/>
    <mergeCell ref="O125:P125"/>
    <mergeCell ref="B128:D128"/>
    <mergeCell ref="F128:H128"/>
    <mergeCell ref="B129:E129"/>
    <mergeCell ref="F129:G129"/>
    <mergeCell ref="H129:I129"/>
    <mergeCell ref="J129:K129"/>
    <mergeCell ref="L129:M129"/>
    <mergeCell ref="N129:O131"/>
    <mergeCell ref="B130:E130"/>
    <mergeCell ref="F130:G130"/>
    <mergeCell ref="H130:I130"/>
    <mergeCell ref="J130:K130"/>
    <mergeCell ref="L130:M130"/>
    <mergeCell ref="B131:E131"/>
    <mergeCell ref="F131:G131"/>
    <mergeCell ref="H131:I131"/>
    <mergeCell ref="J131:K131"/>
    <mergeCell ref="L131:M131"/>
    <mergeCell ref="A119:D119"/>
    <mergeCell ref="E119:F119"/>
    <mergeCell ref="G119:H119"/>
    <mergeCell ref="I119:J119"/>
    <mergeCell ref="K119:L119"/>
    <mergeCell ref="M119:N119"/>
    <mergeCell ref="O119:P119"/>
    <mergeCell ref="A124:D124"/>
    <mergeCell ref="A125:D125"/>
    <mergeCell ref="E125:F125"/>
    <mergeCell ref="G125:H125"/>
    <mergeCell ref="J125:L125"/>
    <mergeCell ref="M125:N125"/>
    <mergeCell ref="O121:P121"/>
    <mergeCell ref="A122:D122"/>
    <mergeCell ref="A123:D123"/>
    <mergeCell ref="E123:F123"/>
    <mergeCell ref="G123:H123"/>
    <mergeCell ref="K123:L123"/>
    <mergeCell ref="M123:N123"/>
    <mergeCell ref="O123:P123"/>
    <mergeCell ref="A121:D121"/>
    <mergeCell ref="E121:F121"/>
    <mergeCell ref="G121:H121"/>
    <mergeCell ref="A113:Q113"/>
    <mergeCell ref="A114:Q114"/>
    <mergeCell ref="D74:E74"/>
    <mergeCell ref="K74:L74"/>
    <mergeCell ref="D75:E75"/>
    <mergeCell ref="K75:L75"/>
    <mergeCell ref="D76:E76"/>
    <mergeCell ref="K76:L76"/>
    <mergeCell ref="A116:D116"/>
    <mergeCell ref="M116:O116"/>
    <mergeCell ref="P116:Q116"/>
    <mergeCell ref="A62:B78"/>
    <mergeCell ref="C62:F62"/>
    <mergeCell ref="I62:J62"/>
    <mergeCell ref="O62:P62"/>
    <mergeCell ref="D63:J63"/>
    <mergeCell ref="K63:Q63"/>
    <mergeCell ref="K65:L65"/>
    <mergeCell ref="D66:E66"/>
    <mergeCell ref="D70:J70"/>
    <mergeCell ref="K70:Q70"/>
    <mergeCell ref="D72:E72"/>
    <mergeCell ref="K72:L72"/>
    <mergeCell ref="D73:E73"/>
    <mergeCell ref="K73:L73"/>
    <mergeCell ref="K66:L66"/>
    <mergeCell ref="D67:E67"/>
    <mergeCell ref="K67:L67"/>
    <mergeCell ref="D68:E68"/>
    <mergeCell ref="K68:L68"/>
    <mergeCell ref="K69:L69"/>
    <mergeCell ref="D77:E77"/>
    <mergeCell ref="K77:L77"/>
    <mergeCell ref="D78:E78"/>
    <mergeCell ref="K78:L78"/>
    <mergeCell ref="B41:D41"/>
    <mergeCell ref="B42:D42"/>
    <mergeCell ref="A43:Q43"/>
    <mergeCell ref="A44:B61"/>
    <mergeCell ref="F54:G54"/>
    <mergeCell ref="J54:K54"/>
    <mergeCell ref="N54:O54"/>
    <mergeCell ref="F55:G55"/>
    <mergeCell ref="J55:K55"/>
    <mergeCell ref="N55:O55"/>
    <mergeCell ref="F58:G58"/>
    <mergeCell ref="J58:K58"/>
    <mergeCell ref="N58:O58"/>
    <mergeCell ref="F59:G59"/>
    <mergeCell ref="J59:K59"/>
    <mergeCell ref="N59:O59"/>
    <mergeCell ref="F56:G56"/>
    <mergeCell ref="J56:K56"/>
    <mergeCell ref="N56:O56"/>
    <mergeCell ref="F57:G57"/>
    <mergeCell ref="J57:K57"/>
    <mergeCell ref="N57:O57"/>
    <mergeCell ref="H61:J61"/>
    <mergeCell ref="L61:N61"/>
    <mergeCell ref="P33:Q33"/>
    <mergeCell ref="A37:D37"/>
    <mergeCell ref="A38:D38"/>
    <mergeCell ref="A39:D39"/>
    <mergeCell ref="M39:N39"/>
    <mergeCell ref="B40:D40"/>
    <mergeCell ref="I40:J40"/>
    <mergeCell ref="P21:Q21"/>
    <mergeCell ref="P25:Q25"/>
    <mergeCell ref="P26:Q26"/>
    <mergeCell ref="P27:Q27"/>
    <mergeCell ref="P31:Q31"/>
    <mergeCell ref="P32:Q32"/>
    <mergeCell ref="A16:F16"/>
    <mergeCell ref="O16:Q16"/>
    <mergeCell ref="A18:D18"/>
    <mergeCell ref="P18:Q18"/>
    <mergeCell ref="P19:Q19"/>
    <mergeCell ref="P20:Q20"/>
    <mergeCell ref="O11:P11"/>
    <mergeCell ref="A12:D12"/>
    <mergeCell ref="A13:D13"/>
    <mergeCell ref="E13:F13"/>
    <mergeCell ref="G13:H13"/>
    <mergeCell ref="J13:L13"/>
    <mergeCell ref="M13:N13"/>
    <mergeCell ref="O13:P13"/>
    <mergeCell ref="A10:D10"/>
    <mergeCell ref="A11:D11"/>
    <mergeCell ref="E11:F11"/>
    <mergeCell ref="G11:H11"/>
    <mergeCell ref="K11:L11"/>
    <mergeCell ref="M11:N11"/>
    <mergeCell ref="O7:P7"/>
    <mergeCell ref="A9:D9"/>
    <mergeCell ref="E9:F9"/>
    <mergeCell ref="G9:H9"/>
    <mergeCell ref="I9:J9"/>
    <mergeCell ref="K9:L9"/>
    <mergeCell ref="M9:N9"/>
    <mergeCell ref="O9:P9"/>
    <mergeCell ref="A1:Q1"/>
    <mergeCell ref="A2:Q2"/>
    <mergeCell ref="L4:O4"/>
    <mergeCell ref="P4:Q4"/>
    <mergeCell ref="A7:D7"/>
    <mergeCell ref="E7:F7"/>
    <mergeCell ref="G7:H7"/>
    <mergeCell ref="I7:J7"/>
    <mergeCell ref="K7:L7"/>
    <mergeCell ref="M7:N7"/>
  </mergeCells>
  <conditionalFormatting sqref="D108:J111">
    <cfRule type="expression" dxfId="16" priority="17" stopIfTrue="1">
      <formula>OR($H$35=0.25,$H$35&lt;0.25)</formula>
    </cfRule>
  </conditionalFormatting>
  <conditionalFormatting sqref="C19">
    <cfRule type="cellIs" dxfId="15" priority="16" operator="equal">
      <formula>$M$7</formula>
    </cfRule>
  </conditionalFormatting>
  <conditionalFormatting sqref="C20">
    <cfRule type="cellIs" dxfId="14" priority="15" operator="equal">
      <formula>$M$7</formula>
    </cfRule>
  </conditionalFormatting>
  <conditionalFormatting sqref="C21">
    <cfRule type="cellIs" dxfId="13" priority="14" operator="equal">
      <formula>$M$7</formula>
    </cfRule>
  </conditionalFormatting>
  <conditionalFormatting sqref="C25">
    <cfRule type="cellIs" dxfId="12" priority="13" operator="equal">
      <formula>$M$9</formula>
    </cfRule>
  </conditionalFormatting>
  <conditionalFormatting sqref="C26">
    <cfRule type="cellIs" dxfId="11" priority="12" operator="equal">
      <formula>$M$9</formula>
    </cfRule>
  </conditionalFormatting>
  <conditionalFormatting sqref="C27">
    <cfRule type="cellIs" dxfId="10" priority="11" operator="equal">
      <formula>$M$9</formula>
    </cfRule>
  </conditionalFormatting>
  <conditionalFormatting sqref="C31">
    <cfRule type="cellIs" dxfId="9" priority="10" operator="equal">
      <formula>$M$11</formula>
    </cfRule>
  </conditionalFormatting>
  <conditionalFormatting sqref="C32">
    <cfRule type="cellIs" dxfId="8" priority="9" operator="equal">
      <formula>$M$11</formula>
    </cfRule>
  </conditionalFormatting>
  <conditionalFormatting sqref="C33">
    <cfRule type="cellIs" dxfId="7" priority="8" operator="equal">
      <formula>$M$11</formula>
    </cfRule>
  </conditionalFormatting>
  <conditionalFormatting sqref="N133:O133">
    <cfRule type="cellIs" dxfId="6" priority="6" operator="lessThan">
      <formula>5</formula>
    </cfRule>
    <cfRule type="cellIs" dxfId="5" priority="7" operator="greaterThan">
      <formula>5</formula>
    </cfRule>
  </conditionalFormatting>
  <conditionalFormatting sqref="N137:O137">
    <cfRule type="cellIs" dxfId="4" priority="4" operator="greaterThan">
      <formula>0.1</formula>
    </cfRule>
    <cfRule type="cellIs" dxfId="3" priority="5" operator="lessThan">
      <formula>0.1</formula>
    </cfRule>
  </conditionalFormatting>
  <conditionalFormatting sqref="K170:Q170">
    <cfRule type="containsText" dxfId="2" priority="1" operator="containsText" text="Must be improved">
      <formula>NOT(ISERROR(SEARCH("Must be improved",K170)))</formula>
    </cfRule>
    <cfRule type="containsText" dxfId="1" priority="2" operator="containsText" text="Accepted">
      <formula>NOT(ISERROR(SEARCH("Accepted",K170)))</formula>
    </cfRule>
    <cfRule type="containsText" dxfId="0" priority="3" operator="containsText" text="Excellent">
      <formula>NOT(ISERROR(SEARCH("Excellent",K170)))</formula>
    </cfRule>
  </conditionalFormatting>
  <dataValidations count="5">
    <dataValidation type="list" allowBlank="1" showInputMessage="1" showErrorMessage="1" sqref="E170:H170">
      <formula1>"基于零件变差Base on parts variation,基于公差Base on parts spec,？"</formula1>
    </dataValidation>
    <dataValidation type="list" allowBlank="1" showInputMessage="1" showErrorMessage="1" sqref="Q9">
      <formula1>"2,3,? "</formula1>
    </dataValidation>
    <dataValidation type="custom" showInputMessage="1" showErrorMessage="1" error="试验次数设定为 2次。" sqref="L33:N33 M21:N21 M27:N27">
      <formula1>$Q$11=3</formula1>
    </dataValidation>
    <dataValidation type="list" allowBlank="1" showInputMessage="1" showErrorMessage="1" sqref="Q11">
      <formula1>"2,3,?"</formula1>
    </dataValidation>
    <dataValidation type="custom" allowBlank="1" showInputMessage="1" showErrorMessage="1" error="分析设定为2人" sqref="M31 H31:J33">
      <formula1>$Q$9=3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8</xdr:col>
                    <xdr:colOff>19050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 sizeWithCells="1">
                  <from>
                    <xdr:col>8</xdr:col>
                    <xdr:colOff>38100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 sizeWithCells="1">
                  <from>
                    <xdr:col>12</xdr:col>
                    <xdr:colOff>57150</xdr:colOff>
                    <xdr:row>15</xdr:row>
                    <xdr:rowOff>0</xdr:rowOff>
                  </from>
                  <to>
                    <xdr:col>14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8</xdr:col>
                    <xdr:colOff>19050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Fill="0" autoLine="0" autoPict="0">
                <anchor moveWithCells="1" sizeWithCells="1">
                  <from>
                    <xdr:col>8</xdr:col>
                    <xdr:colOff>38100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Option Button 7">
              <controlPr defaultSize="0" autoFill="0" autoLine="0" autoPict="0">
                <anchor moveWithCells="1" sizeWithCells="1">
                  <from>
                    <xdr:col>12</xdr:col>
                    <xdr:colOff>57150</xdr:colOff>
                    <xdr:row>15</xdr:row>
                    <xdr:rowOff>0</xdr:rowOff>
                  </from>
                  <to>
                    <xdr:col>14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27"/>
  <sheetViews>
    <sheetView zoomScale="90" zoomScaleNormal="90" workbookViewId="0">
      <selection activeCell="I3" sqref="I3"/>
    </sheetView>
  </sheetViews>
  <sheetFormatPr defaultRowHeight="14.25"/>
  <cols>
    <col min="1" max="1" width="12" bestFit="1" customWidth="1"/>
    <col min="17" max="17" width="10.125" customWidth="1"/>
  </cols>
  <sheetData>
    <row r="2" spans="1:27">
      <c r="A2" s="186" t="s">
        <v>179</v>
      </c>
    </row>
    <row r="3" spans="1:27">
      <c r="A3">
        <v>1</v>
      </c>
      <c r="B3" t="s">
        <v>180</v>
      </c>
    </row>
    <row r="4" spans="1:27">
      <c r="B4" t="s">
        <v>181</v>
      </c>
    </row>
    <row r="5" spans="1:27">
      <c r="B5" t="s">
        <v>182</v>
      </c>
    </row>
    <row r="6" spans="1:27">
      <c r="B6" t="s">
        <v>183</v>
      </c>
    </row>
    <row r="7" spans="1:27">
      <c r="B7" t="s">
        <v>184</v>
      </c>
    </row>
    <row r="8" spans="1:27">
      <c r="B8" t="s">
        <v>185</v>
      </c>
    </row>
    <row r="9" spans="1:27">
      <c r="A9">
        <v>2</v>
      </c>
      <c r="B9" t="s">
        <v>186</v>
      </c>
      <c r="W9" s="187"/>
      <c r="X9" s="187"/>
      <c r="Y9" s="187"/>
      <c r="Z9" s="187"/>
      <c r="AA9" s="187"/>
    </row>
    <row r="10" spans="1:27">
      <c r="B10" t="s">
        <v>187</v>
      </c>
      <c r="W10" s="187"/>
      <c r="X10" s="187"/>
      <c r="Y10" s="187"/>
      <c r="Z10" s="187"/>
      <c r="AA10" s="187"/>
    </row>
    <row r="20" spans="1:12">
      <c r="A20" s="186" t="s">
        <v>188</v>
      </c>
    </row>
    <row r="22" spans="1:12">
      <c r="A22">
        <v>1</v>
      </c>
      <c r="B22" t="s">
        <v>189</v>
      </c>
    </row>
    <row r="23" spans="1:12">
      <c r="A23">
        <v>2</v>
      </c>
      <c r="B23" t="s">
        <v>212</v>
      </c>
    </row>
    <row r="24" spans="1:12">
      <c r="A24">
        <v>3</v>
      </c>
      <c r="B24" t="s">
        <v>206</v>
      </c>
    </row>
    <row r="25" spans="1:12">
      <c r="A25">
        <v>4</v>
      </c>
      <c r="B25" t="s">
        <v>213</v>
      </c>
    </row>
    <row r="26" spans="1:12">
      <c r="A26">
        <v>5</v>
      </c>
      <c r="B26" t="s">
        <v>205</v>
      </c>
    </row>
    <row r="27" spans="1:12">
      <c r="A27">
        <v>6</v>
      </c>
      <c r="B27" s="188" t="s">
        <v>205</v>
      </c>
      <c r="C27" s="188"/>
      <c r="D27" s="188"/>
      <c r="E27" s="188"/>
      <c r="F27" s="188"/>
      <c r="G27" s="188"/>
      <c r="H27" s="188"/>
      <c r="I27" s="188"/>
      <c r="J27" s="188"/>
      <c r="K27" s="188"/>
      <c r="L27" s="188"/>
    </row>
    <row r="28" spans="1:12">
      <c r="A28">
        <v>7</v>
      </c>
      <c r="B28" t="s">
        <v>207</v>
      </c>
    </row>
    <row r="30" spans="1:12">
      <c r="A30">
        <v>8</v>
      </c>
      <c r="B30" t="s">
        <v>190</v>
      </c>
      <c r="D30" t="s">
        <v>208</v>
      </c>
    </row>
    <row r="33" spans="1:4">
      <c r="D33" t="s">
        <v>209</v>
      </c>
    </row>
    <row r="35" spans="1:4">
      <c r="D35" t="s">
        <v>210</v>
      </c>
    </row>
    <row r="38" spans="1:4">
      <c r="A38">
        <v>9</v>
      </c>
      <c r="B38" t="s">
        <v>190</v>
      </c>
      <c r="D38" t="s">
        <v>211</v>
      </c>
    </row>
    <row r="41" spans="1:4">
      <c r="D41" t="s">
        <v>214</v>
      </c>
    </row>
    <row r="44" spans="1:4">
      <c r="D44" t="s">
        <v>215</v>
      </c>
    </row>
    <row r="47" spans="1:4">
      <c r="A47">
        <v>10</v>
      </c>
      <c r="B47" t="s">
        <v>190</v>
      </c>
      <c r="D47" t="s">
        <v>216</v>
      </c>
    </row>
    <row r="50" spans="1:17">
      <c r="A50" s="189">
        <v>11</v>
      </c>
      <c r="B50" s="189" t="s">
        <v>190</v>
      </c>
      <c r="C50" s="189" t="s">
        <v>217</v>
      </c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</row>
    <row r="51" spans="1:17">
      <c r="A51" s="189">
        <v>12</v>
      </c>
      <c r="B51" s="189" t="s">
        <v>190</v>
      </c>
      <c r="C51" s="189" t="s">
        <v>218</v>
      </c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</row>
    <row r="53" spans="1:17">
      <c r="A53">
        <v>13</v>
      </c>
      <c r="B53" t="s">
        <v>190</v>
      </c>
      <c r="D53" t="s">
        <v>219</v>
      </c>
    </row>
    <row r="56" spans="1:17">
      <c r="A56">
        <v>14</v>
      </c>
      <c r="B56" t="s">
        <v>190</v>
      </c>
    </row>
    <row r="57" spans="1:17">
      <c r="D57" t="s">
        <v>220</v>
      </c>
    </row>
    <row r="60" spans="1:17">
      <c r="A60">
        <v>15</v>
      </c>
      <c r="B60" t="s">
        <v>191</v>
      </c>
    </row>
    <row r="70" spans="1:5">
      <c r="A70">
        <v>16</v>
      </c>
      <c r="B70" t="s">
        <v>192</v>
      </c>
    </row>
    <row r="74" spans="1:5">
      <c r="D74" s="187" t="s">
        <v>193</v>
      </c>
    </row>
    <row r="76" spans="1:5">
      <c r="A76">
        <v>17</v>
      </c>
      <c r="B76" t="s">
        <v>194</v>
      </c>
    </row>
    <row r="80" spans="1:5">
      <c r="D80" s="187" t="s">
        <v>195</v>
      </c>
      <c r="E80" s="187" t="s">
        <v>196</v>
      </c>
    </row>
    <row r="82" spans="1:4">
      <c r="A82">
        <v>18</v>
      </c>
      <c r="B82" t="s">
        <v>197</v>
      </c>
    </row>
    <row r="86" spans="1:4">
      <c r="D86" s="187" t="s">
        <v>198</v>
      </c>
    </row>
    <row r="88" spans="1:4">
      <c r="A88">
        <v>19</v>
      </c>
      <c r="B88" t="s">
        <v>199</v>
      </c>
    </row>
    <row r="92" spans="1:4">
      <c r="D92" s="187" t="s">
        <v>200</v>
      </c>
    </row>
    <row r="94" spans="1:4">
      <c r="A94">
        <v>20</v>
      </c>
      <c r="B94" t="s">
        <v>201</v>
      </c>
    </row>
    <row r="98" spans="1:13">
      <c r="D98" s="187" t="s">
        <v>202</v>
      </c>
    </row>
    <row r="100" spans="1:13">
      <c r="A100">
        <v>21</v>
      </c>
      <c r="B100" t="s">
        <v>203</v>
      </c>
    </row>
    <row r="103" spans="1:13">
      <c r="D103" s="187" t="s">
        <v>204</v>
      </c>
    </row>
    <row r="105" spans="1:13">
      <c r="A105">
        <v>22</v>
      </c>
      <c r="B105" t="s">
        <v>378</v>
      </c>
      <c r="E105" t="s">
        <v>269</v>
      </c>
      <c r="F105" t="s">
        <v>249</v>
      </c>
      <c r="G105" t="s">
        <v>379</v>
      </c>
    </row>
    <row r="106" spans="1:13">
      <c r="E106" t="s">
        <v>250</v>
      </c>
      <c r="F106" t="s">
        <v>380</v>
      </c>
      <c r="G106" t="s">
        <v>381</v>
      </c>
    </row>
    <row r="108" spans="1:13">
      <c r="C108" s="257">
        <v>1</v>
      </c>
      <c r="D108" s="257">
        <v>2</v>
      </c>
      <c r="E108" s="257">
        <v>3</v>
      </c>
      <c r="F108" s="257">
        <v>4</v>
      </c>
      <c r="G108" s="257">
        <v>5</v>
      </c>
      <c r="H108" s="257">
        <v>6</v>
      </c>
      <c r="I108" s="257">
        <v>7</v>
      </c>
      <c r="J108" s="257">
        <v>8</v>
      </c>
      <c r="K108" s="257">
        <v>9</v>
      </c>
      <c r="L108" s="257">
        <v>10</v>
      </c>
      <c r="M108" t="s">
        <v>382</v>
      </c>
    </row>
    <row r="109" spans="1:13">
      <c r="B109" t="s">
        <v>269</v>
      </c>
      <c r="C109">
        <v>1.1945877111111112</v>
      </c>
      <c r="D109">
        <v>1.1945877111111112</v>
      </c>
      <c r="E109">
        <v>1.1945877111111112</v>
      </c>
      <c r="F109">
        <v>1.1945877111111112</v>
      </c>
      <c r="G109">
        <v>1.1945877111111112</v>
      </c>
      <c r="H109">
        <v>1.1945877111111112</v>
      </c>
      <c r="I109">
        <v>1.1945877111111112</v>
      </c>
      <c r="J109">
        <v>1.1945877111111112</v>
      </c>
      <c r="K109">
        <v>1.1945877111111112</v>
      </c>
      <c r="L109">
        <v>1.1945877111111112</v>
      </c>
      <c r="M109" t="s">
        <v>383</v>
      </c>
    </row>
    <row r="110" spans="1:13">
      <c r="B110" t="s">
        <v>249</v>
      </c>
      <c r="C110">
        <v>0.99503451111111119</v>
      </c>
      <c r="D110">
        <v>0.99503451111111119</v>
      </c>
      <c r="E110">
        <v>0.99503451111111119</v>
      </c>
      <c r="F110">
        <v>0.99503451111111119</v>
      </c>
      <c r="G110">
        <v>0.99503451111111119</v>
      </c>
      <c r="H110">
        <v>0.99503451111111119</v>
      </c>
      <c r="I110">
        <v>0.99503451111111119</v>
      </c>
      <c r="J110">
        <v>0.99503451111111119</v>
      </c>
      <c r="K110">
        <v>0.99503451111111119</v>
      </c>
      <c r="L110">
        <v>0.99503451111111119</v>
      </c>
      <c r="M110" t="s">
        <v>384</v>
      </c>
    </row>
    <row r="111" spans="1:13">
      <c r="B111" t="s">
        <v>169</v>
      </c>
      <c r="C111">
        <v>0.25114833333333342</v>
      </c>
      <c r="D111">
        <v>0.25114833333333342</v>
      </c>
      <c r="E111">
        <v>0.25114833333333342</v>
      </c>
      <c r="F111">
        <v>0.25114833333333342</v>
      </c>
      <c r="G111">
        <v>0.25114833333333342</v>
      </c>
      <c r="H111">
        <v>0.25114833333333342</v>
      </c>
      <c r="I111">
        <v>0.25114833333333342</v>
      </c>
      <c r="J111">
        <v>0.25114833333333342</v>
      </c>
      <c r="K111">
        <v>0.25114833333333342</v>
      </c>
      <c r="L111">
        <v>0.25114833333333342</v>
      </c>
      <c r="M111" t="s">
        <v>385</v>
      </c>
    </row>
    <row r="112" spans="1:13">
      <c r="B112" t="s">
        <v>170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386</v>
      </c>
    </row>
    <row r="142" spans="1:4">
      <c r="A142">
        <v>23</v>
      </c>
      <c r="B142" t="s">
        <v>387</v>
      </c>
      <c r="D142" t="s">
        <v>388</v>
      </c>
    </row>
    <row r="144" spans="1:4">
      <c r="A144">
        <v>24</v>
      </c>
      <c r="B144" t="s">
        <v>389</v>
      </c>
      <c r="C144" t="s">
        <v>283</v>
      </c>
      <c r="D144" t="s">
        <v>390</v>
      </c>
    </row>
    <row r="146" spans="1:22">
      <c r="A146">
        <v>25</v>
      </c>
      <c r="B146" t="s">
        <v>389</v>
      </c>
      <c r="C146" t="s">
        <v>391</v>
      </c>
      <c r="F146" t="s">
        <v>392</v>
      </c>
    </row>
    <row r="147" spans="1:22">
      <c r="E147" s="258"/>
      <c r="F147" s="258"/>
    </row>
    <row r="148" spans="1:22">
      <c r="A148">
        <v>26</v>
      </c>
      <c r="B148" t="s">
        <v>389</v>
      </c>
      <c r="C148" t="s">
        <v>285</v>
      </c>
      <c r="E148" s="259"/>
      <c r="F148" t="s">
        <v>393</v>
      </c>
    </row>
    <row r="149" spans="1:22">
      <c r="E149" s="260"/>
      <c r="F149" s="260"/>
    </row>
    <row r="150" spans="1:22">
      <c r="A150">
        <v>27</v>
      </c>
      <c r="B150" t="s">
        <v>389</v>
      </c>
      <c r="C150" t="s">
        <v>286</v>
      </c>
      <c r="E150" s="259"/>
      <c r="F150" t="s">
        <v>394</v>
      </c>
    </row>
    <row r="151" spans="1:22">
      <c r="E151" s="260"/>
      <c r="F151" s="260"/>
    </row>
    <row r="152" spans="1:22">
      <c r="A152">
        <v>28</v>
      </c>
      <c r="B152" t="s">
        <v>389</v>
      </c>
      <c r="C152" t="s">
        <v>287</v>
      </c>
      <c r="F152" t="s">
        <v>395</v>
      </c>
    </row>
    <row r="154" spans="1:22">
      <c r="A154">
        <v>29</v>
      </c>
      <c r="B154" t="s">
        <v>190</v>
      </c>
      <c r="C154" t="s">
        <v>396</v>
      </c>
    </row>
    <row r="155" spans="1:22">
      <c r="R155" t="s">
        <v>397</v>
      </c>
    </row>
    <row r="157" spans="1:22">
      <c r="R157" t="s">
        <v>398</v>
      </c>
      <c r="T157" t="s">
        <v>399</v>
      </c>
    </row>
    <row r="159" spans="1:22">
      <c r="R159" t="s">
        <v>400</v>
      </c>
      <c r="V159" t="s">
        <v>401</v>
      </c>
    </row>
    <row r="161" spans="1:22">
      <c r="R161" t="s">
        <v>402</v>
      </c>
      <c r="V161" t="s">
        <v>403</v>
      </c>
    </row>
    <row r="164" spans="1:22">
      <c r="B164" s="186" t="s">
        <v>404</v>
      </c>
      <c r="C164" s="186"/>
      <c r="D164" s="186"/>
      <c r="E164" s="186"/>
      <c r="F164" s="186" t="s">
        <v>84</v>
      </c>
      <c r="G164" s="186"/>
      <c r="H164" s="186"/>
      <c r="I164" s="186"/>
      <c r="J164" s="186"/>
      <c r="K164" s="186" t="s">
        <v>85</v>
      </c>
      <c r="L164" s="186"/>
      <c r="M164" s="186"/>
      <c r="N164" s="186"/>
      <c r="O164" s="186" t="s">
        <v>86</v>
      </c>
      <c r="P164" s="186"/>
      <c r="Q164" s="186" t="s">
        <v>87</v>
      </c>
      <c r="R164" s="186"/>
      <c r="S164" s="186"/>
      <c r="T164" s="186" t="s">
        <v>88</v>
      </c>
    </row>
    <row r="165" spans="1:22">
      <c r="B165" s="261">
        <v>1</v>
      </c>
      <c r="C165" t="s">
        <v>405</v>
      </c>
      <c r="F165" t="s">
        <v>406</v>
      </c>
      <c r="K165" t="s">
        <v>407</v>
      </c>
      <c r="O165" t="s">
        <v>408</v>
      </c>
      <c r="Q165" t="s">
        <v>409</v>
      </c>
      <c r="T165" t="s">
        <v>410</v>
      </c>
    </row>
    <row r="166" spans="1:22">
      <c r="B166" s="261">
        <v>2</v>
      </c>
      <c r="C166" t="s">
        <v>411</v>
      </c>
      <c r="F166" t="s">
        <v>412</v>
      </c>
      <c r="K166" t="s">
        <v>413</v>
      </c>
      <c r="O166" t="s">
        <v>414</v>
      </c>
      <c r="Q166" t="s">
        <v>415</v>
      </c>
      <c r="T166" t="s">
        <v>416</v>
      </c>
    </row>
    <row r="167" spans="1:22">
      <c r="B167" s="261">
        <v>3</v>
      </c>
      <c r="C167" t="s">
        <v>417</v>
      </c>
      <c r="F167" t="s">
        <v>418</v>
      </c>
      <c r="K167" t="s">
        <v>419</v>
      </c>
      <c r="O167" t="s">
        <v>420</v>
      </c>
      <c r="Q167" t="s">
        <v>421</v>
      </c>
      <c r="T167" t="s">
        <v>422</v>
      </c>
    </row>
    <row r="168" spans="1:22">
      <c r="B168" s="261">
        <v>4</v>
      </c>
      <c r="C168" t="s">
        <v>423</v>
      </c>
      <c r="F168" t="s">
        <v>424</v>
      </c>
      <c r="K168" t="s">
        <v>425</v>
      </c>
      <c r="O168" t="s">
        <v>426</v>
      </c>
    </row>
    <row r="169" spans="1:22">
      <c r="B169" s="261">
        <v>5</v>
      </c>
      <c r="C169" t="s">
        <v>96</v>
      </c>
      <c r="F169" t="s">
        <v>427</v>
      </c>
      <c r="K169" t="s">
        <v>428</v>
      </c>
    </row>
    <row r="172" spans="1:22">
      <c r="A172">
        <v>30</v>
      </c>
      <c r="B172" t="s">
        <v>190</v>
      </c>
      <c r="C172" t="s">
        <v>82</v>
      </c>
    </row>
    <row r="182" spans="1:24">
      <c r="B182" s="186" t="s">
        <v>404</v>
      </c>
      <c r="C182" s="186"/>
      <c r="D182" s="186"/>
      <c r="E182" s="186"/>
      <c r="F182" s="186" t="s">
        <v>84</v>
      </c>
      <c r="G182" s="186"/>
      <c r="H182" s="186"/>
      <c r="I182" s="186"/>
      <c r="J182" s="186"/>
      <c r="O182" s="186" t="s">
        <v>85</v>
      </c>
      <c r="P182" s="186"/>
      <c r="Q182" s="186"/>
      <c r="R182" s="186"/>
      <c r="S182" s="186" t="s">
        <v>86</v>
      </c>
      <c r="T182" s="186"/>
      <c r="U182" s="186" t="s">
        <v>87</v>
      </c>
      <c r="V182" s="186"/>
      <c r="W182" s="186"/>
      <c r="X182" s="186" t="s">
        <v>88</v>
      </c>
    </row>
    <row r="183" spans="1:24">
      <c r="B183" s="261">
        <v>1</v>
      </c>
      <c r="C183" t="s">
        <v>405</v>
      </c>
      <c r="F183" t="s">
        <v>406</v>
      </c>
      <c r="O183" t="str">
        <f>K165</f>
        <v>ข้อที่ 26 - ข้อที่ 24</v>
      </c>
      <c r="S183" t="str">
        <f>O165</f>
        <v>SS/DF (Item1)</v>
      </c>
      <c r="U183" t="s">
        <v>409</v>
      </c>
      <c r="X183" t="s">
        <v>429</v>
      </c>
    </row>
    <row r="184" spans="1:24">
      <c r="B184" s="261">
        <v>2</v>
      </c>
      <c r="C184" t="s">
        <v>411</v>
      </c>
      <c r="F184" t="s">
        <v>412</v>
      </c>
      <c r="O184" t="str">
        <f>K166</f>
        <v>ข้อที่ 25 - ข้อที่ 24</v>
      </c>
      <c r="S184" t="str">
        <f>O166</f>
        <v>SS/DF (Item2)</v>
      </c>
      <c r="U184" t="s">
        <v>415</v>
      </c>
      <c r="X184" t="s">
        <v>430</v>
      </c>
    </row>
    <row r="185" spans="1:24">
      <c r="B185" s="261">
        <v>3</v>
      </c>
    </row>
    <row r="186" spans="1:24">
      <c r="B186" s="261">
        <v>4</v>
      </c>
      <c r="C186" t="s">
        <v>423</v>
      </c>
      <c r="F186" t="s">
        <v>431</v>
      </c>
      <c r="O186" t="s">
        <v>432</v>
      </c>
      <c r="S186" t="str">
        <f>O167</f>
        <v>SS/DF (Item3)</v>
      </c>
    </row>
    <row r="187" spans="1:24">
      <c r="B187" s="261">
        <v>5</v>
      </c>
      <c r="C187" t="s">
        <v>96</v>
      </c>
      <c r="F187" t="s">
        <v>427</v>
      </c>
      <c r="O187" t="s">
        <v>428</v>
      </c>
    </row>
    <row r="189" spans="1:24">
      <c r="A189">
        <v>31</v>
      </c>
      <c r="B189" t="s">
        <v>190</v>
      </c>
      <c r="C189" t="s">
        <v>333</v>
      </c>
    </row>
    <row r="199" spans="1:24" ht="15.75">
      <c r="B199" s="186" t="s">
        <v>404</v>
      </c>
      <c r="F199" s="262" t="s">
        <v>99</v>
      </c>
      <c r="K199" s="262" t="s">
        <v>100</v>
      </c>
      <c r="M199" s="262" t="s">
        <v>101</v>
      </c>
      <c r="R199" s="262" t="s">
        <v>102</v>
      </c>
      <c r="X199" s="262" t="s">
        <v>103</v>
      </c>
    </row>
    <row r="200" spans="1:24" ht="15">
      <c r="B200" s="261">
        <v>1</v>
      </c>
      <c r="C200" s="334" t="s">
        <v>104</v>
      </c>
      <c r="D200" s="334"/>
      <c r="F200" s="263" t="s">
        <v>433</v>
      </c>
      <c r="K200" t="s">
        <v>434</v>
      </c>
      <c r="M200" t="s">
        <v>337</v>
      </c>
      <c r="R200" t="s">
        <v>338</v>
      </c>
      <c r="X200" t="s">
        <v>435</v>
      </c>
    </row>
    <row r="201" spans="1:24" ht="15">
      <c r="B201" s="261">
        <v>2</v>
      </c>
      <c r="C201" s="334" t="s">
        <v>105</v>
      </c>
      <c r="D201" s="334"/>
      <c r="F201" t="str">
        <f>O168</f>
        <v>SS/DF (Item4)</v>
      </c>
      <c r="G201" t="s">
        <v>436</v>
      </c>
      <c r="K201" t="s">
        <v>437</v>
      </c>
      <c r="M201" t="s">
        <v>342</v>
      </c>
      <c r="R201" t="s">
        <v>343</v>
      </c>
      <c r="X201" t="s">
        <v>438</v>
      </c>
    </row>
    <row r="202" spans="1:24" ht="15">
      <c r="B202" s="261">
        <v>3</v>
      </c>
      <c r="C202" s="334" t="s">
        <v>108</v>
      </c>
      <c r="D202" s="334"/>
      <c r="F202" t="s">
        <v>439</v>
      </c>
      <c r="K202" t="s">
        <v>440</v>
      </c>
      <c r="M202" t="s">
        <v>348</v>
      </c>
      <c r="R202" t="s">
        <v>349</v>
      </c>
      <c r="X202" t="s">
        <v>441</v>
      </c>
    </row>
    <row r="203" spans="1:24" ht="15">
      <c r="B203" s="261">
        <v>4</v>
      </c>
      <c r="C203" s="334" t="s">
        <v>109</v>
      </c>
      <c r="D203" s="334"/>
      <c r="F203" t="s">
        <v>442</v>
      </c>
      <c r="K203" t="s">
        <v>443</v>
      </c>
      <c r="M203" t="s">
        <v>353</v>
      </c>
      <c r="R203" t="s">
        <v>354</v>
      </c>
      <c r="X203" t="s">
        <v>444</v>
      </c>
    </row>
    <row r="204" spans="1:24" ht="15">
      <c r="B204" s="261">
        <v>5</v>
      </c>
      <c r="C204" s="334" t="s">
        <v>356</v>
      </c>
      <c r="D204" s="334"/>
      <c r="F204" t="s">
        <v>445</v>
      </c>
      <c r="K204" t="s">
        <v>446</v>
      </c>
      <c r="M204" t="s">
        <v>359</v>
      </c>
      <c r="R204" t="s">
        <v>360</v>
      </c>
      <c r="X204" t="s">
        <v>447</v>
      </c>
    </row>
    <row r="205" spans="1:24" ht="15">
      <c r="B205" s="261">
        <v>6</v>
      </c>
      <c r="C205" s="334" t="s">
        <v>111</v>
      </c>
      <c r="D205" s="334"/>
      <c r="F205" t="s">
        <v>448</v>
      </c>
      <c r="K205" t="s">
        <v>449</v>
      </c>
      <c r="M205" t="s">
        <v>364</v>
      </c>
      <c r="R205" t="s">
        <v>365</v>
      </c>
      <c r="X205" t="s">
        <v>450</v>
      </c>
    </row>
    <row r="206" spans="1:24" ht="15">
      <c r="B206" s="261">
        <v>7</v>
      </c>
      <c r="C206" s="334" t="s">
        <v>113</v>
      </c>
      <c r="D206" s="334"/>
      <c r="F206" t="s">
        <v>451</v>
      </c>
      <c r="K206" t="s">
        <v>452</v>
      </c>
      <c r="M206" t="s">
        <v>369</v>
      </c>
      <c r="R206" t="s">
        <v>370</v>
      </c>
      <c r="X206" t="s">
        <v>453</v>
      </c>
    </row>
    <row r="207" spans="1:24">
      <c r="B207" s="261"/>
    </row>
    <row r="208" spans="1:24">
      <c r="A208">
        <v>32</v>
      </c>
      <c r="B208" t="s">
        <v>190</v>
      </c>
      <c r="C208" t="s">
        <v>98</v>
      </c>
    </row>
    <row r="220" spans="2:24" ht="15.75">
      <c r="B220" s="186" t="s">
        <v>404</v>
      </c>
      <c r="F220" s="262" t="s">
        <v>99</v>
      </c>
      <c r="K220" s="262" t="s">
        <v>100</v>
      </c>
      <c r="M220" s="262" t="s">
        <v>101</v>
      </c>
      <c r="R220" s="262" t="s">
        <v>102</v>
      </c>
      <c r="X220" s="262" t="s">
        <v>103</v>
      </c>
    </row>
    <row r="221" spans="2:24" ht="15">
      <c r="B221" s="261">
        <v>1</v>
      </c>
      <c r="C221" s="334" t="s">
        <v>104</v>
      </c>
      <c r="D221" s="334"/>
      <c r="F221" s="263" t="s">
        <v>433</v>
      </c>
      <c r="K221" t="s">
        <v>434</v>
      </c>
      <c r="M221" t="s">
        <v>337</v>
      </c>
      <c r="R221" t="s">
        <v>338</v>
      </c>
      <c r="X221" t="s">
        <v>435</v>
      </c>
    </row>
    <row r="222" spans="2:24" ht="15">
      <c r="B222" s="261">
        <v>2</v>
      </c>
      <c r="C222" s="334" t="s">
        <v>105</v>
      </c>
      <c r="D222" s="334"/>
      <c r="F222" t="str">
        <f>S186</f>
        <v>SS/DF (Item3)</v>
      </c>
      <c r="G222" t="s">
        <v>454</v>
      </c>
      <c r="K222" t="s">
        <v>437</v>
      </c>
      <c r="M222" t="s">
        <v>342</v>
      </c>
      <c r="R222" t="s">
        <v>343</v>
      </c>
      <c r="X222" t="s">
        <v>438</v>
      </c>
    </row>
    <row r="223" spans="2:24" ht="15">
      <c r="B223" s="261">
        <v>3</v>
      </c>
      <c r="C223" s="334" t="s">
        <v>108</v>
      </c>
      <c r="D223" s="334"/>
      <c r="F223" t="s">
        <v>374</v>
      </c>
      <c r="K223" t="s">
        <v>440</v>
      </c>
      <c r="M223" t="s">
        <v>348</v>
      </c>
      <c r="R223" t="s">
        <v>349</v>
      </c>
      <c r="X223" t="s">
        <v>441</v>
      </c>
    </row>
    <row r="224" spans="2:24" ht="15">
      <c r="B224" s="261">
        <v>4</v>
      </c>
      <c r="C224" s="334" t="s">
        <v>109</v>
      </c>
      <c r="D224" s="334"/>
      <c r="F224" t="s">
        <v>455</v>
      </c>
      <c r="K224" t="s">
        <v>443</v>
      </c>
      <c r="M224" t="s">
        <v>353</v>
      </c>
      <c r="R224" t="s">
        <v>354</v>
      </c>
      <c r="X224" t="s">
        <v>444</v>
      </c>
    </row>
    <row r="225" spans="2:24" ht="15">
      <c r="B225" s="261">
        <v>5</v>
      </c>
      <c r="C225" s="334"/>
      <c r="D225" s="334"/>
    </row>
    <row r="226" spans="2:24" ht="15">
      <c r="B226" s="261">
        <v>6</v>
      </c>
      <c r="C226" s="334" t="s">
        <v>111</v>
      </c>
      <c r="D226" s="334"/>
      <c r="F226" t="s">
        <v>456</v>
      </c>
      <c r="K226" t="s">
        <v>449</v>
      </c>
      <c r="M226" t="s">
        <v>364</v>
      </c>
      <c r="R226" t="s">
        <v>365</v>
      </c>
      <c r="X226" t="s">
        <v>450</v>
      </c>
    </row>
    <row r="227" spans="2:24" ht="15">
      <c r="B227" s="261">
        <v>7</v>
      </c>
      <c r="C227" s="334" t="s">
        <v>113</v>
      </c>
      <c r="D227" s="334"/>
      <c r="F227" t="s">
        <v>451</v>
      </c>
      <c r="K227" t="s">
        <v>452</v>
      </c>
      <c r="M227" t="s">
        <v>369</v>
      </c>
      <c r="R227" t="s">
        <v>370</v>
      </c>
      <c r="X227" t="s">
        <v>453</v>
      </c>
    </row>
  </sheetData>
  <mergeCells count="14">
    <mergeCell ref="C226:D226"/>
    <mergeCell ref="C227:D227"/>
    <mergeCell ref="C206:D206"/>
    <mergeCell ref="C221:D221"/>
    <mergeCell ref="C222:D222"/>
    <mergeCell ref="C223:D223"/>
    <mergeCell ref="C224:D224"/>
    <mergeCell ref="C225:D225"/>
    <mergeCell ref="C205:D205"/>
    <mergeCell ref="C200:D200"/>
    <mergeCell ref="C201:D201"/>
    <mergeCell ref="C202:D202"/>
    <mergeCell ref="C203:D203"/>
    <mergeCell ref="C204:D20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BY155"/>
  <sheetViews>
    <sheetView topLeftCell="D85" zoomScale="90" zoomScaleNormal="90" workbookViewId="0">
      <selection activeCell="M59" sqref="M59:P93"/>
    </sheetView>
  </sheetViews>
  <sheetFormatPr defaultColWidth="14.375" defaultRowHeight="14.25"/>
  <cols>
    <col min="1" max="2" width="14.375" style="190"/>
    <col min="3" max="3" width="22.25" style="190" customWidth="1"/>
    <col min="4" max="4" width="12.625" style="190" customWidth="1"/>
    <col min="5" max="6" width="19.125" style="190" customWidth="1"/>
    <col min="7" max="7" width="14.375" style="190"/>
    <col min="8" max="8" width="16.25" style="190" customWidth="1"/>
    <col min="9" max="9" width="14.375" style="190"/>
    <col min="10" max="10" width="20.75" style="223" customWidth="1"/>
    <col min="11" max="11" width="20.75" style="224" customWidth="1"/>
    <col min="12" max="13" width="7.25" style="244" customWidth="1"/>
    <col min="14" max="14" width="9.375" style="244" customWidth="1"/>
    <col min="15" max="15" width="20.625" style="244" customWidth="1"/>
    <col min="16" max="16" width="15.375" style="244" customWidth="1"/>
    <col min="17" max="17" width="15.875" style="244" customWidth="1"/>
    <col min="18" max="18" width="10.375" style="222" customWidth="1"/>
    <col min="19" max="19" width="12.375" style="244" customWidth="1"/>
    <col min="20" max="20" width="13.75" style="244" customWidth="1"/>
    <col min="21" max="21" width="11.875" style="244" customWidth="1"/>
    <col min="22" max="22" width="14" style="226" customWidth="1"/>
    <col min="23" max="24" width="8.375" style="226" customWidth="1"/>
    <col min="25" max="25" width="17.875" style="226" customWidth="1"/>
    <col min="26" max="26" width="8.75" style="226" customWidth="1"/>
    <col min="27" max="27" width="9.125" style="226" customWidth="1"/>
    <col min="28" max="28" width="23.875" style="226" bestFit="1" customWidth="1"/>
    <col min="29" max="29" width="9.875" style="226" customWidth="1"/>
    <col min="30" max="30" width="15.25" style="226" customWidth="1"/>
    <col min="31" max="31" width="14.25" style="226" customWidth="1"/>
    <col min="32" max="32" width="19.25" style="226" customWidth="1"/>
    <col min="33" max="33" width="22.625" style="226" customWidth="1"/>
    <col min="34" max="34" width="22" style="226" customWidth="1"/>
    <col min="35" max="35" width="15.875" style="226" customWidth="1"/>
    <col min="36" max="36" width="7" style="226" customWidth="1"/>
    <col min="37" max="37" width="10.375" style="226" customWidth="1"/>
    <col min="38" max="38" width="7" style="226" customWidth="1"/>
    <col min="39" max="39" width="9.125" style="226" customWidth="1"/>
    <col min="40" max="40" width="10" style="226" customWidth="1"/>
    <col min="41" max="41" width="11.375" style="226" customWidth="1"/>
    <col min="42" max="42" width="9.625" style="226" customWidth="1"/>
    <col min="43" max="43" width="15" style="226" customWidth="1"/>
    <col min="44" max="44" width="9.375" style="226" customWidth="1"/>
    <col min="45" max="45" width="11.375" style="226" customWidth="1"/>
    <col min="46" max="46" width="6.875" style="226" customWidth="1"/>
    <col min="47" max="47" width="16.625" style="226" customWidth="1"/>
    <col min="48" max="48" width="10.25" style="226" customWidth="1"/>
    <col min="49" max="49" width="13.25" style="226" customWidth="1"/>
    <col min="50" max="50" width="6.75" style="226" customWidth="1"/>
    <col min="51" max="51" width="13.625" style="226" customWidth="1"/>
    <col min="52" max="52" width="6.875" style="226" customWidth="1"/>
    <col min="53" max="53" width="8.75" style="226" customWidth="1"/>
    <col min="54" max="54" width="12.875" style="226" customWidth="1"/>
    <col min="55" max="55" width="13.25" style="226" customWidth="1"/>
    <col min="56" max="57" width="9.75" customWidth="1"/>
    <col min="59" max="59" width="9.25" customWidth="1"/>
    <col min="60" max="60" width="8.875" customWidth="1"/>
    <col min="61" max="63" width="9.625" customWidth="1"/>
    <col min="65" max="65" width="46.25" customWidth="1"/>
    <col min="67" max="67" width="6.625" customWidth="1"/>
    <col min="69" max="69" width="6.625" customWidth="1"/>
    <col min="71" max="71" width="6.875" customWidth="1"/>
    <col min="73" max="73" width="7.125" customWidth="1"/>
    <col min="74" max="74" width="22.875" customWidth="1"/>
    <col min="77" max="77" width="22.625" customWidth="1"/>
    <col min="78" max="78" width="18.25" customWidth="1"/>
    <col min="79" max="79" width="6.25" customWidth="1"/>
    <col min="80" max="80" width="15.75" customWidth="1"/>
    <col min="81" max="81" width="6.375" customWidth="1"/>
    <col min="83" max="83" width="6.625" customWidth="1"/>
    <col min="84" max="84" width="12" customWidth="1"/>
    <col min="85" max="85" width="7.25" customWidth="1"/>
    <col min="86" max="86" width="11.125" customWidth="1"/>
    <col min="87" max="87" width="36.625" customWidth="1"/>
    <col min="88" max="88" width="22.375" customWidth="1"/>
  </cols>
  <sheetData>
    <row r="1" spans="1:55">
      <c r="A1" s="190" t="s">
        <v>522</v>
      </c>
      <c r="M1" s="244" t="s">
        <v>521</v>
      </c>
    </row>
    <row r="2" spans="1:55" ht="24.75" customHeight="1">
      <c r="A2" s="195" t="s">
        <v>227</v>
      </c>
      <c r="B2" s="195" t="s">
        <v>226</v>
      </c>
      <c r="C2" s="195" t="s">
        <v>228</v>
      </c>
      <c r="D2" s="191" t="s">
        <v>229</v>
      </c>
      <c r="E2" s="195" t="s">
        <v>230</v>
      </c>
      <c r="F2" s="195" t="s">
        <v>511</v>
      </c>
      <c r="G2" s="195" t="s">
        <v>231</v>
      </c>
      <c r="H2" s="195" t="s">
        <v>232</v>
      </c>
      <c r="I2" s="195" t="s">
        <v>222</v>
      </c>
      <c r="J2" s="278" t="s">
        <v>223</v>
      </c>
      <c r="L2" s="245" t="s">
        <v>270</v>
      </c>
      <c r="M2" s="221" t="s">
        <v>227</v>
      </c>
      <c r="N2" s="221" t="s">
        <v>226</v>
      </c>
      <c r="O2" s="221" t="s">
        <v>228</v>
      </c>
      <c r="P2" s="221" t="s">
        <v>229</v>
      </c>
      <c r="Q2" s="221" t="s">
        <v>230</v>
      </c>
      <c r="R2" s="209" t="s">
        <v>272</v>
      </c>
      <c r="S2" s="207" t="s">
        <v>258</v>
      </c>
      <c r="T2" s="207" t="s">
        <v>260</v>
      </c>
      <c r="U2" s="207" t="s">
        <v>252</v>
      </c>
      <c r="V2" s="207" t="s">
        <v>255</v>
      </c>
      <c r="W2" s="207" t="s">
        <v>222</v>
      </c>
      <c r="X2" s="207" t="s">
        <v>223</v>
      </c>
      <c r="Y2" s="225"/>
      <c r="Z2" s="287" t="s">
        <v>227</v>
      </c>
      <c r="AA2" s="287" t="s">
        <v>226</v>
      </c>
      <c r="AB2" s="287" t="s">
        <v>228</v>
      </c>
      <c r="AC2" s="275" t="s">
        <v>229</v>
      </c>
      <c r="AD2" s="275" t="s">
        <v>279</v>
      </c>
      <c r="AE2" s="275" t="s">
        <v>254</v>
      </c>
      <c r="AF2" s="275" t="s">
        <v>253</v>
      </c>
      <c r="AG2" s="275" t="s">
        <v>257</v>
      </c>
      <c r="AH2" s="275" t="s">
        <v>262</v>
      </c>
      <c r="AI2" s="275" t="s">
        <v>263</v>
      </c>
      <c r="AJ2" s="275" t="s">
        <v>264</v>
      </c>
      <c r="AK2" s="275" t="s">
        <v>273</v>
      </c>
      <c r="AL2" s="275" t="s">
        <v>280</v>
      </c>
      <c r="AM2" s="275" t="s">
        <v>281</v>
      </c>
      <c r="AN2" s="275" t="s">
        <v>265</v>
      </c>
      <c r="AO2" s="275" t="s">
        <v>256</v>
      </c>
      <c r="AP2" s="275" t="s">
        <v>269</v>
      </c>
      <c r="AQ2" s="275" t="s">
        <v>249</v>
      </c>
      <c r="AR2" s="275" t="s">
        <v>250</v>
      </c>
      <c r="AS2" s="275" t="s">
        <v>251</v>
      </c>
    </row>
    <row r="3" spans="1:55" ht="21" customHeight="1">
      <c r="A3" s="192" t="s">
        <v>233</v>
      </c>
      <c r="B3" s="192" t="s">
        <v>221</v>
      </c>
      <c r="C3" s="192" t="s">
        <v>509</v>
      </c>
      <c r="D3" s="192">
        <v>5002727</v>
      </c>
      <c r="E3" s="192" t="s">
        <v>510</v>
      </c>
      <c r="F3" s="291">
        <v>1</v>
      </c>
      <c r="G3" s="67">
        <v>0.19</v>
      </c>
      <c r="H3" s="198">
        <v>45412.50403935185</v>
      </c>
      <c r="I3" s="193">
        <v>0</v>
      </c>
      <c r="J3" s="227">
        <v>5</v>
      </c>
      <c r="K3" s="228"/>
      <c r="L3" s="245"/>
      <c r="M3" s="213"/>
      <c r="N3" s="213"/>
      <c r="O3" s="213"/>
      <c r="P3" s="213"/>
      <c r="Q3" s="213"/>
      <c r="R3" s="217" t="s">
        <v>523</v>
      </c>
      <c r="S3" s="215" t="s">
        <v>524</v>
      </c>
      <c r="T3" s="215" t="s">
        <v>525</v>
      </c>
      <c r="U3" s="212" t="s">
        <v>274</v>
      </c>
      <c r="V3" s="194" t="s">
        <v>261</v>
      </c>
      <c r="W3" s="194"/>
      <c r="X3" s="194"/>
      <c r="Y3" s="229"/>
      <c r="Z3" s="194"/>
      <c r="AA3" s="194"/>
      <c r="AB3" s="194"/>
      <c r="AC3" s="212"/>
      <c r="AD3" s="212" t="s">
        <v>500</v>
      </c>
      <c r="AE3" s="212" t="s">
        <v>501</v>
      </c>
      <c r="AF3" s="212" t="s">
        <v>267</v>
      </c>
      <c r="AG3" s="212" t="s">
        <v>271</v>
      </c>
      <c r="AH3" s="212">
        <v>0</v>
      </c>
      <c r="AI3" s="212">
        <v>2.5750000000000002</v>
      </c>
      <c r="AJ3" s="212">
        <v>1.0229999999999999</v>
      </c>
      <c r="AK3" s="212"/>
      <c r="AL3" s="212"/>
      <c r="AM3" s="212"/>
      <c r="AN3" s="212" t="s">
        <v>266</v>
      </c>
      <c r="AO3" s="212" t="s">
        <v>268</v>
      </c>
      <c r="AP3" s="212" t="s">
        <v>275</v>
      </c>
      <c r="AQ3" s="212" t="s">
        <v>276</v>
      </c>
      <c r="AR3" s="212" t="s">
        <v>277</v>
      </c>
      <c r="AS3" s="212" t="s">
        <v>278</v>
      </c>
      <c r="AT3" s="230"/>
      <c r="AU3" s="230"/>
      <c r="AV3" s="230"/>
      <c r="AW3" s="230"/>
      <c r="AX3" s="230"/>
      <c r="AY3" s="230"/>
      <c r="AZ3" s="230"/>
      <c r="BA3" s="230"/>
      <c r="BB3" s="230"/>
      <c r="BC3" s="230"/>
    </row>
    <row r="4" spans="1:55">
      <c r="A4" s="192" t="s">
        <v>233</v>
      </c>
      <c r="B4" s="192" t="s">
        <v>221</v>
      </c>
      <c r="C4" s="192" t="s">
        <v>512</v>
      </c>
      <c r="D4" s="192">
        <v>5002727</v>
      </c>
      <c r="E4" s="192" t="s">
        <v>510</v>
      </c>
      <c r="F4" s="291">
        <v>1</v>
      </c>
      <c r="G4" s="67">
        <v>0.86199999999999999</v>
      </c>
      <c r="H4" s="198">
        <v>45412.504035069447</v>
      </c>
      <c r="I4" s="193">
        <v>0</v>
      </c>
      <c r="J4" s="227">
        <v>5</v>
      </c>
      <c r="K4" s="228"/>
      <c r="L4" s="286">
        <v>1</v>
      </c>
      <c r="M4" s="218" t="str">
        <f>A3</f>
        <v>Hioki</v>
      </c>
      <c r="N4" s="218" t="str">
        <f>B3</f>
        <v>X-40-203</v>
      </c>
      <c r="O4" s="204" t="str">
        <f>C3</f>
        <v>THA001</v>
      </c>
      <c r="P4" s="204">
        <f>D3</f>
        <v>5002727</v>
      </c>
      <c r="Q4" s="204" t="str">
        <f>E3</f>
        <v>SUS</v>
      </c>
      <c r="R4" s="206">
        <f>AVERAGE(G3,G13,G23)</f>
        <v>0.15166666666666667</v>
      </c>
      <c r="S4" s="206">
        <f>SUM(G3,G13,G23)</f>
        <v>0.45500000000000002</v>
      </c>
      <c r="T4" s="219">
        <f>MAX(G3,G13,G23)-MIN(G3,G13,G23)</f>
        <v>6.4000000000000001E-2</v>
      </c>
      <c r="U4" s="254">
        <f>AVERAGE(R4:R13)</f>
        <v>1.0999000000000001</v>
      </c>
      <c r="V4" s="206">
        <f>AVERAGE(T4:T13)</f>
        <v>0.10300000000000006</v>
      </c>
      <c r="W4" s="206">
        <f>I3</f>
        <v>0</v>
      </c>
      <c r="X4" s="206">
        <f>J3</f>
        <v>5</v>
      </c>
      <c r="Y4" s="238"/>
      <c r="Z4" s="270" t="str">
        <f>M4</f>
        <v>Hioki</v>
      </c>
      <c r="AA4" s="270" t="str">
        <f>N4</f>
        <v>X-40-203</v>
      </c>
      <c r="AB4" s="270" t="str">
        <f>O4</f>
        <v>THA001</v>
      </c>
      <c r="AC4" s="281">
        <v>0</v>
      </c>
      <c r="AD4" s="270">
        <f>SUM(G3,G13,G23,G33,G43,G53,G63,G73,G83)</f>
        <v>1.212</v>
      </c>
      <c r="AE4" s="270">
        <f>AVERAGE(G3,G13,G23,G33,G43,G53,G63,G73,G83)</f>
        <v>0.13466666666666666</v>
      </c>
      <c r="AF4" s="270">
        <f>AVERAGE(AE4:AE13)</f>
        <v>1.0948111111111112</v>
      </c>
      <c r="AG4" s="270">
        <f>MAX(AE4:AE13)-MIN(AE4:AE13)</f>
        <v>2.787555555555556</v>
      </c>
      <c r="AH4" s="271">
        <v>0</v>
      </c>
      <c r="AI4" s="271">
        <v>2.5750000000000002</v>
      </c>
      <c r="AJ4" s="271">
        <v>1.0229999999999999</v>
      </c>
      <c r="AK4" s="271">
        <v>3</v>
      </c>
      <c r="AL4" s="271">
        <v>3</v>
      </c>
      <c r="AM4" s="271">
        <v>10</v>
      </c>
      <c r="AN4" s="269">
        <f t="shared" ref="AN4:AN13" si="0">(V4+V14+V24)/3</f>
        <v>9.7533333333333361E-2</v>
      </c>
      <c r="AO4" s="272">
        <f>MAX(U4,U14,U24)-MIN(U4,U14,U24)</f>
        <v>2.3933333333333584E-2</v>
      </c>
      <c r="AP4" s="273">
        <f>AF4+(AJ4*AN4)</f>
        <v>1.1945877111111112</v>
      </c>
      <c r="AQ4" s="273">
        <f>AF4-(AJ4*AN4)</f>
        <v>0.99503451111111119</v>
      </c>
      <c r="AR4" s="273">
        <f>AI4*AN4</f>
        <v>0.25114833333333342</v>
      </c>
      <c r="AS4" s="271">
        <f>0*AN4</f>
        <v>0</v>
      </c>
    </row>
    <row r="5" spans="1:55">
      <c r="A5" s="192" t="s">
        <v>233</v>
      </c>
      <c r="B5" s="192" t="s">
        <v>221</v>
      </c>
      <c r="C5" s="192" t="s">
        <v>513</v>
      </c>
      <c r="D5" s="192">
        <v>5002727</v>
      </c>
      <c r="E5" s="192" t="s">
        <v>510</v>
      </c>
      <c r="F5" s="291">
        <v>1</v>
      </c>
      <c r="G5" s="67">
        <v>0.91900000000000004</v>
      </c>
      <c r="H5" s="198">
        <v>45412.504035069447</v>
      </c>
      <c r="I5" s="193">
        <v>0</v>
      </c>
      <c r="J5" s="227">
        <v>5</v>
      </c>
      <c r="K5" s="228"/>
      <c r="L5" s="286">
        <v>2</v>
      </c>
      <c r="M5" s="218" t="str">
        <f t="shared" ref="M5:M33" si="1">A4</f>
        <v>Hioki</v>
      </c>
      <c r="N5" s="218" t="str">
        <f t="shared" ref="N5:N33" si="2">B4</f>
        <v>X-40-203</v>
      </c>
      <c r="O5" s="204" t="str">
        <f t="shared" ref="O5:O13" si="3">C4</f>
        <v>THA002</v>
      </c>
      <c r="P5" s="204">
        <f t="shared" ref="P5:P13" si="4">D4</f>
        <v>5002727</v>
      </c>
      <c r="Q5" s="204" t="str">
        <f t="shared" ref="Q5:Q13" si="5">E4</f>
        <v>SUS</v>
      </c>
      <c r="R5" s="206">
        <f t="shared" ref="R5:R13" si="6">AVERAGE(G4,G14,G24)</f>
        <v>0.8610000000000001</v>
      </c>
      <c r="S5" s="206">
        <f t="shared" ref="S5:S13" si="7">SUM(G4,G14,G24)</f>
        <v>2.5830000000000002</v>
      </c>
      <c r="T5" s="219">
        <f t="shared" ref="T5:T13" si="8">MAX(G4,G14,G24)-MIN(G4,G14,G24)</f>
        <v>5.0000000000000044E-3</v>
      </c>
      <c r="U5" s="254">
        <f>AVERAGE(R4:R13)</f>
        <v>1.0999000000000001</v>
      </c>
      <c r="V5" s="206">
        <f>AVERAGE(T4:T13)</f>
        <v>0.10300000000000006</v>
      </c>
      <c r="W5" s="206">
        <f t="shared" ref="W5:W33" si="9">I4</f>
        <v>0</v>
      </c>
      <c r="X5" s="206">
        <f t="shared" ref="X5:X33" si="10">J4</f>
        <v>5</v>
      </c>
      <c r="Y5" s="238"/>
      <c r="Z5" s="270" t="str">
        <f t="shared" ref="Z5:Z13" si="11">M5</f>
        <v>Hioki</v>
      </c>
      <c r="AA5" s="270" t="str">
        <f t="shared" ref="AA5:AA13" si="12">N5</f>
        <v>X-40-203</v>
      </c>
      <c r="AB5" s="270" t="str">
        <f t="shared" ref="AB5:AB13" si="13">O5</f>
        <v>THA002</v>
      </c>
      <c r="AC5" s="281">
        <v>0</v>
      </c>
      <c r="AD5" s="270">
        <f t="shared" ref="AD5:AD13" si="14">SUM(G4,G14,G24,G34,G44,G54,G64,G74,G84)</f>
        <v>8.093</v>
      </c>
      <c r="AE5" s="270">
        <f t="shared" ref="AE5:AE13" si="15">AVERAGE(G4,G14,G24,G34,G44,G54,G64,G74,G84)</f>
        <v>0.89922222222222226</v>
      </c>
      <c r="AF5" s="270">
        <f>AVERAGE(AE4:AE13)</f>
        <v>1.0948111111111112</v>
      </c>
      <c r="AG5" s="270">
        <f>MAX(AE4:AE13)-MIN(AE4:AE13)</f>
        <v>2.787555555555556</v>
      </c>
      <c r="AH5" s="271">
        <v>0</v>
      </c>
      <c r="AI5" s="271">
        <v>2.5750000000000002</v>
      </c>
      <c r="AJ5" s="271">
        <v>1.0229999999999999</v>
      </c>
      <c r="AK5" s="271">
        <v>3</v>
      </c>
      <c r="AL5" s="271">
        <v>3</v>
      </c>
      <c r="AM5" s="271">
        <v>10</v>
      </c>
      <c r="AN5" s="269">
        <f t="shared" si="0"/>
        <v>9.7533333333333361E-2</v>
      </c>
      <c r="AO5" s="272">
        <f>MAX(U4,U14,U24)-MIN(U4,U14,U24)</f>
        <v>2.3933333333333584E-2</v>
      </c>
      <c r="AP5" s="273">
        <f>AF4+(AJ4*AN4)</f>
        <v>1.1945877111111112</v>
      </c>
      <c r="AQ5" s="273">
        <f>AF4-(AJ4*AN4)</f>
        <v>0.99503451111111119</v>
      </c>
      <c r="AR5" s="273">
        <f t="shared" ref="AR5:AR13" si="16">AI5*AN5</f>
        <v>0.25114833333333342</v>
      </c>
      <c r="AS5" s="271">
        <f t="shared" ref="AS5:AS13" si="17">0*AN5</f>
        <v>0</v>
      </c>
    </row>
    <row r="6" spans="1:55">
      <c r="A6" s="192" t="s">
        <v>233</v>
      </c>
      <c r="B6" s="192" t="s">
        <v>221</v>
      </c>
      <c r="C6" s="192" t="s">
        <v>514</v>
      </c>
      <c r="D6" s="192">
        <v>5002727</v>
      </c>
      <c r="E6" s="192" t="s">
        <v>510</v>
      </c>
      <c r="F6" s="291">
        <v>1</v>
      </c>
      <c r="G6" s="67">
        <v>1.0840000000000001</v>
      </c>
      <c r="H6" s="198">
        <v>45412.50403935185</v>
      </c>
      <c r="I6" s="193">
        <v>0</v>
      </c>
      <c r="J6" s="227">
        <v>5</v>
      </c>
      <c r="K6" s="228"/>
      <c r="L6" s="286">
        <v>3</v>
      </c>
      <c r="M6" s="218" t="str">
        <f t="shared" si="1"/>
        <v>Hioki</v>
      </c>
      <c r="N6" s="218" t="str">
        <f t="shared" si="2"/>
        <v>X-40-203</v>
      </c>
      <c r="O6" s="204" t="str">
        <f t="shared" si="3"/>
        <v>THA003</v>
      </c>
      <c r="P6" s="204">
        <f t="shared" si="4"/>
        <v>5002727</v>
      </c>
      <c r="Q6" s="204" t="str">
        <f t="shared" si="5"/>
        <v>SUS</v>
      </c>
      <c r="R6" s="206">
        <f t="shared" si="6"/>
        <v>0.8693333333333334</v>
      </c>
      <c r="S6" s="206">
        <f t="shared" si="7"/>
        <v>2.6080000000000001</v>
      </c>
      <c r="T6" s="219">
        <f t="shared" si="8"/>
        <v>0.10400000000000009</v>
      </c>
      <c r="U6" s="254">
        <f>AVERAGE(R4:R13)</f>
        <v>1.0999000000000001</v>
      </c>
      <c r="V6" s="206">
        <f>AVERAGE(T4:T13)</f>
        <v>0.10300000000000006</v>
      </c>
      <c r="W6" s="206">
        <f t="shared" si="9"/>
        <v>0</v>
      </c>
      <c r="X6" s="206">
        <f t="shared" si="10"/>
        <v>5</v>
      </c>
      <c r="Y6" s="238"/>
      <c r="Z6" s="270" t="str">
        <f t="shared" si="11"/>
        <v>Hioki</v>
      </c>
      <c r="AA6" s="270" t="str">
        <f t="shared" si="12"/>
        <v>X-40-203</v>
      </c>
      <c r="AB6" s="270" t="str">
        <f t="shared" si="13"/>
        <v>THA003</v>
      </c>
      <c r="AC6" s="281">
        <v>0</v>
      </c>
      <c r="AD6" s="270">
        <f t="shared" si="14"/>
        <v>7.5979999999999999</v>
      </c>
      <c r="AE6" s="270">
        <f t="shared" si="15"/>
        <v>0.84422222222222221</v>
      </c>
      <c r="AF6" s="270">
        <f>AVERAGE(AE4:AE13)</f>
        <v>1.0948111111111112</v>
      </c>
      <c r="AG6" s="270">
        <f>MAX(AE4:AE13)-MIN(AE4:AE13)</f>
        <v>2.787555555555556</v>
      </c>
      <c r="AH6" s="271">
        <v>0</v>
      </c>
      <c r="AI6" s="271">
        <v>2.5750000000000002</v>
      </c>
      <c r="AJ6" s="271">
        <v>1.0229999999999999</v>
      </c>
      <c r="AK6" s="271">
        <v>3</v>
      </c>
      <c r="AL6" s="271">
        <v>3</v>
      </c>
      <c r="AM6" s="271">
        <v>10</v>
      </c>
      <c r="AN6" s="269">
        <f t="shared" si="0"/>
        <v>9.7533333333333361E-2</v>
      </c>
      <c r="AO6" s="272">
        <f>MAX(U4,U14,U24)-MIN(U4,U14,U24)</f>
        <v>2.3933333333333584E-2</v>
      </c>
      <c r="AP6" s="273">
        <f>AF4+(AJ4*AN4)</f>
        <v>1.1945877111111112</v>
      </c>
      <c r="AQ6" s="273">
        <f>AF4-(AJ4*AN4)</f>
        <v>0.99503451111111119</v>
      </c>
      <c r="AR6" s="273">
        <f t="shared" si="16"/>
        <v>0.25114833333333342</v>
      </c>
      <c r="AS6" s="271">
        <f t="shared" si="17"/>
        <v>0</v>
      </c>
    </row>
    <row r="7" spans="1:55">
      <c r="A7" s="192" t="s">
        <v>233</v>
      </c>
      <c r="B7" s="192" t="s">
        <v>221</v>
      </c>
      <c r="C7" s="192" t="s">
        <v>515</v>
      </c>
      <c r="D7" s="192">
        <v>5002727</v>
      </c>
      <c r="E7" s="192" t="s">
        <v>510</v>
      </c>
      <c r="F7" s="291">
        <v>1</v>
      </c>
      <c r="G7" s="67">
        <v>1.0449999999999999</v>
      </c>
      <c r="H7" s="198">
        <v>45412.504035069447</v>
      </c>
      <c r="I7" s="193">
        <v>0</v>
      </c>
      <c r="J7" s="227">
        <v>5</v>
      </c>
      <c r="K7" s="228"/>
      <c r="L7" s="286">
        <v>4</v>
      </c>
      <c r="M7" s="218" t="str">
        <f t="shared" si="1"/>
        <v>Hioki</v>
      </c>
      <c r="N7" s="218" t="str">
        <f t="shared" si="2"/>
        <v>X-40-203</v>
      </c>
      <c r="O7" s="204" t="str">
        <f t="shared" si="3"/>
        <v>THA004</v>
      </c>
      <c r="P7" s="204">
        <f t="shared" si="4"/>
        <v>5002727</v>
      </c>
      <c r="Q7" s="204" t="str">
        <f t="shared" si="5"/>
        <v>SUS</v>
      </c>
      <c r="R7" s="206">
        <f t="shared" si="6"/>
        <v>0.98966666666666681</v>
      </c>
      <c r="S7" s="206">
        <f t="shared" si="7"/>
        <v>2.9690000000000003</v>
      </c>
      <c r="T7" s="219">
        <f t="shared" si="8"/>
        <v>0.2380000000000001</v>
      </c>
      <c r="U7" s="254">
        <f>AVERAGE(R4:R13)</f>
        <v>1.0999000000000001</v>
      </c>
      <c r="V7" s="206">
        <f>AVERAGE(T4:T13)</f>
        <v>0.10300000000000006</v>
      </c>
      <c r="W7" s="206">
        <f t="shared" si="9"/>
        <v>0</v>
      </c>
      <c r="X7" s="206">
        <f t="shared" si="10"/>
        <v>5</v>
      </c>
      <c r="Y7" s="461" t="s">
        <v>506</v>
      </c>
      <c r="Z7" s="270" t="str">
        <f t="shared" si="11"/>
        <v>Hioki</v>
      </c>
      <c r="AA7" s="270" t="str">
        <f t="shared" si="12"/>
        <v>X-40-203</v>
      </c>
      <c r="AB7" s="270" t="str">
        <f t="shared" si="13"/>
        <v>THA004</v>
      </c>
      <c r="AC7" s="281">
        <v>0</v>
      </c>
      <c r="AD7" s="270">
        <f t="shared" si="14"/>
        <v>9.338000000000001</v>
      </c>
      <c r="AE7" s="270">
        <f t="shared" si="15"/>
        <v>1.0375555555555556</v>
      </c>
      <c r="AF7" s="270">
        <f>AVERAGE(AE4:AE13)</f>
        <v>1.0948111111111112</v>
      </c>
      <c r="AG7" s="270">
        <f>MAX(AE4:AE13)-MIN(AE4:AE13)</f>
        <v>2.787555555555556</v>
      </c>
      <c r="AH7" s="271">
        <v>0</v>
      </c>
      <c r="AI7" s="271">
        <v>2.5750000000000002</v>
      </c>
      <c r="AJ7" s="271">
        <v>1.0229999999999999</v>
      </c>
      <c r="AK7" s="271">
        <v>3</v>
      </c>
      <c r="AL7" s="271">
        <v>3</v>
      </c>
      <c r="AM7" s="271">
        <v>10</v>
      </c>
      <c r="AN7" s="269">
        <f t="shared" si="0"/>
        <v>9.7533333333333361E-2</v>
      </c>
      <c r="AO7" s="272">
        <f>MAX(U4,U14,U24)-MIN(U4,U14,U24)</f>
        <v>2.3933333333333584E-2</v>
      </c>
      <c r="AP7" s="273">
        <f>AF4+(AJ4*AN4)</f>
        <v>1.1945877111111112</v>
      </c>
      <c r="AQ7" s="273">
        <f>AF4-(AJ4*AN4)</f>
        <v>0.99503451111111119</v>
      </c>
      <c r="AR7" s="273">
        <f t="shared" si="16"/>
        <v>0.25114833333333342</v>
      </c>
      <c r="AS7" s="271">
        <f t="shared" si="17"/>
        <v>0</v>
      </c>
    </row>
    <row r="8" spans="1:55">
      <c r="A8" s="192" t="s">
        <v>233</v>
      </c>
      <c r="B8" s="192" t="s">
        <v>221</v>
      </c>
      <c r="C8" s="192" t="s">
        <v>516</v>
      </c>
      <c r="D8" s="192">
        <v>5002727</v>
      </c>
      <c r="E8" s="192" t="s">
        <v>510</v>
      </c>
      <c r="F8" s="291">
        <v>1</v>
      </c>
      <c r="G8" s="67">
        <v>1.0349999999999999</v>
      </c>
      <c r="H8" s="198">
        <v>45412.504035069447</v>
      </c>
      <c r="I8" s="193">
        <v>0</v>
      </c>
      <c r="J8" s="227">
        <v>5</v>
      </c>
      <c r="K8" s="228"/>
      <c r="L8" s="286">
        <v>5</v>
      </c>
      <c r="M8" s="218" t="str">
        <f t="shared" si="1"/>
        <v>Hioki</v>
      </c>
      <c r="N8" s="218" t="str">
        <f t="shared" si="2"/>
        <v>X-40-203</v>
      </c>
      <c r="O8" s="204" t="str">
        <f t="shared" si="3"/>
        <v>THA005</v>
      </c>
      <c r="P8" s="204">
        <f t="shared" si="4"/>
        <v>5002727</v>
      </c>
      <c r="Q8" s="204" t="str">
        <f t="shared" si="5"/>
        <v>SUS</v>
      </c>
      <c r="R8" s="206">
        <f t="shared" si="6"/>
        <v>1.0590000000000002</v>
      </c>
      <c r="S8" s="206">
        <f t="shared" si="7"/>
        <v>3.1770000000000005</v>
      </c>
      <c r="T8" s="219">
        <f t="shared" si="8"/>
        <v>5.600000000000005E-2</v>
      </c>
      <c r="U8" s="254">
        <f>AVERAGE(R4:R13)</f>
        <v>1.0999000000000001</v>
      </c>
      <c r="V8" s="206">
        <f>AVERAGE(T4:T13)</f>
        <v>0.10300000000000006</v>
      </c>
      <c r="W8" s="206">
        <f t="shared" si="9"/>
        <v>0</v>
      </c>
      <c r="X8" s="206">
        <f t="shared" si="10"/>
        <v>5</v>
      </c>
      <c r="Y8" s="461"/>
      <c r="Z8" s="270" t="str">
        <f t="shared" si="11"/>
        <v>Hioki</v>
      </c>
      <c r="AA8" s="270" t="str">
        <f t="shared" si="12"/>
        <v>X-40-203</v>
      </c>
      <c r="AB8" s="270" t="str">
        <f t="shared" si="13"/>
        <v>THA005</v>
      </c>
      <c r="AC8" s="281">
        <v>0</v>
      </c>
      <c r="AD8" s="270">
        <f t="shared" si="14"/>
        <v>9.411999999999999</v>
      </c>
      <c r="AE8" s="270">
        <f t="shared" si="15"/>
        <v>1.0457777777777777</v>
      </c>
      <c r="AF8" s="270">
        <f>AVERAGE(AE4:AE13)</f>
        <v>1.0948111111111112</v>
      </c>
      <c r="AG8" s="270">
        <f>MAX(AE4:AE13)-MIN(AE4:AE13)</f>
        <v>2.787555555555556</v>
      </c>
      <c r="AH8" s="271">
        <v>0</v>
      </c>
      <c r="AI8" s="271">
        <v>2.5750000000000002</v>
      </c>
      <c r="AJ8" s="271">
        <v>1.0229999999999999</v>
      </c>
      <c r="AK8" s="271">
        <v>3</v>
      </c>
      <c r="AL8" s="271">
        <v>3</v>
      </c>
      <c r="AM8" s="271">
        <v>10</v>
      </c>
      <c r="AN8" s="269">
        <f t="shared" si="0"/>
        <v>9.7533333333333361E-2</v>
      </c>
      <c r="AO8" s="272">
        <f>MAX(U4,U14,U24)-MIN(U4,U14,U24)</f>
        <v>2.3933333333333584E-2</v>
      </c>
      <c r="AP8" s="273">
        <f>AF4+(AJ4*AN4)</f>
        <v>1.1945877111111112</v>
      </c>
      <c r="AQ8" s="273">
        <f>AF4-(AJ4*AN4)</f>
        <v>0.99503451111111119</v>
      </c>
      <c r="AR8" s="273">
        <f t="shared" si="16"/>
        <v>0.25114833333333342</v>
      </c>
      <c r="AS8" s="271">
        <f t="shared" si="17"/>
        <v>0</v>
      </c>
    </row>
    <row r="9" spans="1:55">
      <c r="A9" s="192" t="s">
        <v>233</v>
      </c>
      <c r="B9" s="192" t="s">
        <v>221</v>
      </c>
      <c r="C9" s="192" t="s">
        <v>517</v>
      </c>
      <c r="D9" s="192">
        <v>5002727</v>
      </c>
      <c r="E9" s="192" t="s">
        <v>510</v>
      </c>
      <c r="F9" s="291">
        <v>1</v>
      </c>
      <c r="G9" s="67">
        <v>1.151</v>
      </c>
      <c r="H9" s="198">
        <v>45412.504035069447</v>
      </c>
      <c r="I9" s="193">
        <v>0</v>
      </c>
      <c r="J9" s="227">
        <v>5</v>
      </c>
      <c r="K9" s="228"/>
      <c r="L9" s="286">
        <v>6</v>
      </c>
      <c r="M9" s="218" t="str">
        <f t="shared" si="1"/>
        <v>Hioki</v>
      </c>
      <c r="N9" s="218" t="str">
        <f t="shared" si="2"/>
        <v>X-40-203</v>
      </c>
      <c r="O9" s="204" t="str">
        <f t="shared" si="3"/>
        <v>THA006</v>
      </c>
      <c r="P9" s="204">
        <f t="shared" si="4"/>
        <v>5002727</v>
      </c>
      <c r="Q9" s="204" t="str">
        <f t="shared" si="5"/>
        <v>SUS</v>
      </c>
      <c r="R9" s="206">
        <f t="shared" si="6"/>
        <v>1.1226666666666667</v>
      </c>
      <c r="S9" s="206">
        <f t="shared" si="7"/>
        <v>3.3679999999999999</v>
      </c>
      <c r="T9" s="219">
        <f t="shared" si="8"/>
        <v>0.21700000000000008</v>
      </c>
      <c r="U9" s="254">
        <f>AVERAGE(R4:R13)</f>
        <v>1.0999000000000001</v>
      </c>
      <c r="V9" s="206">
        <f>AVERAGE(T4:T13)</f>
        <v>0.10300000000000006</v>
      </c>
      <c r="W9" s="206">
        <f t="shared" si="9"/>
        <v>0</v>
      </c>
      <c r="X9" s="206">
        <f t="shared" si="10"/>
        <v>5</v>
      </c>
      <c r="Y9" s="285"/>
      <c r="Z9" s="270" t="str">
        <f t="shared" si="11"/>
        <v>Hioki</v>
      </c>
      <c r="AA9" s="270" t="str">
        <f t="shared" si="12"/>
        <v>X-40-203</v>
      </c>
      <c r="AB9" s="270" t="str">
        <f t="shared" si="13"/>
        <v>THA006</v>
      </c>
      <c r="AC9" s="281">
        <v>0</v>
      </c>
      <c r="AD9" s="270">
        <f t="shared" si="14"/>
        <v>10.108999999999998</v>
      </c>
      <c r="AE9" s="270">
        <f t="shared" si="15"/>
        <v>1.1232222222222221</v>
      </c>
      <c r="AF9" s="270">
        <f>AVERAGE(AE4:AE13)</f>
        <v>1.0948111111111112</v>
      </c>
      <c r="AG9" s="270">
        <f>MAX(AE4:AE13)-MIN(AE4:AE13)</f>
        <v>2.787555555555556</v>
      </c>
      <c r="AH9" s="271">
        <v>0</v>
      </c>
      <c r="AI9" s="271">
        <v>2.5750000000000002</v>
      </c>
      <c r="AJ9" s="271">
        <v>1.0229999999999999</v>
      </c>
      <c r="AK9" s="271">
        <v>3</v>
      </c>
      <c r="AL9" s="271">
        <v>3</v>
      </c>
      <c r="AM9" s="271">
        <v>10</v>
      </c>
      <c r="AN9" s="269">
        <f t="shared" si="0"/>
        <v>9.7533333333333361E-2</v>
      </c>
      <c r="AO9" s="272">
        <f>MAX(U4,U14,U24)-MIN(U4,U14,U24)</f>
        <v>2.3933333333333584E-2</v>
      </c>
      <c r="AP9" s="273">
        <f>AF4+(AJ4*AN4)</f>
        <v>1.1945877111111112</v>
      </c>
      <c r="AQ9" s="273">
        <f>AF4-(AJ4*AN4)</f>
        <v>0.99503451111111119</v>
      </c>
      <c r="AR9" s="273">
        <f t="shared" si="16"/>
        <v>0.25114833333333342</v>
      </c>
      <c r="AS9" s="271">
        <f t="shared" si="17"/>
        <v>0</v>
      </c>
    </row>
    <row r="10" spans="1:55">
      <c r="A10" s="192" t="s">
        <v>233</v>
      </c>
      <c r="B10" s="192" t="s">
        <v>221</v>
      </c>
      <c r="C10" s="192" t="s">
        <v>518</v>
      </c>
      <c r="D10" s="192">
        <v>5002727</v>
      </c>
      <c r="E10" s="192" t="s">
        <v>510</v>
      </c>
      <c r="F10" s="291">
        <v>1</v>
      </c>
      <c r="G10" s="67">
        <v>1.0609999999999999</v>
      </c>
      <c r="H10" s="198">
        <v>45412.504035069447</v>
      </c>
      <c r="I10" s="193">
        <v>0</v>
      </c>
      <c r="J10" s="227">
        <v>5</v>
      </c>
      <c r="K10" s="228"/>
      <c r="L10" s="286">
        <v>7</v>
      </c>
      <c r="M10" s="218" t="str">
        <f t="shared" si="1"/>
        <v>Hioki</v>
      </c>
      <c r="N10" s="218" t="str">
        <f t="shared" si="2"/>
        <v>X-40-203</v>
      </c>
      <c r="O10" s="204" t="str">
        <f t="shared" si="3"/>
        <v>THA007</v>
      </c>
      <c r="P10" s="204">
        <f t="shared" si="4"/>
        <v>5002727</v>
      </c>
      <c r="Q10" s="204" t="str">
        <f t="shared" si="5"/>
        <v>SUS</v>
      </c>
      <c r="R10" s="206">
        <f t="shared" si="6"/>
        <v>1.113</v>
      </c>
      <c r="S10" s="206">
        <f t="shared" si="7"/>
        <v>3.339</v>
      </c>
      <c r="T10" s="219">
        <f t="shared" si="8"/>
        <v>0.10600000000000009</v>
      </c>
      <c r="U10" s="254">
        <f>AVERAGE(R4:R13)</f>
        <v>1.0999000000000001</v>
      </c>
      <c r="V10" s="206">
        <f>AVERAGE(T4:T13)</f>
        <v>0.10300000000000006</v>
      </c>
      <c r="W10" s="206">
        <f t="shared" si="9"/>
        <v>0</v>
      </c>
      <c r="X10" s="206">
        <f t="shared" si="10"/>
        <v>5</v>
      </c>
      <c r="Y10" s="238"/>
      <c r="Z10" s="270" t="str">
        <f t="shared" si="11"/>
        <v>Hioki</v>
      </c>
      <c r="AA10" s="270" t="str">
        <f t="shared" si="12"/>
        <v>X-40-203</v>
      </c>
      <c r="AB10" s="270" t="str">
        <f t="shared" si="13"/>
        <v>THA007</v>
      </c>
      <c r="AC10" s="281">
        <v>0</v>
      </c>
      <c r="AD10" s="270">
        <f t="shared" si="14"/>
        <v>9.2259999999999991</v>
      </c>
      <c r="AE10" s="270">
        <f t="shared" si="15"/>
        <v>1.0251111111111111</v>
      </c>
      <c r="AF10" s="270">
        <f>AVERAGE(AE4:AE13)</f>
        <v>1.0948111111111112</v>
      </c>
      <c r="AG10" s="270">
        <f>MAX(AE4:AE13)-MIN(AE4:AE13)</f>
        <v>2.787555555555556</v>
      </c>
      <c r="AH10" s="271">
        <v>0</v>
      </c>
      <c r="AI10" s="271">
        <v>2.5750000000000002</v>
      </c>
      <c r="AJ10" s="271">
        <v>1.0229999999999999</v>
      </c>
      <c r="AK10" s="271">
        <v>3</v>
      </c>
      <c r="AL10" s="271">
        <v>3</v>
      </c>
      <c r="AM10" s="271">
        <v>10</v>
      </c>
      <c r="AN10" s="269">
        <f t="shared" si="0"/>
        <v>9.7533333333333361E-2</v>
      </c>
      <c r="AO10" s="272">
        <f>MAX(U4,U14,U24)-MIN(U4,U14,U24)</f>
        <v>2.3933333333333584E-2</v>
      </c>
      <c r="AP10" s="273">
        <f>AF4+(AJ4*AN4)</f>
        <v>1.1945877111111112</v>
      </c>
      <c r="AQ10" s="273">
        <f>AF4-(AJ4*AN4)</f>
        <v>0.99503451111111119</v>
      </c>
      <c r="AR10" s="273">
        <f t="shared" si="16"/>
        <v>0.25114833333333342</v>
      </c>
      <c r="AS10" s="271">
        <f t="shared" si="17"/>
        <v>0</v>
      </c>
    </row>
    <row r="11" spans="1:55">
      <c r="A11" s="192" t="s">
        <v>233</v>
      </c>
      <c r="B11" s="192" t="s">
        <v>221</v>
      </c>
      <c r="C11" s="192" t="s">
        <v>519</v>
      </c>
      <c r="D11" s="192">
        <v>5002727</v>
      </c>
      <c r="E11" s="192" t="s">
        <v>510</v>
      </c>
      <c r="F11" s="291">
        <v>1</v>
      </c>
      <c r="G11" s="67">
        <v>0.95099999999999996</v>
      </c>
      <c r="H11" s="198">
        <v>45412.50403935185</v>
      </c>
      <c r="I11" s="193">
        <v>0</v>
      </c>
      <c r="J11" s="227">
        <v>5</v>
      </c>
      <c r="K11" s="228"/>
      <c r="L11" s="286">
        <v>8</v>
      </c>
      <c r="M11" s="218" t="str">
        <f t="shared" si="1"/>
        <v>Hioki</v>
      </c>
      <c r="N11" s="218" t="str">
        <f t="shared" si="2"/>
        <v>X-40-203</v>
      </c>
      <c r="O11" s="204" t="str">
        <f t="shared" si="3"/>
        <v>THA008</v>
      </c>
      <c r="P11" s="204">
        <f t="shared" si="4"/>
        <v>5002727</v>
      </c>
      <c r="Q11" s="204" t="str">
        <f t="shared" si="5"/>
        <v>SUS</v>
      </c>
      <c r="R11" s="206">
        <f t="shared" si="6"/>
        <v>1.0343333333333333</v>
      </c>
      <c r="S11" s="206">
        <f t="shared" si="7"/>
        <v>3.1029999999999998</v>
      </c>
      <c r="T11" s="219">
        <f t="shared" si="8"/>
        <v>5.600000000000005E-2</v>
      </c>
      <c r="U11" s="254">
        <f>AVERAGE(R4:R13)</f>
        <v>1.0999000000000001</v>
      </c>
      <c r="V11" s="206">
        <f>AVERAGE(T4:T13)</f>
        <v>0.10300000000000006</v>
      </c>
      <c r="W11" s="206">
        <f t="shared" si="9"/>
        <v>0</v>
      </c>
      <c r="X11" s="206">
        <f t="shared" si="10"/>
        <v>5</v>
      </c>
      <c r="Y11" s="238"/>
      <c r="Z11" s="270" t="str">
        <f t="shared" si="11"/>
        <v>Hioki</v>
      </c>
      <c r="AA11" s="270" t="str">
        <f t="shared" si="12"/>
        <v>X-40-203</v>
      </c>
      <c r="AB11" s="270" t="str">
        <f t="shared" si="13"/>
        <v>THA008</v>
      </c>
      <c r="AC11" s="281">
        <v>0</v>
      </c>
      <c r="AD11" s="270">
        <f t="shared" si="14"/>
        <v>8.8769999999999989</v>
      </c>
      <c r="AE11" s="270">
        <f t="shared" si="15"/>
        <v>0.98633333333333317</v>
      </c>
      <c r="AF11" s="270">
        <f>AVERAGE(AE4:AE13)</f>
        <v>1.0948111111111112</v>
      </c>
      <c r="AG11" s="270">
        <f>MAX(AE4:AE13)-MIN(AE4:AE13)</f>
        <v>2.787555555555556</v>
      </c>
      <c r="AH11" s="271">
        <v>0</v>
      </c>
      <c r="AI11" s="271">
        <v>2.5750000000000002</v>
      </c>
      <c r="AJ11" s="271">
        <v>1.0229999999999999</v>
      </c>
      <c r="AK11" s="271">
        <v>3</v>
      </c>
      <c r="AL11" s="271">
        <v>3</v>
      </c>
      <c r="AM11" s="271">
        <v>10</v>
      </c>
      <c r="AN11" s="269">
        <f t="shared" si="0"/>
        <v>9.7533333333333361E-2</v>
      </c>
      <c r="AO11" s="272">
        <f>MAX(U4,U14,U24)-MIN(U4,U14,U24)</f>
        <v>2.3933333333333584E-2</v>
      </c>
      <c r="AP11" s="273">
        <f>AF4+(AJ4*AN4)</f>
        <v>1.1945877111111112</v>
      </c>
      <c r="AQ11" s="273">
        <f>AF4-(AJ4*AN4)</f>
        <v>0.99503451111111119</v>
      </c>
      <c r="AR11" s="273">
        <f t="shared" si="16"/>
        <v>0.25114833333333342</v>
      </c>
      <c r="AS11" s="271">
        <f t="shared" si="17"/>
        <v>0</v>
      </c>
    </row>
    <row r="12" spans="1:55">
      <c r="A12" s="192" t="s">
        <v>233</v>
      </c>
      <c r="B12" s="192" t="s">
        <v>221</v>
      </c>
      <c r="C12" s="192" t="s">
        <v>520</v>
      </c>
      <c r="D12" s="192">
        <v>5002727</v>
      </c>
      <c r="E12" s="192" t="s">
        <v>510</v>
      </c>
      <c r="F12" s="291">
        <v>1</v>
      </c>
      <c r="G12" s="67">
        <v>2.9660000000000002</v>
      </c>
      <c r="H12" s="198">
        <v>45412.50403935185</v>
      </c>
      <c r="I12" s="193">
        <v>0</v>
      </c>
      <c r="J12" s="227">
        <v>5</v>
      </c>
      <c r="K12" s="228"/>
      <c r="L12" s="286">
        <v>9</v>
      </c>
      <c r="M12" s="218" t="str">
        <f t="shared" si="1"/>
        <v>Hioki</v>
      </c>
      <c r="N12" s="218" t="str">
        <f t="shared" si="2"/>
        <v>X-40-203</v>
      </c>
      <c r="O12" s="204" t="str">
        <f t="shared" si="3"/>
        <v>THA009</v>
      </c>
      <c r="P12" s="204">
        <f t="shared" si="4"/>
        <v>5002727</v>
      </c>
      <c r="Q12" s="204" t="str">
        <f t="shared" si="5"/>
        <v>SUS</v>
      </c>
      <c r="R12" s="206">
        <f t="shared" si="6"/>
        <v>0.85933333333333328</v>
      </c>
      <c r="S12" s="206">
        <f t="shared" si="7"/>
        <v>2.5779999999999998</v>
      </c>
      <c r="T12" s="219">
        <f t="shared" si="8"/>
        <v>0.1389999999999999</v>
      </c>
      <c r="U12" s="254">
        <f>AVERAGE(R4:R13)</f>
        <v>1.0999000000000001</v>
      </c>
      <c r="V12" s="206">
        <f>AVERAGE(T4:T13)</f>
        <v>0.10300000000000006</v>
      </c>
      <c r="W12" s="206">
        <f t="shared" si="9"/>
        <v>0</v>
      </c>
      <c r="X12" s="206">
        <f t="shared" si="10"/>
        <v>5</v>
      </c>
      <c r="Y12" s="238"/>
      <c r="Z12" s="270" t="str">
        <f t="shared" si="11"/>
        <v>Hioki</v>
      </c>
      <c r="AA12" s="270" t="str">
        <f t="shared" si="12"/>
        <v>X-40-203</v>
      </c>
      <c r="AB12" s="270" t="str">
        <f t="shared" si="13"/>
        <v>THA009</v>
      </c>
      <c r="AC12" s="281">
        <v>0</v>
      </c>
      <c r="AD12" s="270">
        <f t="shared" si="14"/>
        <v>8.3680000000000003</v>
      </c>
      <c r="AE12" s="270">
        <f t="shared" si="15"/>
        <v>0.92977777777777781</v>
      </c>
      <c r="AF12" s="270">
        <f>AVERAGE(AE4:AE13)</f>
        <v>1.0948111111111112</v>
      </c>
      <c r="AG12" s="270">
        <f>MAX(AE4:AE13)-MIN(AE4:AE13)</f>
        <v>2.787555555555556</v>
      </c>
      <c r="AH12" s="271">
        <v>0</v>
      </c>
      <c r="AI12" s="271">
        <v>2.5750000000000002</v>
      </c>
      <c r="AJ12" s="271">
        <v>1.0229999999999999</v>
      </c>
      <c r="AK12" s="271">
        <v>3</v>
      </c>
      <c r="AL12" s="271">
        <v>3</v>
      </c>
      <c r="AM12" s="271">
        <v>10</v>
      </c>
      <c r="AN12" s="269">
        <f t="shared" si="0"/>
        <v>9.7533333333333361E-2</v>
      </c>
      <c r="AO12" s="272">
        <f>MAX(U4,U14,U24)-MIN(U4,U14,U24)</f>
        <v>2.3933333333333584E-2</v>
      </c>
      <c r="AP12" s="273">
        <f>AF4+(AJ4*AN4)</f>
        <v>1.1945877111111112</v>
      </c>
      <c r="AQ12" s="273">
        <f>AF4-(AJ4*AN4)</f>
        <v>0.99503451111111119</v>
      </c>
      <c r="AR12" s="273">
        <f t="shared" si="16"/>
        <v>0.25114833333333342</v>
      </c>
      <c r="AS12" s="271">
        <f t="shared" si="17"/>
        <v>0</v>
      </c>
    </row>
    <row r="13" spans="1:55">
      <c r="A13" s="192" t="s">
        <v>233</v>
      </c>
      <c r="B13" s="192" t="s">
        <v>221</v>
      </c>
      <c r="C13" s="192" t="s">
        <v>509</v>
      </c>
      <c r="D13" s="192">
        <v>5002727</v>
      </c>
      <c r="E13" s="192" t="s">
        <v>510</v>
      </c>
      <c r="F13" s="291">
        <v>2</v>
      </c>
      <c r="G13" s="67">
        <v>0.126</v>
      </c>
      <c r="H13" s="196">
        <v>45412.62903935185</v>
      </c>
      <c r="I13" s="193">
        <v>0</v>
      </c>
      <c r="J13" s="227">
        <v>5</v>
      </c>
      <c r="K13" s="228"/>
      <c r="L13" s="286">
        <v>10</v>
      </c>
      <c r="M13" s="218" t="str">
        <f t="shared" si="1"/>
        <v>Hioki</v>
      </c>
      <c r="N13" s="218" t="str">
        <f t="shared" si="2"/>
        <v>X-40-203</v>
      </c>
      <c r="O13" s="204" t="str">
        <f t="shared" si="3"/>
        <v>THA010</v>
      </c>
      <c r="P13" s="204">
        <f t="shared" si="4"/>
        <v>5002727</v>
      </c>
      <c r="Q13" s="204" t="str">
        <f t="shared" si="5"/>
        <v>SUS</v>
      </c>
      <c r="R13" s="206">
        <f t="shared" si="6"/>
        <v>2.9390000000000001</v>
      </c>
      <c r="S13" s="206">
        <f t="shared" si="7"/>
        <v>8.8170000000000002</v>
      </c>
      <c r="T13" s="219">
        <f t="shared" si="8"/>
        <v>4.5000000000000373E-2</v>
      </c>
      <c r="U13" s="254">
        <f>AVERAGE(R4:R13)</f>
        <v>1.0999000000000001</v>
      </c>
      <c r="V13" s="206">
        <f>AVERAGE(T4:T13)</f>
        <v>0.10300000000000006</v>
      </c>
      <c r="W13" s="206">
        <f t="shared" si="9"/>
        <v>0</v>
      </c>
      <c r="X13" s="206">
        <f t="shared" si="10"/>
        <v>5</v>
      </c>
      <c r="Y13" s="238"/>
      <c r="Z13" s="270" t="str">
        <f t="shared" si="11"/>
        <v>Hioki</v>
      </c>
      <c r="AA13" s="270" t="str">
        <f t="shared" si="12"/>
        <v>X-40-203</v>
      </c>
      <c r="AB13" s="270" t="str">
        <f t="shared" si="13"/>
        <v>THA010</v>
      </c>
      <c r="AC13" s="281">
        <v>0</v>
      </c>
      <c r="AD13" s="270">
        <f t="shared" si="14"/>
        <v>26.3</v>
      </c>
      <c r="AE13" s="270">
        <f t="shared" si="15"/>
        <v>2.9222222222222225</v>
      </c>
      <c r="AF13" s="270">
        <f>AVERAGE(AE4:AE13)</f>
        <v>1.0948111111111112</v>
      </c>
      <c r="AG13" s="270">
        <f>MAX(AE4:AE13)-MIN(AE4:AE13)</f>
        <v>2.787555555555556</v>
      </c>
      <c r="AH13" s="271">
        <v>0</v>
      </c>
      <c r="AI13" s="271">
        <v>2.5750000000000002</v>
      </c>
      <c r="AJ13" s="271">
        <v>1.0229999999999999</v>
      </c>
      <c r="AK13" s="271">
        <v>3</v>
      </c>
      <c r="AL13" s="271">
        <v>3</v>
      </c>
      <c r="AM13" s="271">
        <v>10</v>
      </c>
      <c r="AN13" s="269">
        <f t="shared" si="0"/>
        <v>9.7533333333333361E-2</v>
      </c>
      <c r="AO13" s="272">
        <f>MAX(U4,U14,U24)-MIN(U4,U14,U24)</f>
        <v>2.3933333333333584E-2</v>
      </c>
      <c r="AP13" s="273">
        <f>AF4+(AJ4*AN4)</f>
        <v>1.1945877111111112</v>
      </c>
      <c r="AQ13" s="273">
        <f>AF4-(AJ4*AN4)</f>
        <v>0.99503451111111119</v>
      </c>
      <c r="AR13" s="273">
        <f t="shared" si="16"/>
        <v>0.25114833333333342</v>
      </c>
      <c r="AS13" s="271">
        <f t="shared" si="17"/>
        <v>0</v>
      </c>
    </row>
    <row r="14" spans="1:55">
      <c r="A14" s="192" t="s">
        <v>233</v>
      </c>
      <c r="B14" s="192" t="s">
        <v>221</v>
      </c>
      <c r="C14" s="192" t="s">
        <v>512</v>
      </c>
      <c r="D14" s="192">
        <v>5002727</v>
      </c>
      <c r="E14" s="192" t="s">
        <v>510</v>
      </c>
      <c r="F14" s="291">
        <v>2</v>
      </c>
      <c r="G14" s="67">
        <v>0.85799999999999998</v>
      </c>
      <c r="H14" s="196">
        <v>45412.62903935185</v>
      </c>
      <c r="I14" s="193">
        <v>0</v>
      </c>
      <c r="J14" s="227">
        <v>5</v>
      </c>
      <c r="K14" s="228"/>
      <c r="L14" s="286">
        <v>1</v>
      </c>
      <c r="M14" s="220" t="str">
        <f t="shared" si="1"/>
        <v>Hioki</v>
      </c>
      <c r="N14" s="220" t="str">
        <f t="shared" si="2"/>
        <v>X-40-203</v>
      </c>
      <c r="O14" s="221" t="str">
        <f>C33</f>
        <v>THA001</v>
      </c>
      <c r="P14" s="220" t="str">
        <f>D33</f>
        <v>S059818</v>
      </c>
      <c r="Q14" s="220" t="str">
        <f>E33</f>
        <v>SUS</v>
      </c>
      <c r="R14" s="209">
        <f>AVERAGE(G33,G43,G53)</f>
        <v>0.14533333333333334</v>
      </c>
      <c r="S14" s="209">
        <f>SUM(G33,G43,G53)</f>
        <v>0.436</v>
      </c>
      <c r="T14" s="221">
        <f>MAX(G33,G43,G53)-MIN(G33,G43,G53)</f>
        <v>0.05</v>
      </c>
      <c r="U14" s="253">
        <f>AVERAGE(R14:R23)</f>
        <v>1.0802999999999998</v>
      </c>
      <c r="V14" s="209">
        <f>AVERAGE(T14:T23)</f>
        <v>9.4199999999999978E-2</v>
      </c>
      <c r="W14" s="209">
        <f t="shared" si="9"/>
        <v>0</v>
      </c>
      <c r="X14" s="209">
        <f t="shared" si="10"/>
        <v>5</v>
      </c>
      <c r="Y14" s="222"/>
      <c r="Z14" s="222"/>
      <c r="AA14" s="222"/>
      <c r="AB14" s="222"/>
      <c r="AC14" s="222"/>
    </row>
    <row r="15" spans="1:55">
      <c r="A15" s="192" t="s">
        <v>233</v>
      </c>
      <c r="B15" s="192" t="s">
        <v>221</v>
      </c>
      <c r="C15" s="192" t="s">
        <v>513</v>
      </c>
      <c r="D15" s="192">
        <v>5002727</v>
      </c>
      <c r="E15" s="192" t="s">
        <v>510</v>
      </c>
      <c r="F15" s="291">
        <v>2</v>
      </c>
      <c r="G15" s="67">
        <v>0.874</v>
      </c>
      <c r="H15" s="196">
        <v>45412.62903935185</v>
      </c>
      <c r="I15" s="193">
        <v>0</v>
      </c>
      <c r="J15" s="227">
        <v>5</v>
      </c>
      <c r="K15" s="228"/>
      <c r="L15" s="286">
        <v>2</v>
      </c>
      <c r="M15" s="220" t="str">
        <f t="shared" si="1"/>
        <v>Hioki</v>
      </c>
      <c r="N15" s="220" t="str">
        <f t="shared" si="2"/>
        <v>X-40-203</v>
      </c>
      <c r="O15" s="221" t="str">
        <f t="shared" ref="O15:O23" si="18">C34</f>
        <v>THA002</v>
      </c>
      <c r="P15" s="220" t="str">
        <f t="shared" ref="P15:P23" si="19">D34</f>
        <v>S059818</v>
      </c>
      <c r="Q15" s="220" t="str">
        <f t="shared" ref="Q15:Q23" si="20">E34</f>
        <v>SUS</v>
      </c>
      <c r="R15" s="209">
        <f t="shared" ref="R15:R23" si="21">AVERAGE(G34,G44,G54)</f>
        <v>0.97599999999999998</v>
      </c>
      <c r="S15" s="209">
        <f t="shared" ref="S15:S23" si="22">SUM(G34,G44,G54)</f>
        <v>2.9279999999999999</v>
      </c>
      <c r="T15" s="221">
        <f t="shared" ref="T15:T23" si="23">MAX(G34,G44,G54)-MIN(G34,G44,G54)</f>
        <v>4.3000000000000038E-2</v>
      </c>
      <c r="U15" s="253">
        <f>AVERAGE(R14:R23)</f>
        <v>1.0802999999999998</v>
      </c>
      <c r="V15" s="209">
        <f>AVERAGE(T14:T23)</f>
        <v>9.4199999999999978E-2</v>
      </c>
      <c r="W15" s="209">
        <f t="shared" si="9"/>
        <v>0</v>
      </c>
      <c r="X15" s="209">
        <f t="shared" si="10"/>
        <v>5</v>
      </c>
      <c r="Y15" s="222"/>
      <c r="Z15" s="222"/>
      <c r="AA15" s="222"/>
      <c r="AB15" s="222"/>
      <c r="AC15" s="222"/>
      <c r="AD15" s="222"/>
      <c r="AE15" s="238"/>
    </row>
    <row r="16" spans="1:55" ht="14.25" customHeight="1">
      <c r="A16" s="192" t="s">
        <v>233</v>
      </c>
      <c r="B16" s="192" t="s">
        <v>221</v>
      </c>
      <c r="C16" s="192" t="s">
        <v>514</v>
      </c>
      <c r="D16" s="192">
        <v>5002727</v>
      </c>
      <c r="E16" s="192" t="s">
        <v>510</v>
      </c>
      <c r="F16" s="291">
        <v>2</v>
      </c>
      <c r="G16" s="67">
        <v>1.0389999999999999</v>
      </c>
      <c r="H16" s="196">
        <v>45412.62903935185</v>
      </c>
      <c r="I16" s="193">
        <v>0</v>
      </c>
      <c r="J16" s="227">
        <v>5</v>
      </c>
      <c r="K16" s="228"/>
      <c r="L16" s="286">
        <v>3</v>
      </c>
      <c r="M16" s="220" t="str">
        <f t="shared" si="1"/>
        <v>Hioki</v>
      </c>
      <c r="N16" s="220" t="str">
        <f t="shared" si="2"/>
        <v>X-40-203</v>
      </c>
      <c r="O16" s="221" t="str">
        <f t="shared" si="18"/>
        <v>THA003</v>
      </c>
      <c r="P16" s="220" t="str">
        <f t="shared" si="19"/>
        <v>S059818</v>
      </c>
      <c r="Q16" s="220" t="str">
        <f t="shared" si="20"/>
        <v>SUS</v>
      </c>
      <c r="R16" s="209">
        <f t="shared" si="21"/>
        <v>0.82399999999999995</v>
      </c>
      <c r="S16" s="209">
        <f t="shared" si="22"/>
        <v>2.472</v>
      </c>
      <c r="T16" s="221">
        <f t="shared" si="23"/>
        <v>1.2000000000000011E-2</v>
      </c>
      <c r="U16" s="253">
        <f>AVERAGE(R14:R23)</f>
        <v>1.0802999999999998</v>
      </c>
      <c r="V16" s="209">
        <f>AVERAGE(T14:T23)</f>
        <v>9.4199999999999978E-2</v>
      </c>
      <c r="W16" s="209">
        <f t="shared" si="9"/>
        <v>0</v>
      </c>
      <c r="X16" s="209">
        <f t="shared" si="10"/>
        <v>5</v>
      </c>
      <c r="Y16" s="222"/>
      <c r="Z16" s="222"/>
      <c r="AA16" s="222"/>
      <c r="AB16" s="222"/>
      <c r="AC16" s="222"/>
      <c r="AD16" s="222"/>
      <c r="AE16" s="238"/>
      <c r="AM16" s="455" t="s">
        <v>504</v>
      </c>
      <c r="AN16" s="456"/>
      <c r="AO16" s="456"/>
      <c r="AP16" s="457"/>
    </row>
    <row r="17" spans="1:74" ht="14.25" customHeight="1">
      <c r="A17" s="192" t="s">
        <v>233</v>
      </c>
      <c r="B17" s="192" t="s">
        <v>221</v>
      </c>
      <c r="C17" s="192" t="s">
        <v>515</v>
      </c>
      <c r="D17" s="192">
        <v>5002727</v>
      </c>
      <c r="E17" s="192" t="s">
        <v>510</v>
      </c>
      <c r="F17" s="291">
        <v>2</v>
      </c>
      <c r="G17" s="67">
        <v>1.038</v>
      </c>
      <c r="H17" s="196">
        <v>45412.62903935185</v>
      </c>
      <c r="I17" s="193">
        <v>0</v>
      </c>
      <c r="J17" s="227">
        <v>5</v>
      </c>
      <c r="K17" s="228"/>
      <c r="L17" s="286">
        <v>4</v>
      </c>
      <c r="M17" s="220" t="str">
        <f t="shared" si="1"/>
        <v>Hioki</v>
      </c>
      <c r="N17" s="220" t="str">
        <f t="shared" si="2"/>
        <v>X-40-203</v>
      </c>
      <c r="O17" s="221" t="str">
        <f t="shared" si="18"/>
        <v>THA004</v>
      </c>
      <c r="P17" s="220" t="str">
        <f t="shared" si="19"/>
        <v>S059818</v>
      </c>
      <c r="Q17" s="220" t="str">
        <f t="shared" si="20"/>
        <v>SUS</v>
      </c>
      <c r="R17" s="209">
        <f t="shared" si="21"/>
        <v>0.97233333333333327</v>
      </c>
      <c r="S17" s="209">
        <f t="shared" si="22"/>
        <v>2.9169999999999998</v>
      </c>
      <c r="T17" s="221">
        <f t="shared" si="23"/>
        <v>0.248</v>
      </c>
      <c r="U17" s="253">
        <f>AVERAGE(R14:R23)</f>
        <v>1.0802999999999998</v>
      </c>
      <c r="V17" s="209">
        <f>AVERAGE(T14:T23)</f>
        <v>9.4199999999999978E-2</v>
      </c>
      <c r="W17" s="209">
        <f t="shared" si="9"/>
        <v>0</v>
      </c>
      <c r="X17" s="209">
        <f t="shared" si="10"/>
        <v>5</v>
      </c>
      <c r="Y17" s="222"/>
      <c r="Z17" s="222"/>
      <c r="AA17" s="222"/>
      <c r="AB17" s="222"/>
      <c r="AC17" s="222"/>
      <c r="AD17" s="222"/>
      <c r="AE17" s="238"/>
      <c r="AM17" s="458"/>
      <c r="AN17" s="459"/>
      <c r="AO17" s="459"/>
      <c r="AP17" s="460"/>
    </row>
    <row r="18" spans="1:74">
      <c r="A18" s="192" t="s">
        <v>233</v>
      </c>
      <c r="B18" s="192" t="s">
        <v>221</v>
      </c>
      <c r="C18" s="192" t="s">
        <v>516</v>
      </c>
      <c r="D18" s="192">
        <v>5002727</v>
      </c>
      <c r="E18" s="192" t="s">
        <v>510</v>
      </c>
      <c r="F18" s="291">
        <v>2</v>
      </c>
      <c r="G18" s="67">
        <v>1.252</v>
      </c>
      <c r="H18" s="196">
        <v>45412.62903935185</v>
      </c>
      <c r="I18" s="193">
        <v>0</v>
      </c>
      <c r="J18" s="227">
        <v>5</v>
      </c>
      <c r="K18" s="228"/>
      <c r="L18" s="286">
        <v>5</v>
      </c>
      <c r="M18" s="220" t="str">
        <f t="shared" si="1"/>
        <v>Hioki</v>
      </c>
      <c r="N18" s="220" t="str">
        <f t="shared" si="2"/>
        <v>X-40-203</v>
      </c>
      <c r="O18" s="221" t="str">
        <f t="shared" si="18"/>
        <v>THA005</v>
      </c>
      <c r="P18" s="220" t="str">
        <f t="shared" si="19"/>
        <v>S059818</v>
      </c>
      <c r="Q18" s="220" t="str">
        <f t="shared" si="20"/>
        <v>SUS</v>
      </c>
      <c r="R18" s="209">
        <f t="shared" si="21"/>
        <v>1.0126666666666666</v>
      </c>
      <c r="S18" s="209">
        <f t="shared" si="22"/>
        <v>3.0379999999999998</v>
      </c>
      <c r="T18" s="221">
        <f t="shared" si="23"/>
        <v>3.1000000000000139E-2</v>
      </c>
      <c r="U18" s="253">
        <f>AVERAGE(R14:R23)</f>
        <v>1.0802999999999998</v>
      </c>
      <c r="V18" s="209">
        <f>AVERAGE(T14:T23)</f>
        <v>9.4199999999999978E-2</v>
      </c>
      <c r="W18" s="209">
        <f t="shared" si="9"/>
        <v>0</v>
      </c>
      <c r="X18" s="209">
        <f t="shared" si="10"/>
        <v>5</v>
      </c>
      <c r="Y18" s="222"/>
      <c r="Z18" s="221" t="s">
        <v>227</v>
      </c>
      <c r="AA18" s="221" t="s">
        <v>226</v>
      </c>
      <c r="AB18" s="277" t="s">
        <v>229</v>
      </c>
      <c r="AC18" s="207" t="s">
        <v>282</v>
      </c>
      <c r="AD18" s="207" t="s">
        <v>283</v>
      </c>
      <c r="AE18" s="207" t="s">
        <v>284</v>
      </c>
      <c r="AF18" s="207" t="s">
        <v>285</v>
      </c>
      <c r="AG18" s="207" t="s">
        <v>286</v>
      </c>
      <c r="AH18" s="207" t="s">
        <v>287</v>
      </c>
      <c r="AI18" s="207" t="s">
        <v>222</v>
      </c>
      <c r="AJ18" s="207" t="s">
        <v>223</v>
      </c>
      <c r="BC18"/>
    </row>
    <row r="19" spans="1:74">
      <c r="A19" s="192" t="s">
        <v>233</v>
      </c>
      <c r="B19" s="192" t="s">
        <v>221</v>
      </c>
      <c r="C19" s="192" t="s">
        <v>517</v>
      </c>
      <c r="D19" s="192">
        <v>5002727</v>
      </c>
      <c r="E19" s="192" t="s">
        <v>510</v>
      </c>
      <c r="F19" s="291">
        <v>2</v>
      </c>
      <c r="G19" s="67">
        <v>1.143</v>
      </c>
      <c r="H19" s="196">
        <v>45412.62903935185</v>
      </c>
      <c r="I19" s="193">
        <v>0</v>
      </c>
      <c r="J19" s="227">
        <v>5</v>
      </c>
      <c r="K19" s="228"/>
      <c r="L19" s="286">
        <v>6</v>
      </c>
      <c r="M19" s="220" t="str">
        <f t="shared" si="1"/>
        <v>Hioki</v>
      </c>
      <c r="N19" s="220" t="str">
        <f t="shared" si="2"/>
        <v>X-40-203</v>
      </c>
      <c r="O19" s="221" t="str">
        <f t="shared" si="18"/>
        <v>THA006</v>
      </c>
      <c r="P19" s="220" t="str">
        <f t="shared" si="19"/>
        <v>S059818</v>
      </c>
      <c r="Q19" s="220" t="str">
        <f t="shared" si="20"/>
        <v>SUS</v>
      </c>
      <c r="R19" s="209">
        <f t="shared" si="21"/>
        <v>1.1209999999999998</v>
      </c>
      <c r="S19" s="209">
        <f t="shared" si="22"/>
        <v>3.3629999999999995</v>
      </c>
      <c r="T19" s="221">
        <f t="shared" si="23"/>
        <v>0.12599999999999989</v>
      </c>
      <c r="U19" s="253">
        <f>AVERAGE(R14:R23)</f>
        <v>1.0802999999999998</v>
      </c>
      <c r="V19" s="209">
        <f>AVERAGE(T14:T23)</f>
        <v>9.4199999999999978E-2</v>
      </c>
      <c r="W19" s="209">
        <f t="shared" si="9"/>
        <v>0</v>
      </c>
      <c r="X19" s="209">
        <f t="shared" si="10"/>
        <v>5</v>
      </c>
      <c r="Y19" s="222"/>
      <c r="Z19" s="214"/>
      <c r="AA19" s="214"/>
      <c r="AB19" s="231"/>
      <c r="AC19" s="279" t="s">
        <v>297</v>
      </c>
      <c r="AD19" s="279" t="s">
        <v>298</v>
      </c>
      <c r="AE19" s="279" t="s">
        <v>299</v>
      </c>
      <c r="AF19" s="279" t="s">
        <v>300</v>
      </c>
      <c r="AG19" s="241" t="s">
        <v>301</v>
      </c>
      <c r="AH19" s="241" t="s">
        <v>302</v>
      </c>
      <c r="AI19" s="190"/>
      <c r="AJ19" s="190"/>
      <c r="AM19" s="213" t="s">
        <v>227</v>
      </c>
      <c r="AN19" s="213" t="s">
        <v>226</v>
      </c>
      <c r="AO19" s="213" t="s">
        <v>228</v>
      </c>
      <c r="AP19" s="190" t="s">
        <v>288</v>
      </c>
      <c r="AQ19" s="190" t="s">
        <v>289</v>
      </c>
      <c r="AR19" s="194" t="s">
        <v>290</v>
      </c>
      <c r="AS19" s="190" t="s">
        <v>291</v>
      </c>
      <c r="AT19" s="213" t="s">
        <v>227</v>
      </c>
      <c r="AU19" s="213" t="s">
        <v>226</v>
      </c>
      <c r="AV19" s="213" t="s">
        <v>228</v>
      </c>
      <c r="AW19" s="190" t="s">
        <v>292</v>
      </c>
      <c r="AX19" s="194" t="s">
        <v>293</v>
      </c>
      <c r="AY19" s="190" t="s">
        <v>294</v>
      </c>
      <c r="AZ19" s="194" t="s">
        <v>295</v>
      </c>
      <c r="BA19" s="190" t="s">
        <v>296</v>
      </c>
      <c r="BB19" s="194" t="s">
        <v>457</v>
      </c>
      <c r="BC19" s="264" t="s">
        <v>458</v>
      </c>
      <c r="BD19" s="212" t="s">
        <v>459</v>
      </c>
      <c r="BE19" s="264" t="s">
        <v>460</v>
      </c>
      <c r="BH19" s="213" t="s">
        <v>227</v>
      </c>
      <c r="BI19" s="213" t="s">
        <v>226</v>
      </c>
      <c r="BJ19" s="213" t="s">
        <v>228</v>
      </c>
      <c r="BK19" s="190" t="s">
        <v>288</v>
      </c>
      <c r="BL19" s="190" t="s">
        <v>289</v>
      </c>
      <c r="BM19" s="194" t="s">
        <v>461</v>
      </c>
      <c r="BN19" s="199" t="s">
        <v>462</v>
      </c>
      <c r="BO19" s="194" t="s">
        <v>496</v>
      </c>
      <c r="BP19" s="199" t="s">
        <v>463</v>
      </c>
      <c r="BQ19" s="194" t="s">
        <v>497</v>
      </c>
      <c r="BR19" s="190" t="s">
        <v>464</v>
      </c>
      <c r="BS19" s="194" t="s">
        <v>498</v>
      </c>
      <c r="BT19" s="190" t="s">
        <v>465</v>
      </c>
      <c r="BU19" s="226"/>
    </row>
    <row r="20" spans="1:74">
      <c r="A20" s="192" t="s">
        <v>233</v>
      </c>
      <c r="B20" s="192" t="s">
        <v>221</v>
      </c>
      <c r="C20" s="192" t="s">
        <v>518</v>
      </c>
      <c r="D20" s="192">
        <v>5002727</v>
      </c>
      <c r="E20" s="192" t="s">
        <v>510</v>
      </c>
      <c r="F20" s="291">
        <v>2</v>
      </c>
      <c r="G20" s="67">
        <v>1.0369999999999999</v>
      </c>
      <c r="H20" s="196">
        <v>45412.62903935185</v>
      </c>
      <c r="I20" s="193">
        <v>0</v>
      </c>
      <c r="J20" s="227">
        <v>5</v>
      </c>
      <c r="K20" s="228"/>
      <c r="L20" s="286">
        <v>7</v>
      </c>
      <c r="M20" s="220" t="str">
        <f t="shared" si="1"/>
        <v>Hioki</v>
      </c>
      <c r="N20" s="220" t="str">
        <f t="shared" si="2"/>
        <v>X-40-203</v>
      </c>
      <c r="O20" s="221" t="str">
        <f t="shared" si="18"/>
        <v>THA007</v>
      </c>
      <c r="P20" s="220" t="str">
        <f t="shared" si="19"/>
        <v>S059818</v>
      </c>
      <c r="Q20" s="220" t="str">
        <f t="shared" si="20"/>
        <v>SUS</v>
      </c>
      <c r="R20" s="209">
        <f t="shared" si="21"/>
        <v>0.95599999999999985</v>
      </c>
      <c r="S20" s="209">
        <f t="shared" si="22"/>
        <v>2.8679999999999994</v>
      </c>
      <c r="T20" s="221">
        <f t="shared" si="23"/>
        <v>0.19100000000000006</v>
      </c>
      <c r="U20" s="253">
        <f>AVERAGE(R14:R23)</f>
        <v>1.0802999999999998</v>
      </c>
      <c r="V20" s="209">
        <f>AVERAGE(T14:T23)</f>
        <v>9.4199999999999978E-2</v>
      </c>
      <c r="W20" s="209">
        <f t="shared" si="9"/>
        <v>0</v>
      </c>
      <c r="X20" s="209">
        <f t="shared" si="10"/>
        <v>5</v>
      </c>
      <c r="Y20" s="222"/>
      <c r="Z20" s="206" t="str">
        <f t="shared" ref="Z20:Z22" si="24">M5</f>
        <v>Hioki</v>
      </c>
      <c r="AA20" s="206" t="str">
        <f t="shared" ref="AA20:AA22" si="25">N5</f>
        <v>X-40-203</v>
      </c>
      <c r="AB20" s="276" t="s">
        <v>7</v>
      </c>
      <c r="AC20" s="206">
        <f>SUM(S4:S13)</f>
        <v>32.997</v>
      </c>
      <c r="AD20" s="254">
        <f>(SUM(AC20,AC21,AC22))^2/(AK4*AL4*AM4)</f>
        <v>107.87502321111111</v>
      </c>
      <c r="AE20" s="254">
        <f>SUMSQ(AC20,AC21,AC22,)/AL4/AM4</f>
        <v>107.88478063333332</v>
      </c>
      <c r="AF20" s="254">
        <f>SUMSQ(AD4:AD13)/AK4/AL4</f>
        <v>147.58941055555553</v>
      </c>
      <c r="AG20" s="254">
        <f>SUMSQ(S4:S33)/AL4</f>
        <v>147.77822633333332</v>
      </c>
      <c r="AH20" s="254">
        <f>SUMSQ(G3:G92)</f>
        <v>148.03103100000001</v>
      </c>
      <c r="AI20" s="206">
        <f t="shared" ref="AI20:AJ22" si="26">W4</f>
        <v>0</v>
      </c>
      <c r="AJ20" s="206">
        <f t="shared" si="26"/>
        <v>5</v>
      </c>
      <c r="AM20" s="274" t="str">
        <f>Z20</f>
        <v>Hioki</v>
      </c>
      <c r="AN20" s="274" t="str">
        <f>AA20</f>
        <v>X-40-203</v>
      </c>
      <c r="AO20" s="274" t="e">
        <f>#REF!</f>
        <v>#REF!</v>
      </c>
      <c r="AP20" s="232" t="s">
        <v>303</v>
      </c>
      <c r="AQ20" s="232" t="s">
        <v>466</v>
      </c>
      <c r="AR20" s="233" t="s">
        <v>304</v>
      </c>
      <c r="AS20" s="234">
        <f>AM4-1</f>
        <v>9</v>
      </c>
      <c r="AT20" s="235" t="s">
        <v>305</v>
      </c>
      <c r="AU20" s="236">
        <f>AF20-AD20</f>
        <v>39.714387344444418</v>
      </c>
      <c r="AV20" s="233" t="s">
        <v>306</v>
      </c>
      <c r="AW20" s="232">
        <f>AU20/AS20</f>
        <v>4.4127097049382691</v>
      </c>
      <c r="AX20" s="233" t="s">
        <v>307</v>
      </c>
      <c r="AY20" s="232">
        <f>AW20/AW22</f>
        <v>443.59155674381708</v>
      </c>
      <c r="AZ20" s="235" t="s">
        <v>308</v>
      </c>
      <c r="BA20" s="237">
        <f>FDIST(AY20,AS20,AS22)</f>
        <v>2.9540066010588224E-19</v>
      </c>
      <c r="BB20" s="255" t="s">
        <v>508</v>
      </c>
      <c r="BC20" s="282">
        <v>0.25</v>
      </c>
      <c r="BD20" s="283" t="s">
        <v>467</v>
      </c>
      <c r="BE20" s="274">
        <f>BA22</f>
        <v>6.8154828251686108E-3</v>
      </c>
      <c r="BH20" s="289" t="str">
        <f>AM20</f>
        <v>Hioki</v>
      </c>
      <c r="BI20" s="289" t="str">
        <f>AN20</f>
        <v>X-40-203</v>
      </c>
      <c r="BJ20" s="289" t="e">
        <f>AO20</f>
        <v>#REF!</v>
      </c>
      <c r="BK20" s="190" t="s">
        <v>468</v>
      </c>
      <c r="BL20" s="190" t="s">
        <v>89</v>
      </c>
      <c r="BM20" s="194" t="s">
        <v>469</v>
      </c>
      <c r="BN20" s="190">
        <f>IF(BC20&gt;BE20,AS20,AT25)</f>
        <v>9</v>
      </c>
      <c r="BO20" s="194" t="s">
        <v>469</v>
      </c>
      <c r="BP20" s="190">
        <f>IF(BC20&gt;BE20,AU20,AV25)</f>
        <v>39.714387344444418</v>
      </c>
      <c r="BQ20" s="194" t="s">
        <v>469</v>
      </c>
      <c r="BR20" s="190">
        <f>IF(BC20&gt;BE20,AW20,AX25)</f>
        <v>4.4127097049382691</v>
      </c>
      <c r="BS20" s="194" t="s">
        <v>469</v>
      </c>
      <c r="BT20" s="190">
        <f>IF(BC20&gt;BE20,AY20,AZ25)</f>
        <v>443.59155674381708</v>
      </c>
      <c r="BU20" s="226"/>
    </row>
    <row r="21" spans="1:74">
      <c r="A21" s="192" t="s">
        <v>233</v>
      </c>
      <c r="B21" s="192" t="s">
        <v>221</v>
      </c>
      <c r="C21" s="192" t="s">
        <v>519</v>
      </c>
      <c r="D21" s="192">
        <v>5002727</v>
      </c>
      <c r="E21" s="192" t="s">
        <v>510</v>
      </c>
      <c r="F21" s="291">
        <v>2</v>
      </c>
      <c r="G21" s="67">
        <v>0.81200000000000006</v>
      </c>
      <c r="H21" s="196">
        <v>45412.62903935185</v>
      </c>
      <c r="I21" s="193">
        <v>0</v>
      </c>
      <c r="J21" s="227">
        <v>5</v>
      </c>
      <c r="K21" s="228"/>
      <c r="L21" s="286">
        <v>8</v>
      </c>
      <c r="M21" s="220" t="str">
        <f t="shared" si="1"/>
        <v>Hioki</v>
      </c>
      <c r="N21" s="220" t="str">
        <f t="shared" si="2"/>
        <v>X-40-203</v>
      </c>
      <c r="O21" s="221" t="str">
        <f t="shared" si="18"/>
        <v>THA008</v>
      </c>
      <c r="P21" s="220" t="str">
        <f t="shared" si="19"/>
        <v>S059818</v>
      </c>
      <c r="Q21" s="220" t="str">
        <f t="shared" si="20"/>
        <v>SUS</v>
      </c>
      <c r="R21" s="209">
        <f t="shared" si="21"/>
        <v>0.90666666666666662</v>
      </c>
      <c r="S21" s="209">
        <f t="shared" si="22"/>
        <v>2.7199999999999998</v>
      </c>
      <c r="T21" s="221">
        <f t="shared" si="23"/>
        <v>0.121</v>
      </c>
      <c r="U21" s="253">
        <f>AVERAGE(R14:R23)</f>
        <v>1.0802999999999998</v>
      </c>
      <c r="V21" s="209">
        <f>AVERAGE(T14:T23)</f>
        <v>9.4199999999999978E-2</v>
      </c>
      <c r="W21" s="209">
        <f t="shared" si="9"/>
        <v>0</v>
      </c>
      <c r="X21" s="209">
        <f t="shared" si="10"/>
        <v>5</v>
      </c>
      <c r="Y21" s="222"/>
      <c r="Z21" s="206" t="str">
        <f t="shared" si="24"/>
        <v>Hioki</v>
      </c>
      <c r="AA21" s="206" t="str">
        <f t="shared" si="25"/>
        <v>X-40-203</v>
      </c>
      <c r="AB21" s="276" t="s">
        <v>14</v>
      </c>
      <c r="AC21" s="206">
        <f>SUM(S14:S23)</f>
        <v>32.408999999999999</v>
      </c>
      <c r="AD21" s="254">
        <f>(SUM(AC20,AC21,AC22))^2/(AK4*AL4*AM4)</f>
        <v>107.87502321111111</v>
      </c>
      <c r="AE21" s="254">
        <f>SUMSQ(AC20,AC21,AC22,)/AL4/AM4</f>
        <v>107.88478063333332</v>
      </c>
      <c r="AF21" s="254">
        <f>SUMSQ(AD4:AD13)/AK4/AL4</f>
        <v>147.58941055555553</v>
      </c>
      <c r="AG21" s="254">
        <f>SUMSQ(S4:S33)/AL4</f>
        <v>147.77822633333332</v>
      </c>
      <c r="AH21" s="254">
        <f>SUMSQ(G3:G92)</f>
        <v>148.03103100000001</v>
      </c>
      <c r="AI21" s="206">
        <f t="shared" si="26"/>
        <v>0</v>
      </c>
      <c r="AJ21" s="206">
        <f t="shared" si="26"/>
        <v>5</v>
      </c>
      <c r="AM21" s="274" t="str">
        <f>Z20</f>
        <v>Hioki</v>
      </c>
      <c r="AN21" s="274" t="str">
        <f>AA20</f>
        <v>X-40-203</v>
      </c>
      <c r="AO21" s="274" t="e">
        <f>#REF!</f>
        <v>#REF!</v>
      </c>
      <c r="AP21" s="232" t="s">
        <v>303</v>
      </c>
      <c r="AQ21" s="232" t="s">
        <v>470</v>
      </c>
      <c r="AR21" s="233" t="s">
        <v>309</v>
      </c>
      <c r="AS21" s="232">
        <f>AL4-1</f>
        <v>2</v>
      </c>
      <c r="AT21" s="235" t="s">
        <v>310</v>
      </c>
      <c r="AU21" s="236">
        <f>AE20-AD20</f>
        <v>9.7574222222078788E-3</v>
      </c>
      <c r="AV21" s="233" t="s">
        <v>306</v>
      </c>
      <c r="AW21" s="232">
        <f t="shared" ref="AW21:AX23" si="27">AU21/AS21</f>
        <v>4.8787111111039394E-3</v>
      </c>
      <c r="AX21" s="233" t="s">
        <v>311</v>
      </c>
      <c r="AY21" s="232">
        <f>AW21/AW22</f>
        <v>0.49043676139766129</v>
      </c>
      <c r="AZ21" s="233" t="s">
        <v>312</v>
      </c>
      <c r="BA21" s="239">
        <f>FDIST(AY21,AS21,AS22)</f>
        <v>0.6203071514785039</v>
      </c>
      <c r="BB21" s="255" t="s">
        <v>508</v>
      </c>
      <c r="BC21" s="282">
        <v>0.25</v>
      </c>
      <c r="BD21" s="283" t="s">
        <v>467</v>
      </c>
      <c r="BE21" s="274">
        <f>BA22</f>
        <v>6.8154828251686108E-3</v>
      </c>
      <c r="BH21" s="289" t="str">
        <f>AM20</f>
        <v>Hioki</v>
      </c>
      <c r="BI21" s="289" t="str">
        <f>AN20</f>
        <v>X-40-203</v>
      </c>
      <c r="BJ21" s="289" t="e">
        <f>AO20</f>
        <v>#REF!</v>
      </c>
      <c r="BK21" s="190" t="s">
        <v>468</v>
      </c>
      <c r="BL21" s="190" t="s">
        <v>91</v>
      </c>
      <c r="BM21" s="194" t="s">
        <v>471</v>
      </c>
      <c r="BN21" s="190">
        <f>IF(BC21&gt;BE21,AS21,AT26)</f>
        <v>2</v>
      </c>
      <c r="BO21" s="194" t="s">
        <v>471</v>
      </c>
      <c r="BP21" s="190">
        <f>IF(BC21&gt;BE21,AU21,AV26)</f>
        <v>9.7574222222078788E-3</v>
      </c>
      <c r="BQ21" s="194" t="s">
        <v>471</v>
      </c>
      <c r="BR21" s="190">
        <f>IF(BC21&gt;BE21,AW21,AX26)</f>
        <v>4.8787111111039394E-3</v>
      </c>
      <c r="BS21" s="194" t="s">
        <v>471</v>
      </c>
      <c r="BT21" s="190">
        <f>IF(BC21&gt;BE21,AY21,AZ26)</f>
        <v>0.49043676139766129</v>
      </c>
      <c r="BU21" s="226"/>
    </row>
    <row r="22" spans="1:74">
      <c r="A22" s="192" t="s">
        <v>233</v>
      </c>
      <c r="B22" s="192" t="s">
        <v>221</v>
      </c>
      <c r="C22" s="192" t="s">
        <v>520</v>
      </c>
      <c r="D22" s="192">
        <v>5002727</v>
      </c>
      <c r="E22" s="192" t="s">
        <v>510</v>
      </c>
      <c r="F22" s="291">
        <v>2</v>
      </c>
      <c r="G22" s="67">
        <v>2.93</v>
      </c>
      <c r="H22" s="196">
        <v>45412.62903935185</v>
      </c>
      <c r="I22" s="193">
        <v>0</v>
      </c>
      <c r="J22" s="227">
        <v>5</v>
      </c>
      <c r="K22" s="228"/>
      <c r="L22" s="286">
        <v>9</v>
      </c>
      <c r="M22" s="220" t="str">
        <f t="shared" si="1"/>
        <v>Hioki</v>
      </c>
      <c r="N22" s="220" t="str">
        <f t="shared" si="2"/>
        <v>X-40-203</v>
      </c>
      <c r="O22" s="221" t="str">
        <f t="shared" si="18"/>
        <v>THA009</v>
      </c>
      <c r="P22" s="220" t="str">
        <f t="shared" si="19"/>
        <v>S059818</v>
      </c>
      <c r="Q22" s="220" t="str">
        <f t="shared" si="20"/>
        <v>SUS</v>
      </c>
      <c r="R22" s="209">
        <f t="shared" si="21"/>
        <v>0.97966666666666669</v>
      </c>
      <c r="S22" s="209">
        <f t="shared" si="22"/>
        <v>2.9390000000000001</v>
      </c>
      <c r="T22" s="221">
        <f t="shared" si="23"/>
        <v>2.8000000000000025E-2</v>
      </c>
      <c r="U22" s="253">
        <f>AVERAGE(R14:R23)</f>
        <v>1.0802999999999998</v>
      </c>
      <c r="V22" s="209">
        <f>AVERAGE(T14:T23)</f>
        <v>9.4199999999999978E-2</v>
      </c>
      <c r="W22" s="209">
        <f t="shared" si="9"/>
        <v>0</v>
      </c>
      <c r="X22" s="209">
        <f t="shared" si="10"/>
        <v>5</v>
      </c>
      <c r="Y22" s="462" t="s">
        <v>507</v>
      </c>
      <c r="Z22" s="206" t="str">
        <f t="shared" si="24"/>
        <v>Hioki</v>
      </c>
      <c r="AA22" s="206" t="str">
        <f t="shared" si="25"/>
        <v>X-40-203</v>
      </c>
      <c r="AB22" s="276" t="s">
        <v>21</v>
      </c>
      <c r="AC22" s="206">
        <f>SUM(S24:S33)</f>
        <v>33.126999999999995</v>
      </c>
      <c r="AD22" s="254">
        <f>(SUM(AC20,AC21,AC22))^2/(AK4*AL4*AM4)</f>
        <v>107.87502321111111</v>
      </c>
      <c r="AE22" s="254">
        <f>SUMSQ(AC20,AC21,AC22,)/AL4/AM4</f>
        <v>107.88478063333332</v>
      </c>
      <c r="AF22" s="254">
        <f>SUMSQ(AD4:AD13)/AK4/AL4</f>
        <v>147.58941055555553</v>
      </c>
      <c r="AG22" s="254">
        <f>SUMSQ(S4:S33)/AL4</f>
        <v>147.77822633333332</v>
      </c>
      <c r="AH22" s="254">
        <f>SUMSQ(G3:G92)</f>
        <v>148.03103100000001</v>
      </c>
      <c r="AI22" s="206">
        <f t="shared" si="26"/>
        <v>0</v>
      </c>
      <c r="AJ22" s="206">
        <f t="shared" si="26"/>
        <v>5</v>
      </c>
      <c r="AM22" s="274" t="str">
        <f>Z20</f>
        <v>Hioki</v>
      </c>
      <c r="AN22" s="274" t="str">
        <f>AA20</f>
        <v>X-40-203</v>
      </c>
      <c r="AO22" s="274" t="e">
        <f>#REF!</f>
        <v>#REF!</v>
      </c>
      <c r="AP22" s="232" t="s">
        <v>303</v>
      </c>
      <c r="AQ22" s="232" t="s">
        <v>356</v>
      </c>
      <c r="AR22" s="233" t="s">
        <v>313</v>
      </c>
      <c r="AS22" s="232">
        <f>AS21*AS20</f>
        <v>18</v>
      </c>
      <c r="AT22" s="235" t="s">
        <v>314</v>
      </c>
      <c r="AU22" s="236">
        <f>AG20-AF20-AE20+AD20</f>
        <v>0.17905835555558269</v>
      </c>
      <c r="AV22" s="233" t="s">
        <v>306</v>
      </c>
      <c r="AW22" s="232">
        <f t="shared" si="27"/>
        <v>9.9476864197545947E-3</v>
      </c>
      <c r="AX22" s="233" t="s">
        <v>315</v>
      </c>
      <c r="AY22" s="232">
        <f>AW22/AX23</f>
        <v>2.3609579405913586</v>
      </c>
      <c r="AZ22" s="233" t="s">
        <v>316</v>
      </c>
      <c r="BA22" s="232">
        <f>FDIST(AY22,AS22,AT23)</f>
        <v>6.8154828251686108E-3</v>
      </c>
      <c r="BB22" s="255" t="s">
        <v>508</v>
      </c>
      <c r="BC22" s="282">
        <v>0.25</v>
      </c>
      <c r="BD22" s="283" t="s">
        <v>467</v>
      </c>
      <c r="BE22" s="274">
        <f>BA22</f>
        <v>6.8154828251686108E-3</v>
      </c>
      <c r="BH22" s="289" t="str">
        <f>AM20</f>
        <v>Hioki</v>
      </c>
      <c r="BI22" s="289" t="str">
        <f>AN20</f>
        <v>X-40-203</v>
      </c>
      <c r="BJ22" s="289" t="e">
        <f>AO20</f>
        <v>#REF!</v>
      </c>
      <c r="BK22" s="190" t="s">
        <v>468</v>
      </c>
      <c r="BL22" s="190" t="s">
        <v>356</v>
      </c>
      <c r="BM22" s="194" t="s">
        <v>472</v>
      </c>
      <c r="BN22" s="190">
        <f>IF(BC22&gt;BE22,AS22,AT27)</f>
        <v>18</v>
      </c>
      <c r="BO22" s="194" t="s">
        <v>472</v>
      </c>
      <c r="BP22" s="190">
        <f>IF(BC22&gt;BE22,AU22,AV27)</f>
        <v>0.17905835555558269</v>
      </c>
      <c r="BQ22" s="194" t="s">
        <v>472</v>
      </c>
      <c r="BR22" s="190">
        <f>IF(BC22&gt;BE22,AW22,AX27)</f>
        <v>9.9476864197545947E-3</v>
      </c>
      <c r="BS22" s="194" t="s">
        <v>472</v>
      </c>
      <c r="BT22" s="190">
        <f>IF(BC22&gt;BE22,AY22,AZ27)</f>
        <v>2.3609579405913586</v>
      </c>
      <c r="BU22" s="226"/>
    </row>
    <row r="23" spans="1:74" ht="15">
      <c r="A23" s="192" t="s">
        <v>233</v>
      </c>
      <c r="B23" s="192" t="s">
        <v>221</v>
      </c>
      <c r="C23" s="192" t="s">
        <v>509</v>
      </c>
      <c r="D23" s="192">
        <v>5002727</v>
      </c>
      <c r="E23" s="192" t="s">
        <v>510</v>
      </c>
      <c r="F23" s="291">
        <v>3</v>
      </c>
      <c r="G23" s="67">
        <v>0.13900000000000001</v>
      </c>
      <c r="H23" s="198">
        <v>45412.712372685186</v>
      </c>
      <c r="I23" s="193">
        <v>0</v>
      </c>
      <c r="J23" s="227">
        <v>5</v>
      </c>
      <c r="K23" s="228"/>
      <c r="L23" s="286">
        <v>10</v>
      </c>
      <c r="M23" s="220" t="str">
        <f t="shared" si="1"/>
        <v>Hioki</v>
      </c>
      <c r="N23" s="220" t="str">
        <f t="shared" si="2"/>
        <v>X-40-203</v>
      </c>
      <c r="O23" s="221" t="str">
        <f t="shared" si="18"/>
        <v>THA010</v>
      </c>
      <c r="P23" s="220" t="str">
        <f t="shared" si="19"/>
        <v>S059818</v>
      </c>
      <c r="Q23" s="220" t="str">
        <f t="shared" si="20"/>
        <v>SUS</v>
      </c>
      <c r="R23" s="209">
        <f t="shared" si="21"/>
        <v>2.9093333333333331</v>
      </c>
      <c r="S23" s="209">
        <f t="shared" si="22"/>
        <v>8.7279999999999998</v>
      </c>
      <c r="T23" s="221">
        <f t="shared" si="23"/>
        <v>9.1999999999999638E-2</v>
      </c>
      <c r="U23" s="253">
        <f>AVERAGE(R14:R23)</f>
        <v>1.0802999999999998</v>
      </c>
      <c r="V23" s="209">
        <f>AVERAGE(T14:T23)</f>
        <v>9.4199999999999978E-2</v>
      </c>
      <c r="W23" s="209">
        <f t="shared" si="9"/>
        <v>0</v>
      </c>
      <c r="X23" s="209">
        <f t="shared" si="10"/>
        <v>5</v>
      </c>
      <c r="Y23" s="462"/>
      <c r="Z23" s="288"/>
      <c r="AA23" s="288"/>
      <c r="AB23" s="288"/>
      <c r="AC23" s="222"/>
      <c r="AD23" s="222"/>
      <c r="AE23" s="222"/>
      <c r="AF23" s="222"/>
      <c r="AG23" s="222"/>
      <c r="AH23" s="222"/>
      <c r="AI23" s="222"/>
      <c r="AN23" s="274" t="str">
        <f>Z20</f>
        <v>Hioki</v>
      </c>
      <c r="AO23" s="274" t="str">
        <f>AA20</f>
        <v>X-40-203</v>
      </c>
      <c r="AP23" s="274" t="e">
        <f>#REF!</f>
        <v>#REF!</v>
      </c>
      <c r="AQ23" s="232" t="s">
        <v>303</v>
      </c>
      <c r="AR23" s="232" t="s">
        <v>94</v>
      </c>
      <c r="AS23" s="233" t="s">
        <v>502</v>
      </c>
      <c r="AT23" s="232">
        <f>AK4*AM4*(AL4-1)</f>
        <v>60</v>
      </c>
      <c r="AU23" s="235" t="s">
        <v>317</v>
      </c>
      <c r="AV23" s="236">
        <f>AH20-AG20</f>
        <v>0.25280466666669099</v>
      </c>
      <c r="AW23" s="233" t="s">
        <v>306</v>
      </c>
      <c r="AX23" s="232">
        <f t="shared" si="27"/>
        <v>4.2134111111115169E-3</v>
      </c>
      <c r="AY23" s="233" t="s">
        <v>318</v>
      </c>
      <c r="AZ23" s="240" t="s">
        <v>318</v>
      </c>
      <c r="BA23" s="233" t="s">
        <v>318</v>
      </c>
      <c r="BB23" s="240" t="s">
        <v>318</v>
      </c>
      <c r="BC23" s="255" t="s">
        <v>508</v>
      </c>
      <c r="BD23" s="282">
        <v>0.25</v>
      </c>
      <c r="BE23" s="283" t="s">
        <v>467</v>
      </c>
      <c r="BF23" s="274">
        <f>BA22</f>
        <v>6.8154828251686108E-3</v>
      </c>
      <c r="BI23" s="289" t="str">
        <f>AM20</f>
        <v>Hioki</v>
      </c>
      <c r="BJ23" s="289" t="str">
        <f>AN20</f>
        <v>X-40-203</v>
      </c>
      <c r="BK23" s="289" t="e">
        <f>AO20</f>
        <v>#REF!</v>
      </c>
      <c r="BL23" s="190" t="s">
        <v>468</v>
      </c>
      <c r="BM23" s="190" t="s">
        <v>473</v>
      </c>
      <c r="BN23" s="194" t="s">
        <v>474</v>
      </c>
      <c r="BO23" s="190">
        <f t="shared" ref="BO23" si="28">IF(BD23&gt;BF23,AT23,AT28)</f>
        <v>60</v>
      </c>
      <c r="BP23" s="194" t="s">
        <v>474</v>
      </c>
      <c r="BQ23" s="190">
        <f t="shared" ref="BQ23" si="29">IF(BD23&gt;BF23,AV23,AV28)</f>
        <v>0.25280466666669099</v>
      </c>
      <c r="BR23" s="194" t="s">
        <v>474</v>
      </c>
      <c r="BS23" s="190">
        <f t="shared" ref="BS23" si="30">IF(BD23&gt;BF23,AX23,AX28)</f>
        <v>4.2134111111115169E-3</v>
      </c>
      <c r="BT23" s="194" t="s">
        <v>474</v>
      </c>
      <c r="BU23" s="190" t="str">
        <f t="shared" ref="BU23" si="31">IF(BD23&gt;BF23,AZ23,AZ28)</f>
        <v>null</v>
      </c>
      <c r="BV23" s="226"/>
    </row>
    <row r="24" spans="1:74">
      <c r="A24" s="192" t="s">
        <v>233</v>
      </c>
      <c r="B24" s="192" t="s">
        <v>221</v>
      </c>
      <c r="C24" s="192" t="s">
        <v>512</v>
      </c>
      <c r="D24" s="192">
        <v>5002727</v>
      </c>
      <c r="E24" s="192" t="s">
        <v>510</v>
      </c>
      <c r="F24" s="291">
        <v>3</v>
      </c>
      <c r="G24" s="67">
        <v>0.86299999999999999</v>
      </c>
      <c r="H24" s="198">
        <v>45412.712372685186</v>
      </c>
      <c r="I24" s="193">
        <v>0</v>
      </c>
      <c r="J24" s="227">
        <v>5</v>
      </c>
      <c r="K24" s="228"/>
      <c r="L24" s="286">
        <v>1</v>
      </c>
      <c r="M24" s="218" t="str">
        <f t="shared" si="1"/>
        <v>Hioki</v>
      </c>
      <c r="N24" s="218" t="str">
        <f t="shared" si="2"/>
        <v>X-40-203</v>
      </c>
      <c r="O24" s="204" t="str">
        <f>C63</f>
        <v>THA001</v>
      </c>
      <c r="P24" s="218">
        <f>D63</f>
        <v>6019635</v>
      </c>
      <c r="Q24" s="219" t="str">
        <f>E63</f>
        <v>SUS</v>
      </c>
      <c r="R24" s="206">
        <f>AVERAGE(G63,G73,G83)</f>
        <v>0.107</v>
      </c>
      <c r="S24" s="206">
        <f>SUM(G63,G73,G83)</f>
        <v>0.32100000000000001</v>
      </c>
      <c r="T24" s="219">
        <f>MAX(G63,G73,G83)-MIN(G63,G73,G83)</f>
        <v>1.100000000000001E-2</v>
      </c>
      <c r="U24" s="254">
        <f>AVERAGE(R24:R33)</f>
        <v>1.1042333333333334</v>
      </c>
      <c r="V24" s="206">
        <f>AVERAGE(T24:T33)</f>
        <v>9.5400000000000026E-2</v>
      </c>
      <c r="W24" s="206">
        <f t="shared" si="9"/>
        <v>0</v>
      </c>
      <c r="X24" s="206">
        <f t="shared" si="10"/>
        <v>5</v>
      </c>
      <c r="Y24" s="238"/>
      <c r="Z24" s="238"/>
      <c r="AA24" s="238"/>
      <c r="AB24" s="238"/>
      <c r="AC24" s="222"/>
      <c r="AD24" s="222"/>
      <c r="AE24" s="222"/>
      <c r="AF24" s="222"/>
      <c r="AG24" s="222"/>
      <c r="AH24" s="222"/>
      <c r="AI24" s="222"/>
      <c r="AN24" s="274" t="str">
        <f>Z20</f>
        <v>Hioki</v>
      </c>
      <c r="AO24" s="274" t="str">
        <f>AA20</f>
        <v>X-40-203</v>
      </c>
      <c r="AP24" s="274" t="e">
        <f>#REF!</f>
        <v>#REF!</v>
      </c>
      <c r="AQ24" s="232" t="s">
        <v>303</v>
      </c>
      <c r="AR24" s="232" t="s">
        <v>96</v>
      </c>
      <c r="AS24" s="233" t="s">
        <v>319</v>
      </c>
      <c r="AT24" s="232">
        <f>AK4*AL4*AM4-1</f>
        <v>89</v>
      </c>
      <c r="AU24" s="235" t="s">
        <v>320</v>
      </c>
      <c r="AV24" s="236">
        <f>AH20-AD20</f>
        <v>40.1560077888889</v>
      </c>
      <c r="AW24" s="233" t="s">
        <v>306</v>
      </c>
      <c r="AX24" s="240" t="s">
        <v>318</v>
      </c>
      <c r="AY24" s="233" t="s">
        <v>318</v>
      </c>
      <c r="AZ24" s="240" t="s">
        <v>318</v>
      </c>
      <c r="BA24" s="233" t="s">
        <v>318</v>
      </c>
      <c r="BB24" s="240" t="s">
        <v>318</v>
      </c>
      <c r="BC24" s="255" t="s">
        <v>508</v>
      </c>
      <c r="BD24" s="282">
        <v>0.25</v>
      </c>
      <c r="BE24" s="283" t="s">
        <v>467</v>
      </c>
      <c r="BF24" s="274">
        <f>BA22</f>
        <v>6.8154828251686108E-3</v>
      </c>
      <c r="BI24" s="289" t="str">
        <f>AM20</f>
        <v>Hioki</v>
      </c>
      <c r="BJ24" s="289" t="str">
        <f>AN20</f>
        <v>X-40-203</v>
      </c>
      <c r="BK24" s="289" t="e">
        <f>AO20</f>
        <v>#REF!</v>
      </c>
      <c r="BL24" s="190" t="s">
        <v>468</v>
      </c>
      <c r="BM24" s="190" t="s">
        <v>96</v>
      </c>
      <c r="BN24" s="194" t="s">
        <v>475</v>
      </c>
      <c r="BO24" s="190">
        <f>IF(BD24&gt;BF24,AT24,AQ29)</f>
        <v>89</v>
      </c>
      <c r="BP24" s="194" t="s">
        <v>475</v>
      </c>
      <c r="BQ24" s="190">
        <f>IF(BD24&gt;BF24,AV24,AS29)</f>
        <v>40.1560077888889</v>
      </c>
      <c r="BR24" s="194" t="s">
        <v>475</v>
      </c>
      <c r="BS24" s="190" t="str">
        <f>IF(BD24&gt;BF24,AX24,AU29)</f>
        <v>null</v>
      </c>
      <c r="BT24" s="194" t="s">
        <v>475</v>
      </c>
      <c r="BU24" s="190" t="str">
        <f>IF(BD24&gt;BF24,AZ24,AW29)</f>
        <v>null</v>
      </c>
      <c r="BV24" s="226"/>
    </row>
    <row r="25" spans="1:74">
      <c r="A25" s="192" t="s">
        <v>233</v>
      </c>
      <c r="B25" s="192" t="s">
        <v>221</v>
      </c>
      <c r="C25" s="192" t="s">
        <v>513</v>
      </c>
      <c r="D25" s="192">
        <v>5002727</v>
      </c>
      <c r="E25" s="192" t="s">
        <v>510</v>
      </c>
      <c r="F25" s="291">
        <v>3</v>
      </c>
      <c r="G25" s="67">
        <v>0.81499999999999995</v>
      </c>
      <c r="H25" s="198">
        <v>45412.712372685186</v>
      </c>
      <c r="I25" s="193">
        <v>0</v>
      </c>
      <c r="J25" s="227">
        <v>5</v>
      </c>
      <c r="K25" s="228"/>
      <c r="L25" s="286">
        <v>2</v>
      </c>
      <c r="M25" s="218" t="str">
        <f t="shared" si="1"/>
        <v>Hioki</v>
      </c>
      <c r="N25" s="218" t="str">
        <f t="shared" si="2"/>
        <v>X-40-203</v>
      </c>
      <c r="O25" s="204" t="str">
        <f t="shared" ref="O25:O33" si="32">C64</f>
        <v>THA002</v>
      </c>
      <c r="P25" s="218">
        <f t="shared" ref="P25:P33" si="33">D64</f>
        <v>6019635</v>
      </c>
      <c r="Q25" s="219" t="str">
        <f t="shared" ref="Q25:Q33" si="34">E64</f>
        <v>SUS</v>
      </c>
      <c r="R25" s="206">
        <f t="shared" ref="R25:R33" si="35">AVERAGE(G64,G74,G84)</f>
        <v>0.86066666666666658</v>
      </c>
      <c r="S25" s="206">
        <f t="shared" ref="S25:S33" si="36">SUM(G64,G74,G84)</f>
        <v>2.5819999999999999</v>
      </c>
      <c r="T25" s="219">
        <f t="shared" ref="T25:T33" si="37">MAX(G64,G74,G84)-MIN(G64,G74,G84)</f>
        <v>0.10099999999999998</v>
      </c>
      <c r="U25" s="254">
        <f>AVERAGE(R24:R33)</f>
        <v>1.1042333333333334</v>
      </c>
      <c r="V25" s="206">
        <f>AVERAGE(T24:T33)</f>
        <v>9.5400000000000026E-2</v>
      </c>
      <c r="W25" s="206">
        <f t="shared" si="9"/>
        <v>0</v>
      </c>
      <c r="X25" s="206">
        <f t="shared" si="10"/>
        <v>5</v>
      </c>
      <c r="Y25" s="238"/>
      <c r="Z25" s="238"/>
      <c r="AA25" s="238"/>
      <c r="AB25" s="238"/>
      <c r="AC25" s="222"/>
      <c r="AD25" s="222"/>
      <c r="AE25" s="222"/>
      <c r="AF25" s="222"/>
      <c r="AG25" s="222"/>
      <c r="AH25" s="222"/>
      <c r="AI25" s="222"/>
      <c r="AN25" s="214" t="str">
        <f>Z20</f>
        <v>Hioki</v>
      </c>
      <c r="AO25" s="214" t="str">
        <f>AA20</f>
        <v>X-40-203</v>
      </c>
      <c r="AP25" s="214" t="e">
        <f>#REF!</f>
        <v>#REF!</v>
      </c>
      <c r="AQ25" s="190" t="s">
        <v>82</v>
      </c>
      <c r="AR25" s="190" t="s">
        <v>466</v>
      </c>
      <c r="AS25" s="212" t="s">
        <v>304</v>
      </c>
      <c r="AT25" s="190">
        <f>AM4-1</f>
        <v>9</v>
      </c>
      <c r="AU25" s="241" t="s">
        <v>305</v>
      </c>
      <c r="AV25" s="284">
        <f>AF20-AD20</f>
        <v>39.714387344444418</v>
      </c>
      <c r="AW25" s="212" t="s">
        <v>306</v>
      </c>
      <c r="AX25" s="199">
        <f>AV25/AT25</f>
        <v>4.4127097049382691</v>
      </c>
      <c r="AY25" s="212" t="s">
        <v>307</v>
      </c>
      <c r="AZ25" s="199">
        <f>AX25/AX27</f>
        <v>796.99196104832197</v>
      </c>
      <c r="BA25" s="241" t="s">
        <v>308</v>
      </c>
      <c r="BB25" s="242">
        <f>FDIST(AZ25,AT25,AT27)</f>
        <v>6.4303446016820299E-73</v>
      </c>
      <c r="BC25" s="256" t="s">
        <v>508</v>
      </c>
      <c r="BD25" s="265">
        <v>0.25</v>
      </c>
      <c r="BE25" s="266" t="s">
        <v>467</v>
      </c>
      <c r="BF25" s="214">
        <f>BA22</f>
        <v>6.8154828251686108E-3</v>
      </c>
    </row>
    <row r="26" spans="1:74">
      <c r="A26" s="192" t="s">
        <v>233</v>
      </c>
      <c r="B26" s="192" t="s">
        <v>221</v>
      </c>
      <c r="C26" s="192" t="s">
        <v>514</v>
      </c>
      <c r="D26" s="192">
        <v>5002727</v>
      </c>
      <c r="E26" s="192" t="s">
        <v>510</v>
      </c>
      <c r="F26" s="291">
        <v>3</v>
      </c>
      <c r="G26" s="67">
        <v>0.84599999999999997</v>
      </c>
      <c r="H26" s="198">
        <v>45412.712372685186</v>
      </c>
      <c r="I26" s="193">
        <v>0</v>
      </c>
      <c r="J26" s="227">
        <v>5</v>
      </c>
      <c r="K26" s="228"/>
      <c r="L26" s="286">
        <v>3</v>
      </c>
      <c r="M26" s="218" t="str">
        <f t="shared" si="1"/>
        <v>Hioki</v>
      </c>
      <c r="N26" s="218" t="str">
        <f t="shared" si="2"/>
        <v>X-40-203</v>
      </c>
      <c r="O26" s="204" t="str">
        <f t="shared" si="32"/>
        <v>THA003</v>
      </c>
      <c r="P26" s="218">
        <f t="shared" si="33"/>
        <v>6019635</v>
      </c>
      <c r="Q26" s="219" t="str">
        <f t="shared" si="34"/>
        <v>SUS</v>
      </c>
      <c r="R26" s="206">
        <f t="shared" si="35"/>
        <v>0.83933333333333326</v>
      </c>
      <c r="S26" s="206">
        <f t="shared" si="36"/>
        <v>2.5179999999999998</v>
      </c>
      <c r="T26" s="219">
        <f t="shared" si="37"/>
        <v>2.8000000000000025E-2</v>
      </c>
      <c r="U26" s="254">
        <f>AVERAGE(R24:R33)</f>
        <v>1.1042333333333334</v>
      </c>
      <c r="V26" s="206">
        <f>AVERAGE(T24:T33)</f>
        <v>9.5400000000000026E-2</v>
      </c>
      <c r="W26" s="206">
        <f t="shared" si="9"/>
        <v>0</v>
      </c>
      <c r="X26" s="206">
        <f t="shared" si="10"/>
        <v>5</v>
      </c>
      <c r="Y26" s="238"/>
      <c r="Z26" s="238"/>
      <c r="AA26" s="238"/>
      <c r="AB26" s="238"/>
      <c r="AC26" s="238"/>
      <c r="AD26" s="238"/>
      <c r="AE26" s="238"/>
      <c r="AN26" s="214" t="str">
        <f>Z20</f>
        <v>Hioki</v>
      </c>
      <c r="AO26" s="214" t="str">
        <f>AA20</f>
        <v>X-40-203</v>
      </c>
      <c r="AP26" s="214" t="e">
        <f>#REF!</f>
        <v>#REF!</v>
      </c>
      <c r="AQ26" s="190" t="s">
        <v>82</v>
      </c>
      <c r="AR26" s="190" t="s">
        <v>91</v>
      </c>
      <c r="AS26" s="212" t="s">
        <v>309</v>
      </c>
      <c r="AT26" s="190">
        <f>AK4-1</f>
        <v>2</v>
      </c>
      <c r="AU26" s="241" t="s">
        <v>310</v>
      </c>
      <c r="AV26" s="284">
        <f>AE20-AD20</f>
        <v>9.7574222222078788E-3</v>
      </c>
      <c r="AW26" s="212" t="s">
        <v>306</v>
      </c>
      <c r="AX26" s="199">
        <f t="shared" ref="AX26:AX27" si="38">AV26/AT26</f>
        <v>4.8787111111039394E-3</v>
      </c>
      <c r="AY26" s="212" t="s">
        <v>311</v>
      </c>
      <c r="AZ26" s="199">
        <f>AX26/AX27</f>
        <v>0.8811577909771795</v>
      </c>
      <c r="BA26" s="212" t="s">
        <v>312</v>
      </c>
      <c r="BB26" s="265">
        <f>FDIST(AZ26,AT26,AT27)</f>
        <v>0.41838597552540513</v>
      </c>
      <c r="BC26" s="256" t="s">
        <v>508</v>
      </c>
      <c r="BD26" s="265">
        <v>0.25</v>
      </c>
      <c r="BE26" s="266" t="s">
        <v>467</v>
      </c>
      <c r="BF26" s="214">
        <f>BA22</f>
        <v>6.8154828251686108E-3</v>
      </c>
    </row>
    <row r="27" spans="1:74">
      <c r="A27" s="192" t="s">
        <v>233</v>
      </c>
      <c r="B27" s="192" t="s">
        <v>221</v>
      </c>
      <c r="C27" s="192" t="s">
        <v>515</v>
      </c>
      <c r="D27" s="192">
        <v>5002727</v>
      </c>
      <c r="E27" s="192" t="s">
        <v>510</v>
      </c>
      <c r="F27" s="291">
        <v>3</v>
      </c>
      <c r="G27" s="67">
        <v>1.0940000000000001</v>
      </c>
      <c r="H27" s="198">
        <v>45412.712372685186</v>
      </c>
      <c r="I27" s="193">
        <v>0</v>
      </c>
      <c r="J27" s="227">
        <v>5</v>
      </c>
      <c r="K27" s="228"/>
      <c r="L27" s="286">
        <v>4</v>
      </c>
      <c r="M27" s="218" t="str">
        <f t="shared" si="1"/>
        <v>Hioki</v>
      </c>
      <c r="N27" s="218" t="str">
        <f t="shared" si="2"/>
        <v>X-40-203</v>
      </c>
      <c r="O27" s="204" t="str">
        <f t="shared" si="32"/>
        <v>THA004</v>
      </c>
      <c r="P27" s="218">
        <f t="shared" si="33"/>
        <v>6019635</v>
      </c>
      <c r="Q27" s="219" t="str">
        <f t="shared" si="34"/>
        <v>SUS</v>
      </c>
      <c r="R27" s="206">
        <f t="shared" si="35"/>
        <v>1.1506666666666667</v>
      </c>
      <c r="S27" s="206">
        <f t="shared" si="36"/>
        <v>3.452</v>
      </c>
      <c r="T27" s="219">
        <f t="shared" si="37"/>
        <v>0.10899999999999999</v>
      </c>
      <c r="U27" s="254">
        <f>AVERAGE(R24:R33)</f>
        <v>1.1042333333333334</v>
      </c>
      <c r="V27" s="206">
        <f>AVERAGE(T24:T33)</f>
        <v>9.5400000000000026E-2</v>
      </c>
      <c r="W27" s="206">
        <f t="shared" si="9"/>
        <v>0</v>
      </c>
      <c r="X27" s="206">
        <f t="shared" si="10"/>
        <v>5</v>
      </c>
      <c r="Y27" s="238"/>
      <c r="Z27" s="238"/>
      <c r="AA27" s="238"/>
      <c r="AB27" s="238"/>
      <c r="AC27" s="238"/>
      <c r="AD27" s="238"/>
      <c r="AE27" s="238"/>
      <c r="AN27" s="214" t="str">
        <f>Z20</f>
        <v>Hioki</v>
      </c>
      <c r="AO27" s="214" t="str">
        <f>AA20</f>
        <v>X-40-203</v>
      </c>
      <c r="AP27" s="214" t="e">
        <f>#REF!</f>
        <v>#REF!</v>
      </c>
      <c r="AQ27" s="190" t="s">
        <v>82</v>
      </c>
      <c r="AR27" s="190" t="s">
        <v>94</v>
      </c>
      <c r="AS27" s="212" t="s">
        <v>321</v>
      </c>
      <c r="AT27" s="190">
        <f>AK4*AM4*(AL4-1)+(AM4-1)*(AK4-1)</f>
        <v>78</v>
      </c>
      <c r="AU27" s="212" t="s">
        <v>503</v>
      </c>
      <c r="AV27" s="284">
        <f>AH20-AF20-AE20+AD20</f>
        <v>0.43186302222227368</v>
      </c>
      <c r="AW27" s="212" t="s">
        <v>306</v>
      </c>
      <c r="AX27" s="199">
        <f t="shared" si="38"/>
        <v>5.5367054131060731E-3</v>
      </c>
      <c r="AY27" s="212" t="s">
        <v>318</v>
      </c>
      <c r="AZ27" s="243" t="s">
        <v>318</v>
      </c>
      <c r="BA27" s="212" t="s">
        <v>318</v>
      </c>
      <c r="BB27" s="243" t="s">
        <v>318</v>
      </c>
      <c r="BC27" s="256" t="s">
        <v>508</v>
      </c>
      <c r="BD27" s="265">
        <v>0.25</v>
      </c>
      <c r="BE27" s="266" t="s">
        <v>467</v>
      </c>
      <c r="BF27" s="214">
        <f>BA22</f>
        <v>6.8154828251686108E-3</v>
      </c>
    </row>
    <row r="28" spans="1:74">
      <c r="A28" s="192" t="s">
        <v>233</v>
      </c>
      <c r="B28" s="192" t="s">
        <v>221</v>
      </c>
      <c r="C28" s="192" t="s">
        <v>516</v>
      </c>
      <c r="D28" s="192">
        <v>5002727</v>
      </c>
      <c r="E28" s="192" t="s">
        <v>510</v>
      </c>
      <c r="F28" s="291">
        <v>3</v>
      </c>
      <c r="G28" s="67">
        <v>1.081</v>
      </c>
      <c r="H28" s="198">
        <v>45412.712372685186</v>
      </c>
      <c r="I28" s="193">
        <v>0</v>
      </c>
      <c r="J28" s="227">
        <v>5</v>
      </c>
      <c r="K28" s="228"/>
      <c r="L28" s="286">
        <v>5</v>
      </c>
      <c r="M28" s="218" t="str">
        <f t="shared" si="1"/>
        <v>Hioki</v>
      </c>
      <c r="N28" s="218" t="str">
        <f t="shared" si="2"/>
        <v>X-40-203</v>
      </c>
      <c r="O28" s="204" t="str">
        <f t="shared" si="32"/>
        <v>THA005</v>
      </c>
      <c r="P28" s="218">
        <f t="shared" si="33"/>
        <v>6019635</v>
      </c>
      <c r="Q28" s="219" t="str">
        <f t="shared" si="34"/>
        <v>SUS</v>
      </c>
      <c r="R28" s="206">
        <f t="shared" si="35"/>
        <v>1.0656666666666668</v>
      </c>
      <c r="S28" s="206">
        <f t="shared" si="36"/>
        <v>3.1970000000000001</v>
      </c>
      <c r="T28" s="219">
        <f t="shared" si="37"/>
        <v>6.0000000000000053E-2</v>
      </c>
      <c r="U28" s="254">
        <f>AVERAGE(R24:R33)</f>
        <v>1.1042333333333334</v>
      </c>
      <c r="V28" s="206">
        <f>AVERAGE(T24:T33)</f>
        <v>9.5400000000000026E-2</v>
      </c>
      <c r="W28" s="206">
        <f t="shared" si="9"/>
        <v>0</v>
      </c>
      <c r="X28" s="206">
        <f t="shared" si="10"/>
        <v>5</v>
      </c>
      <c r="Y28" s="238"/>
      <c r="Z28" s="238"/>
      <c r="AA28" s="238"/>
      <c r="AB28" s="238"/>
      <c r="AC28" s="238"/>
      <c r="AD28" s="238"/>
      <c r="AE28" s="238"/>
      <c r="AN28" s="214" t="str">
        <f>Z20</f>
        <v>Hioki</v>
      </c>
      <c r="AO28" s="214" t="str">
        <f>AA20</f>
        <v>X-40-203</v>
      </c>
      <c r="AP28" s="214" t="e">
        <f>#REF!</f>
        <v>#REF!</v>
      </c>
      <c r="AQ28" s="190" t="s">
        <v>82</v>
      </c>
      <c r="AR28" s="190" t="s">
        <v>96</v>
      </c>
      <c r="AS28" s="212" t="s">
        <v>319</v>
      </c>
      <c r="AT28" s="190">
        <f>AK4*AL4*AM4-1</f>
        <v>89</v>
      </c>
      <c r="AU28" s="241" t="s">
        <v>320</v>
      </c>
      <c r="AV28" s="284">
        <f>AH20-AD20</f>
        <v>40.1560077888889</v>
      </c>
      <c r="AW28" s="212" t="s">
        <v>306</v>
      </c>
      <c r="AX28" s="243" t="s">
        <v>318</v>
      </c>
      <c r="AY28" s="212" t="s">
        <v>318</v>
      </c>
      <c r="AZ28" s="243" t="s">
        <v>318</v>
      </c>
      <c r="BA28" s="212" t="s">
        <v>318</v>
      </c>
      <c r="BB28" s="243" t="s">
        <v>318</v>
      </c>
      <c r="BC28" s="256" t="s">
        <v>508</v>
      </c>
      <c r="BD28" s="265">
        <v>0.25</v>
      </c>
      <c r="BE28" s="266" t="s">
        <v>467</v>
      </c>
      <c r="BF28" s="214">
        <f>BA22</f>
        <v>6.8154828251686108E-3</v>
      </c>
    </row>
    <row r="29" spans="1:74">
      <c r="A29" s="192" t="s">
        <v>233</v>
      </c>
      <c r="B29" s="192" t="s">
        <v>221</v>
      </c>
      <c r="C29" s="192" t="s">
        <v>517</v>
      </c>
      <c r="D29" s="192">
        <v>5002727</v>
      </c>
      <c r="E29" s="192" t="s">
        <v>510</v>
      </c>
      <c r="F29" s="291">
        <v>3</v>
      </c>
      <c r="G29" s="67">
        <v>1.0449999999999999</v>
      </c>
      <c r="H29" s="198">
        <v>45412.712372685186</v>
      </c>
      <c r="I29" s="193">
        <v>0</v>
      </c>
      <c r="J29" s="227">
        <v>5</v>
      </c>
      <c r="K29" s="228"/>
      <c r="L29" s="286">
        <v>6</v>
      </c>
      <c r="M29" s="218" t="str">
        <f t="shared" si="1"/>
        <v>Hioki</v>
      </c>
      <c r="N29" s="218" t="str">
        <f t="shared" si="2"/>
        <v>X-40-203</v>
      </c>
      <c r="O29" s="204" t="str">
        <f t="shared" si="32"/>
        <v>THA006</v>
      </c>
      <c r="P29" s="218">
        <f t="shared" si="33"/>
        <v>6019635</v>
      </c>
      <c r="Q29" s="219" t="str">
        <f t="shared" si="34"/>
        <v>SUS</v>
      </c>
      <c r="R29" s="206">
        <f t="shared" si="35"/>
        <v>1.1260000000000001</v>
      </c>
      <c r="S29" s="206">
        <f t="shared" si="36"/>
        <v>3.3780000000000001</v>
      </c>
      <c r="T29" s="219">
        <f t="shared" si="37"/>
        <v>0.14500000000000002</v>
      </c>
      <c r="U29" s="254">
        <f>AVERAGE(R24:R33)</f>
        <v>1.1042333333333334</v>
      </c>
      <c r="V29" s="206">
        <f>AVERAGE(T24:T33)</f>
        <v>9.5400000000000026E-2</v>
      </c>
      <c r="W29" s="206">
        <f t="shared" si="9"/>
        <v>0</v>
      </c>
      <c r="X29" s="206">
        <f t="shared" si="10"/>
        <v>5</v>
      </c>
      <c r="Y29" s="238"/>
      <c r="Z29" s="238"/>
      <c r="AA29" s="238"/>
      <c r="AB29" s="238"/>
      <c r="AC29" s="238"/>
      <c r="AD29" s="238"/>
      <c r="AE29" s="238"/>
    </row>
    <row r="30" spans="1:74">
      <c r="A30" s="192" t="s">
        <v>233</v>
      </c>
      <c r="B30" s="192" t="s">
        <v>221</v>
      </c>
      <c r="C30" s="192" t="s">
        <v>518</v>
      </c>
      <c r="D30" s="192">
        <v>5002727</v>
      </c>
      <c r="E30" s="192" t="s">
        <v>510</v>
      </c>
      <c r="F30" s="291">
        <v>3</v>
      </c>
      <c r="G30" s="67">
        <v>1.0049999999999999</v>
      </c>
      <c r="H30" s="198">
        <v>45412.712372685186</v>
      </c>
      <c r="I30" s="193">
        <v>0</v>
      </c>
      <c r="J30" s="227">
        <v>5</v>
      </c>
      <c r="K30" s="228"/>
      <c r="L30" s="286">
        <v>7</v>
      </c>
      <c r="M30" s="218" t="str">
        <f t="shared" si="1"/>
        <v>Hioki</v>
      </c>
      <c r="N30" s="218" t="str">
        <f t="shared" si="2"/>
        <v>X-40-203</v>
      </c>
      <c r="O30" s="204" t="str">
        <f t="shared" si="32"/>
        <v>THA007</v>
      </c>
      <c r="P30" s="218">
        <f t="shared" si="33"/>
        <v>6019635</v>
      </c>
      <c r="Q30" s="219" t="str">
        <f t="shared" si="34"/>
        <v>SUS</v>
      </c>
      <c r="R30" s="206">
        <f t="shared" si="35"/>
        <v>1.0063333333333333</v>
      </c>
      <c r="S30" s="206">
        <f t="shared" si="36"/>
        <v>3.0190000000000001</v>
      </c>
      <c r="T30" s="219">
        <f t="shared" si="37"/>
        <v>0.247</v>
      </c>
      <c r="U30" s="254">
        <f>AVERAGE(R24:R33)</f>
        <v>1.1042333333333334</v>
      </c>
      <c r="V30" s="206">
        <f>AVERAGE(T24:T33)</f>
        <v>9.5400000000000026E-2</v>
      </c>
      <c r="W30" s="206">
        <f t="shared" si="9"/>
        <v>0</v>
      </c>
      <c r="X30" s="206">
        <f t="shared" si="10"/>
        <v>5</v>
      </c>
      <c r="Y30" s="238"/>
      <c r="Z30" s="238"/>
      <c r="AA30" s="238"/>
      <c r="AB30" s="238"/>
      <c r="AC30" s="238"/>
      <c r="AD30" s="238"/>
      <c r="AE30" s="238"/>
    </row>
    <row r="31" spans="1:74" ht="14.25" customHeight="1">
      <c r="A31" s="192" t="s">
        <v>233</v>
      </c>
      <c r="B31" s="192" t="s">
        <v>221</v>
      </c>
      <c r="C31" s="192" t="s">
        <v>519</v>
      </c>
      <c r="D31" s="192">
        <v>5002727</v>
      </c>
      <c r="E31" s="192" t="s">
        <v>510</v>
      </c>
      <c r="F31" s="291">
        <v>3</v>
      </c>
      <c r="G31" s="67">
        <v>0.81499999999999995</v>
      </c>
      <c r="H31" s="198">
        <v>45412.712372685186</v>
      </c>
      <c r="I31" s="193">
        <v>0</v>
      </c>
      <c r="J31" s="227">
        <v>5</v>
      </c>
      <c r="K31" s="228"/>
      <c r="L31" s="286">
        <v>8</v>
      </c>
      <c r="M31" s="218" t="str">
        <f t="shared" si="1"/>
        <v>Hioki</v>
      </c>
      <c r="N31" s="218" t="str">
        <f t="shared" si="2"/>
        <v>X-40-203</v>
      </c>
      <c r="O31" s="204" t="str">
        <f t="shared" si="32"/>
        <v>THA008</v>
      </c>
      <c r="P31" s="218">
        <f t="shared" si="33"/>
        <v>6019635</v>
      </c>
      <c r="Q31" s="219" t="str">
        <f t="shared" si="34"/>
        <v>SUS</v>
      </c>
      <c r="R31" s="206">
        <f t="shared" si="35"/>
        <v>1.018</v>
      </c>
      <c r="S31" s="206">
        <f t="shared" si="36"/>
        <v>3.0539999999999998</v>
      </c>
      <c r="T31" s="219">
        <f t="shared" si="37"/>
        <v>3.499999999999992E-2</v>
      </c>
      <c r="U31" s="254">
        <f>AVERAGE(R24:R33)</f>
        <v>1.1042333333333334</v>
      </c>
      <c r="V31" s="206">
        <f>AVERAGE(T24:T33)</f>
        <v>9.5400000000000026E-2</v>
      </c>
      <c r="W31" s="206">
        <f t="shared" si="9"/>
        <v>0</v>
      </c>
      <c r="X31" s="206">
        <f t="shared" si="10"/>
        <v>5</v>
      </c>
      <c r="Y31" s="238"/>
      <c r="Z31" s="238"/>
      <c r="AA31" s="238"/>
      <c r="AB31" s="238"/>
      <c r="AC31" s="238"/>
      <c r="AD31" s="238"/>
      <c r="AE31" s="238"/>
      <c r="AM31" s="455" t="s">
        <v>505</v>
      </c>
      <c r="AN31" s="456"/>
      <c r="AO31" s="456"/>
      <c r="AP31" s="457"/>
    </row>
    <row r="32" spans="1:74" ht="14.25" customHeight="1">
      <c r="A32" s="192" t="s">
        <v>233</v>
      </c>
      <c r="B32" s="192" t="s">
        <v>221</v>
      </c>
      <c r="C32" s="192" t="s">
        <v>520</v>
      </c>
      <c r="D32" s="192">
        <v>5002727</v>
      </c>
      <c r="E32" s="192" t="s">
        <v>510</v>
      </c>
      <c r="F32" s="291">
        <v>3</v>
      </c>
      <c r="G32" s="67">
        <v>2.9209999999999998</v>
      </c>
      <c r="H32" s="198">
        <v>45412.712372685186</v>
      </c>
      <c r="I32" s="193">
        <v>0</v>
      </c>
      <c r="J32" s="227">
        <v>5</v>
      </c>
      <c r="K32" s="228"/>
      <c r="L32" s="286">
        <v>9</v>
      </c>
      <c r="M32" s="218" t="str">
        <f t="shared" si="1"/>
        <v>Hioki</v>
      </c>
      <c r="N32" s="218" t="str">
        <f t="shared" si="2"/>
        <v>X-40-203</v>
      </c>
      <c r="O32" s="204" t="str">
        <f t="shared" si="32"/>
        <v>THA009</v>
      </c>
      <c r="P32" s="218">
        <f t="shared" si="33"/>
        <v>6019635</v>
      </c>
      <c r="Q32" s="219" t="str">
        <f t="shared" si="34"/>
        <v>SUS</v>
      </c>
      <c r="R32" s="206">
        <f t="shared" si="35"/>
        <v>0.95033333333333336</v>
      </c>
      <c r="S32" s="206">
        <f t="shared" si="36"/>
        <v>2.851</v>
      </c>
      <c r="T32" s="219">
        <f t="shared" si="37"/>
        <v>6.3999999999999946E-2</v>
      </c>
      <c r="U32" s="254">
        <f>AVERAGE(R24:R33)</f>
        <v>1.1042333333333334</v>
      </c>
      <c r="V32" s="206">
        <f>AVERAGE(T24:T33)</f>
        <v>9.5400000000000026E-2</v>
      </c>
      <c r="W32" s="206">
        <f t="shared" si="9"/>
        <v>0</v>
      </c>
      <c r="X32" s="206">
        <f t="shared" si="10"/>
        <v>5</v>
      </c>
      <c r="Y32" s="238"/>
      <c r="Z32" s="238"/>
      <c r="AA32" s="238"/>
      <c r="AB32" s="238"/>
      <c r="AC32" s="238"/>
      <c r="AD32" s="238"/>
      <c r="AE32" s="238"/>
      <c r="AM32" s="458"/>
      <c r="AN32" s="459"/>
      <c r="AO32" s="459"/>
      <c r="AP32" s="460"/>
    </row>
    <row r="33" spans="1:77">
      <c r="A33" s="195" t="s">
        <v>233</v>
      </c>
      <c r="B33" s="195" t="s">
        <v>224</v>
      </c>
      <c r="C33" s="192" t="s">
        <v>509</v>
      </c>
      <c r="D33" s="195" t="s">
        <v>14</v>
      </c>
      <c r="E33" s="195" t="s">
        <v>510</v>
      </c>
      <c r="F33" s="292">
        <v>1</v>
      </c>
      <c r="G33" s="67">
        <v>0.16500000000000001</v>
      </c>
      <c r="H33" s="196">
        <v>45412.50403935185</v>
      </c>
      <c r="I33" s="197">
        <v>0</v>
      </c>
      <c r="J33" s="252">
        <v>5</v>
      </c>
      <c r="K33" s="228"/>
      <c r="L33" s="286">
        <v>10</v>
      </c>
      <c r="M33" s="218" t="str">
        <f t="shared" si="1"/>
        <v>Hioki</v>
      </c>
      <c r="N33" s="218" t="str">
        <f t="shared" si="2"/>
        <v>X-40-203</v>
      </c>
      <c r="O33" s="204" t="str">
        <f t="shared" si="32"/>
        <v>THA010</v>
      </c>
      <c r="P33" s="218">
        <f t="shared" si="33"/>
        <v>6019635</v>
      </c>
      <c r="Q33" s="219" t="str">
        <f t="shared" si="34"/>
        <v>SUS</v>
      </c>
      <c r="R33" s="206">
        <f t="shared" si="35"/>
        <v>2.918333333333333</v>
      </c>
      <c r="S33" s="206">
        <f t="shared" si="36"/>
        <v>8.754999999999999</v>
      </c>
      <c r="T33" s="219">
        <f t="shared" si="37"/>
        <v>0.15400000000000036</v>
      </c>
      <c r="U33" s="254">
        <f>AVERAGE(R24:R33)</f>
        <v>1.1042333333333334</v>
      </c>
      <c r="V33" s="206">
        <f>AVERAGE(T24:T33)</f>
        <v>9.5400000000000026E-2</v>
      </c>
      <c r="W33" s="206">
        <f t="shared" si="9"/>
        <v>0</v>
      </c>
      <c r="X33" s="206">
        <f t="shared" si="10"/>
        <v>5</v>
      </c>
      <c r="Y33" s="238"/>
      <c r="Z33" s="238"/>
      <c r="AA33" s="238"/>
      <c r="AB33" s="238"/>
      <c r="AC33" s="238"/>
      <c r="AD33" s="238"/>
      <c r="AE33" s="238"/>
    </row>
    <row r="34" spans="1:77">
      <c r="A34" s="195" t="s">
        <v>233</v>
      </c>
      <c r="B34" s="195" t="s">
        <v>224</v>
      </c>
      <c r="C34" s="192" t="s">
        <v>512</v>
      </c>
      <c r="D34" s="195" t="s">
        <v>14</v>
      </c>
      <c r="E34" s="195" t="s">
        <v>510</v>
      </c>
      <c r="F34" s="292">
        <v>1</v>
      </c>
      <c r="G34" s="67">
        <v>0.94899999999999995</v>
      </c>
      <c r="H34" s="196">
        <v>45412.504035069447</v>
      </c>
      <c r="I34" s="197">
        <v>0</v>
      </c>
      <c r="J34" s="252">
        <v>5</v>
      </c>
      <c r="K34" s="228"/>
      <c r="L34" s="245"/>
      <c r="M34" s="245"/>
      <c r="N34" s="245"/>
      <c r="O34" s="245"/>
      <c r="P34" s="245"/>
      <c r="Q34" s="245"/>
      <c r="S34" s="245"/>
      <c r="T34" s="245"/>
      <c r="U34" s="245"/>
      <c r="AM34" s="280" t="s">
        <v>322</v>
      </c>
      <c r="AN34" s="213" t="s">
        <v>227</v>
      </c>
      <c r="AO34" s="213" t="s">
        <v>226</v>
      </c>
      <c r="AP34" s="213" t="s">
        <v>228</v>
      </c>
      <c r="AQ34" s="190" t="s">
        <v>288</v>
      </c>
      <c r="AR34" s="190" t="s">
        <v>323</v>
      </c>
      <c r="AS34" s="212" t="s">
        <v>324</v>
      </c>
      <c r="AT34" s="190" t="s">
        <v>325</v>
      </c>
      <c r="AU34" s="241" t="s">
        <v>326</v>
      </c>
      <c r="AV34" s="190" t="s">
        <v>327</v>
      </c>
      <c r="AW34" s="212" t="s">
        <v>328</v>
      </c>
      <c r="AX34" s="190" t="s">
        <v>329</v>
      </c>
      <c r="AY34" s="212" t="s">
        <v>330</v>
      </c>
      <c r="AZ34" s="190" t="s">
        <v>331</v>
      </c>
      <c r="BA34" s="212" t="s">
        <v>332</v>
      </c>
      <c r="BB34" s="190" t="s">
        <v>103</v>
      </c>
      <c r="BC34" s="194" t="s">
        <v>457</v>
      </c>
      <c r="BD34" s="264" t="s">
        <v>458</v>
      </c>
      <c r="BE34" s="212" t="s">
        <v>459</v>
      </c>
      <c r="BF34" s="199" t="s">
        <v>460</v>
      </c>
      <c r="BI34" s="213" t="s">
        <v>227</v>
      </c>
      <c r="BJ34" s="213" t="s">
        <v>226</v>
      </c>
      <c r="BK34" s="213" t="s">
        <v>228</v>
      </c>
      <c r="BL34" s="190" t="s">
        <v>288</v>
      </c>
      <c r="BM34" s="190" t="s">
        <v>289</v>
      </c>
      <c r="BN34" s="194" t="s">
        <v>476</v>
      </c>
      <c r="BO34" s="199" t="s">
        <v>477</v>
      </c>
      <c r="BP34" s="194" t="s">
        <v>478</v>
      </c>
      <c r="BQ34" s="267" t="s">
        <v>327</v>
      </c>
      <c r="BR34" s="194" t="s">
        <v>479</v>
      </c>
      <c r="BS34" s="199" t="s">
        <v>480</v>
      </c>
      <c r="BT34" s="194" t="s">
        <v>481</v>
      </c>
      <c r="BU34" s="199" t="s">
        <v>482</v>
      </c>
      <c r="BV34" s="194" t="s">
        <v>483</v>
      </c>
      <c r="BW34" s="199" t="s">
        <v>484</v>
      </c>
      <c r="BX34" s="194" t="s">
        <v>499</v>
      </c>
      <c r="BY34" s="190" t="s">
        <v>485</v>
      </c>
    </row>
    <row r="35" spans="1:77">
      <c r="A35" s="195" t="s">
        <v>233</v>
      </c>
      <c r="B35" s="195" t="s">
        <v>224</v>
      </c>
      <c r="C35" s="192" t="s">
        <v>513</v>
      </c>
      <c r="D35" s="195" t="s">
        <v>14</v>
      </c>
      <c r="E35" s="195" t="s">
        <v>510</v>
      </c>
      <c r="F35" s="292">
        <v>1</v>
      </c>
      <c r="G35" s="67">
        <v>0.81599999999999995</v>
      </c>
      <c r="H35" s="196">
        <v>45412.504035069447</v>
      </c>
      <c r="I35" s="197">
        <v>0</v>
      </c>
      <c r="J35" s="252">
        <v>5</v>
      </c>
      <c r="K35" s="228"/>
      <c r="L35" s="245"/>
      <c r="M35" s="245"/>
      <c r="N35" s="245"/>
      <c r="O35" s="245"/>
      <c r="P35" s="245"/>
      <c r="Q35" s="245"/>
      <c r="S35" s="245"/>
      <c r="T35" s="245"/>
      <c r="U35" s="245"/>
      <c r="AM35" s="255">
        <v>6</v>
      </c>
      <c r="AN35" s="274" t="str">
        <f>AM20</f>
        <v>Hioki</v>
      </c>
      <c r="AO35" s="274" t="str">
        <f>AN20</f>
        <v>X-40-203</v>
      </c>
      <c r="AP35" s="274" t="e">
        <f>AO20</f>
        <v>#REF!</v>
      </c>
      <c r="AQ35" s="232" t="s">
        <v>333</v>
      </c>
      <c r="AR35" s="232" t="s">
        <v>334</v>
      </c>
      <c r="AS35" s="233" t="s">
        <v>335</v>
      </c>
      <c r="AT35" s="232">
        <f>AT36+AT37</f>
        <v>6.1248362139925431E-3</v>
      </c>
      <c r="AU35" s="233" t="s">
        <v>336</v>
      </c>
      <c r="AV35" s="232">
        <f>SQRT(AT35)</f>
        <v>7.8261332815078882E-2</v>
      </c>
      <c r="AW35" s="233" t="s">
        <v>337</v>
      </c>
      <c r="AX35" s="232">
        <f>AT35/AT41</f>
        <v>1.2365397311429294E-2</v>
      </c>
      <c r="AY35" s="233" t="s">
        <v>338</v>
      </c>
      <c r="AZ35" s="232">
        <f>AV35/AV41</f>
        <v>0.11119980805482217</v>
      </c>
      <c r="BA35" s="233" t="s">
        <v>339</v>
      </c>
      <c r="BB35" s="232">
        <f>6*AV35/(AJ20-AI20)</f>
        <v>9.3913599378094653E-2</v>
      </c>
      <c r="BC35" s="255" t="s">
        <v>508</v>
      </c>
      <c r="BD35" s="232">
        <v>0.25</v>
      </c>
      <c r="BE35" s="283" t="s">
        <v>467</v>
      </c>
      <c r="BF35" s="274">
        <f>BA22</f>
        <v>6.8154828251686108E-3</v>
      </c>
      <c r="BI35" s="289" t="str">
        <f>AN35</f>
        <v>Hioki</v>
      </c>
      <c r="BJ35" s="289" t="str">
        <f>AO35</f>
        <v>X-40-203</v>
      </c>
      <c r="BK35" s="289" t="e">
        <f>AP35</f>
        <v>#REF!</v>
      </c>
      <c r="BL35" s="190" t="s">
        <v>486</v>
      </c>
      <c r="BM35" s="190" t="s">
        <v>334</v>
      </c>
      <c r="BN35" s="194" t="s">
        <v>487</v>
      </c>
      <c r="BO35" s="190">
        <f>IF(BD35&gt;BF35,AT35,AT42)</f>
        <v>6.1248362139925431E-3</v>
      </c>
      <c r="BP35" s="194" t="s">
        <v>487</v>
      </c>
      <c r="BQ35" s="190">
        <f>IF(BD35&gt;BF35,AV35,AV42)</f>
        <v>7.8261332815078882E-2</v>
      </c>
      <c r="BR35" s="194" t="s">
        <v>487</v>
      </c>
      <c r="BS35" s="268">
        <f>IF(BD35&gt;BF35,AX35,AX42)</f>
        <v>1.2365397311429294E-2</v>
      </c>
      <c r="BT35" s="194" t="s">
        <v>487</v>
      </c>
      <c r="BU35" s="268">
        <f>IF(BD35&gt;BF35,AZ35,AZ42)</f>
        <v>0.11119980805482217</v>
      </c>
      <c r="BV35" s="194" t="s">
        <v>487</v>
      </c>
      <c r="BW35" s="268">
        <f>IF(BD35&gt;BF35,BB35,BB42)</f>
        <v>9.3913599378094653E-2</v>
      </c>
      <c r="BX35" s="194" t="s">
        <v>488</v>
      </c>
      <c r="BY35" s="190">
        <f>ROUNDDOWN(1.41*BQ40/BQ35,0)</f>
        <v>12</v>
      </c>
    </row>
    <row r="36" spans="1:77">
      <c r="A36" s="195" t="s">
        <v>233</v>
      </c>
      <c r="B36" s="195" t="s">
        <v>224</v>
      </c>
      <c r="C36" s="192" t="s">
        <v>514</v>
      </c>
      <c r="D36" s="195" t="s">
        <v>14</v>
      </c>
      <c r="E36" s="195" t="s">
        <v>510</v>
      </c>
      <c r="F36" s="292">
        <v>1</v>
      </c>
      <c r="G36" s="67">
        <v>0.81</v>
      </c>
      <c r="H36" s="196">
        <v>45412.50403935185</v>
      </c>
      <c r="I36" s="197">
        <v>0</v>
      </c>
      <c r="J36" s="252">
        <v>5</v>
      </c>
      <c r="K36" s="228"/>
      <c r="L36" s="245"/>
      <c r="M36" s="245"/>
      <c r="N36" s="245"/>
      <c r="O36" s="245"/>
      <c r="P36" s="245"/>
      <c r="Q36" s="245"/>
      <c r="S36" s="245"/>
      <c r="T36" s="245"/>
      <c r="U36" s="245"/>
      <c r="AM36" s="255">
        <v>1</v>
      </c>
      <c r="AN36" s="274" t="str">
        <f>AM20</f>
        <v>Hioki</v>
      </c>
      <c r="AO36" s="274" t="str">
        <f>AN20</f>
        <v>X-40-203</v>
      </c>
      <c r="AP36" s="274" t="e">
        <f>AO20</f>
        <v>#REF!</v>
      </c>
      <c r="AQ36" s="232" t="s">
        <v>333</v>
      </c>
      <c r="AR36" s="232" t="s">
        <v>94</v>
      </c>
      <c r="AS36" s="233" t="s">
        <v>340</v>
      </c>
      <c r="AT36" s="232">
        <f>AX23</f>
        <v>4.2134111111115169E-3</v>
      </c>
      <c r="AU36" s="233" t="s">
        <v>341</v>
      </c>
      <c r="AV36" s="232">
        <f>SQRT(AT36)</f>
        <v>6.4910793486996576E-2</v>
      </c>
      <c r="AW36" s="233" t="s">
        <v>342</v>
      </c>
      <c r="AX36" s="232">
        <f>AT36/AT41</f>
        <v>8.5064319444588653E-3</v>
      </c>
      <c r="AY36" s="233" t="s">
        <v>343</v>
      </c>
      <c r="AZ36" s="232">
        <f>AV36/AV41</f>
        <v>9.2230320093008814E-2</v>
      </c>
      <c r="BA36" s="233" t="s">
        <v>344</v>
      </c>
      <c r="BB36" s="232">
        <f>6*AV36/(AJ20-AI20)</f>
        <v>7.7892952184395889E-2</v>
      </c>
      <c r="BC36" s="255" t="s">
        <v>508</v>
      </c>
      <c r="BD36" s="232">
        <v>0.25</v>
      </c>
      <c r="BE36" s="283" t="s">
        <v>467</v>
      </c>
      <c r="BF36" s="274">
        <f>BA22</f>
        <v>6.8154828251686108E-3</v>
      </c>
      <c r="BI36" s="289" t="str">
        <f>AN35</f>
        <v>Hioki</v>
      </c>
      <c r="BJ36" s="289" t="str">
        <f>AO35</f>
        <v>X-40-203</v>
      </c>
      <c r="BK36" s="289" t="e">
        <f>AP35</f>
        <v>#REF!</v>
      </c>
      <c r="BL36" s="190" t="s">
        <v>486</v>
      </c>
      <c r="BM36" s="190" t="s">
        <v>94</v>
      </c>
      <c r="BN36" s="194" t="s">
        <v>489</v>
      </c>
      <c r="BO36" s="190">
        <f t="shared" ref="BO36:BO40" si="39">IF(BD36&gt;BF36,AT36,AT43)</f>
        <v>4.2134111111115169E-3</v>
      </c>
      <c r="BP36" s="194" t="s">
        <v>489</v>
      </c>
      <c r="BQ36" s="190">
        <f t="shared" ref="BQ36:BQ40" si="40">IF(BD36&gt;BF36,AV36,AV43)</f>
        <v>6.4910793486996576E-2</v>
      </c>
      <c r="BR36" s="194" t="s">
        <v>489</v>
      </c>
      <c r="BS36" s="268">
        <f t="shared" ref="BS36:BS40" si="41">IF(BD36&gt;BF36,AX36,AX43)</f>
        <v>8.5064319444588653E-3</v>
      </c>
      <c r="BT36" s="194" t="s">
        <v>489</v>
      </c>
      <c r="BU36" s="268">
        <f t="shared" ref="BU36:BU40" si="42">IF(BD36&gt;BF36,AZ36,AZ43)</f>
        <v>9.2230320093008814E-2</v>
      </c>
      <c r="BV36" s="194" t="s">
        <v>489</v>
      </c>
      <c r="BW36" s="268">
        <f t="shared" ref="BW36:BW40" si="43">IF(BD36&gt;BF36,BB36,BB43)</f>
        <v>7.7892952184395889E-2</v>
      </c>
      <c r="BX36" s="194" t="s">
        <v>488</v>
      </c>
      <c r="BY36" s="190">
        <f>ROUNDDOWN(1.41*BQ40/BQ35,0)</f>
        <v>12</v>
      </c>
    </row>
    <row r="37" spans="1:77">
      <c r="A37" s="195" t="s">
        <v>233</v>
      </c>
      <c r="B37" s="195" t="s">
        <v>224</v>
      </c>
      <c r="C37" s="192" t="s">
        <v>515</v>
      </c>
      <c r="D37" s="195" t="s">
        <v>14</v>
      </c>
      <c r="E37" s="195" t="s">
        <v>510</v>
      </c>
      <c r="F37" s="292">
        <v>1</v>
      </c>
      <c r="G37" s="67">
        <v>1.0049999999999999</v>
      </c>
      <c r="H37" s="196">
        <v>45412.504035069447</v>
      </c>
      <c r="I37" s="197">
        <v>0</v>
      </c>
      <c r="J37" s="252">
        <v>5</v>
      </c>
      <c r="K37" s="228"/>
      <c r="L37" s="245"/>
      <c r="M37" s="245"/>
      <c r="N37" s="245"/>
      <c r="O37" s="245"/>
      <c r="P37" s="245"/>
      <c r="Q37" s="245"/>
      <c r="S37" s="245"/>
      <c r="T37" s="245"/>
      <c r="U37" s="245"/>
      <c r="AM37" s="255">
        <v>5</v>
      </c>
      <c r="AN37" s="274" t="str">
        <f>AM20</f>
        <v>Hioki</v>
      </c>
      <c r="AO37" s="274" t="str">
        <f>AN20</f>
        <v>X-40-203</v>
      </c>
      <c r="AP37" s="274" t="e">
        <f>AO20</f>
        <v>#REF!</v>
      </c>
      <c r="AQ37" s="232" t="s">
        <v>333</v>
      </c>
      <c r="AR37" s="232" t="s">
        <v>345</v>
      </c>
      <c r="AS37" s="233" t="s">
        <v>346</v>
      </c>
      <c r="AT37" s="282">
        <f>AT38+AT39</f>
        <v>1.911425102881026E-3</v>
      </c>
      <c r="AU37" s="233" t="s">
        <v>347</v>
      </c>
      <c r="AV37" s="232">
        <f t="shared" ref="AV37:AV47" si="44">SQRT(AT37)</f>
        <v>4.3719847928384035E-2</v>
      </c>
      <c r="AW37" s="233" t="s">
        <v>348</v>
      </c>
      <c r="AX37" s="232">
        <f>AT37/AT41</f>
        <v>3.8589653669704278E-3</v>
      </c>
      <c r="AY37" s="233" t="s">
        <v>349</v>
      </c>
      <c r="AZ37" s="232">
        <f>AV37/AV41</f>
        <v>6.2120571206086217E-2</v>
      </c>
      <c r="BA37" s="233" t="s">
        <v>350</v>
      </c>
      <c r="BB37" s="232">
        <f>6*AV37/(AJ20-AI20)</f>
        <v>5.2463817514060838E-2</v>
      </c>
      <c r="BC37" s="255" t="s">
        <v>508</v>
      </c>
      <c r="BD37" s="232">
        <v>0.25</v>
      </c>
      <c r="BE37" s="283" t="s">
        <v>467</v>
      </c>
      <c r="BF37" s="274">
        <f>BA22</f>
        <v>6.8154828251686108E-3</v>
      </c>
      <c r="BI37" s="289" t="str">
        <f>AN35</f>
        <v>Hioki</v>
      </c>
      <c r="BJ37" s="289" t="str">
        <f>AO35</f>
        <v>X-40-203</v>
      </c>
      <c r="BK37" s="289" t="e">
        <f>AP35</f>
        <v>#REF!</v>
      </c>
      <c r="BL37" s="190" t="s">
        <v>486</v>
      </c>
      <c r="BM37" s="190" t="s">
        <v>345</v>
      </c>
      <c r="BN37" s="194" t="s">
        <v>490</v>
      </c>
      <c r="BO37" s="190">
        <f t="shared" si="39"/>
        <v>1.911425102881026E-3</v>
      </c>
      <c r="BP37" s="194" t="s">
        <v>490</v>
      </c>
      <c r="BQ37" s="190">
        <f t="shared" si="40"/>
        <v>4.3719847928384035E-2</v>
      </c>
      <c r="BR37" s="194" t="s">
        <v>490</v>
      </c>
      <c r="BS37" s="268">
        <f t="shared" si="41"/>
        <v>3.8589653669704278E-3</v>
      </c>
      <c r="BT37" s="194" t="s">
        <v>490</v>
      </c>
      <c r="BU37" s="268">
        <f t="shared" si="42"/>
        <v>6.2120571206086217E-2</v>
      </c>
      <c r="BV37" s="194" t="s">
        <v>490</v>
      </c>
      <c r="BW37" s="268">
        <f t="shared" si="43"/>
        <v>5.2463817514060838E-2</v>
      </c>
      <c r="BX37" s="194" t="s">
        <v>488</v>
      </c>
      <c r="BY37" s="190">
        <f>ROUNDDOWN(1.41*BQ40/BQ35,0)</f>
        <v>12</v>
      </c>
    </row>
    <row r="38" spans="1:77">
      <c r="A38" s="195" t="s">
        <v>233</v>
      </c>
      <c r="B38" s="195" t="s">
        <v>224</v>
      </c>
      <c r="C38" s="192" t="s">
        <v>516</v>
      </c>
      <c r="D38" s="195" t="s">
        <v>14</v>
      </c>
      <c r="E38" s="195" t="s">
        <v>510</v>
      </c>
      <c r="F38" s="292">
        <v>1</v>
      </c>
      <c r="G38" s="67">
        <v>1.0620000000000001</v>
      </c>
      <c r="H38" s="196">
        <v>45412.504035069447</v>
      </c>
      <c r="I38" s="197">
        <v>0</v>
      </c>
      <c r="J38" s="252">
        <v>5</v>
      </c>
      <c r="K38" s="228"/>
      <c r="L38" s="245"/>
      <c r="M38" s="245"/>
      <c r="N38" s="245"/>
      <c r="O38" s="245"/>
      <c r="P38" s="245"/>
      <c r="Q38" s="245"/>
      <c r="S38" s="245"/>
      <c r="T38" s="245"/>
      <c r="U38" s="245"/>
      <c r="AM38" s="255">
        <v>4</v>
      </c>
      <c r="AN38" s="274" t="str">
        <f>AM20</f>
        <v>Hioki</v>
      </c>
      <c r="AO38" s="274" t="str">
        <f>AN20</f>
        <v>X-40-203</v>
      </c>
      <c r="AP38" s="274" t="e">
        <f>AO20</f>
        <v>#REF!</v>
      </c>
      <c r="AQ38" s="232" t="s">
        <v>333</v>
      </c>
      <c r="AR38" s="232" t="s">
        <v>351</v>
      </c>
      <c r="AS38" s="233">
        <v>0</v>
      </c>
      <c r="AT38" s="232">
        <v>0</v>
      </c>
      <c r="AU38" s="233" t="s">
        <v>352</v>
      </c>
      <c r="AV38" s="232">
        <f t="shared" si="44"/>
        <v>0</v>
      </c>
      <c r="AW38" s="233" t="s">
        <v>353</v>
      </c>
      <c r="AX38" s="232">
        <f>AT38/AT41</f>
        <v>0</v>
      </c>
      <c r="AY38" s="233" t="s">
        <v>354</v>
      </c>
      <c r="AZ38" s="232">
        <f>AV38/AV41</f>
        <v>0</v>
      </c>
      <c r="BA38" s="233" t="s">
        <v>355</v>
      </c>
      <c r="BB38" s="232">
        <f>6*AV38/(AJ20-AI20)</f>
        <v>0</v>
      </c>
      <c r="BC38" s="255" t="s">
        <v>508</v>
      </c>
      <c r="BD38" s="232">
        <v>0.25</v>
      </c>
      <c r="BE38" s="283" t="s">
        <v>467</v>
      </c>
      <c r="BF38" s="274">
        <f>BA22</f>
        <v>6.8154828251686108E-3</v>
      </c>
      <c r="BI38" s="289" t="str">
        <f>AN35</f>
        <v>Hioki</v>
      </c>
      <c r="BJ38" s="289" t="str">
        <f>AO35</f>
        <v>X-40-203</v>
      </c>
      <c r="BK38" s="289" t="e">
        <f>AP35</f>
        <v>#REF!</v>
      </c>
      <c r="BL38" s="190" t="s">
        <v>486</v>
      </c>
      <c r="BM38" s="190" t="s">
        <v>351</v>
      </c>
      <c r="BN38" s="194" t="s">
        <v>491</v>
      </c>
      <c r="BO38" s="190">
        <f t="shared" si="39"/>
        <v>0</v>
      </c>
      <c r="BP38" s="194" t="s">
        <v>491</v>
      </c>
      <c r="BQ38" s="190">
        <f t="shared" si="40"/>
        <v>0</v>
      </c>
      <c r="BR38" s="194" t="s">
        <v>491</v>
      </c>
      <c r="BS38" s="268">
        <f t="shared" si="41"/>
        <v>0</v>
      </c>
      <c r="BT38" s="194" t="s">
        <v>491</v>
      </c>
      <c r="BU38" s="268">
        <f t="shared" si="42"/>
        <v>0</v>
      </c>
      <c r="BV38" s="194" t="s">
        <v>491</v>
      </c>
      <c r="BW38" s="268">
        <f t="shared" si="43"/>
        <v>0</v>
      </c>
      <c r="BX38" s="194" t="s">
        <v>488</v>
      </c>
      <c r="BY38" s="190">
        <f>ROUNDDOWN(1.41*BQ40/BQ35,0)</f>
        <v>12</v>
      </c>
    </row>
    <row r="39" spans="1:77">
      <c r="A39" s="195" t="s">
        <v>233</v>
      </c>
      <c r="B39" s="195" t="s">
        <v>224</v>
      </c>
      <c r="C39" s="192" t="s">
        <v>517</v>
      </c>
      <c r="D39" s="195" t="s">
        <v>14</v>
      </c>
      <c r="E39" s="195" t="s">
        <v>510</v>
      </c>
      <c r="F39" s="292">
        <v>1</v>
      </c>
      <c r="G39" s="67">
        <v>1.02</v>
      </c>
      <c r="H39" s="196">
        <v>45412.504035069447</v>
      </c>
      <c r="I39" s="197">
        <v>0</v>
      </c>
      <c r="J39" s="252">
        <v>5</v>
      </c>
      <c r="K39" s="228"/>
      <c r="L39" s="245"/>
      <c r="M39" s="245"/>
      <c r="N39" s="245"/>
      <c r="O39" s="245"/>
      <c r="P39" s="245"/>
      <c r="Q39" s="245"/>
      <c r="S39" s="246"/>
      <c r="T39" s="245"/>
      <c r="U39" s="245"/>
      <c r="AM39" s="255">
        <v>2</v>
      </c>
      <c r="AN39" s="274" t="str">
        <f>AM20</f>
        <v>Hioki</v>
      </c>
      <c r="AO39" s="274" t="str">
        <f>AN20</f>
        <v>X-40-203</v>
      </c>
      <c r="AP39" s="274" t="e">
        <f>AO20</f>
        <v>#REF!</v>
      </c>
      <c r="AQ39" s="232" t="s">
        <v>333</v>
      </c>
      <c r="AR39" s="232" t="s">
        <v>356</v>
      </c>
      <c r="AS39" s="233" t="s">
        <v>357</v>
      </c>
      <c r="AT39" s="232">
        <f>(AW22-AX23)/AL4</f>
        <v>1.911425102881026E-3</v>
      </c>
      <c r="AU39" s="233" t="s">
        <v>358</v>
      </c>
      <c r="AV39" s="232">
        <f t="shared" si="44"/>
        <v>4.3719847928384035E-2</v>
      </c>
      <c r="AW39" s="233" t="s">
        <v>359</v>
      </c>
      <c r="AX39" s="232">
        <f>AT39/AT41</f>
        <v>3.8589653669704278E-3</v>
      </c>
      <c r="AY39" s="233" t="s">
        <v>360</v>
      </c>
      <c r="AZ39" s="232">
        <f>AV39/AV41</f>
        <v>6.2120571206086217E-2</v>
      </c>
      <c r="BA39" s="233" t="s">
        <v>361</v>
      </c>
      <c r="BB39" s="232">
        <f>6*AV39/(AJ20-AI20)</f>
        <v>5.2463817514060838E-2</v>
      </c>
      <c r="BC39" s="255" t="s">
        <v>508</v>
      </c>
      <c r="BD39" s="232">
        <v>0.25</v>
      </c>
      <c r="BE39" s="283" t="s">
        <v>467</v>
      </c>
      <c r="BF39" s="274">
        <f>BA22</f>
        <v>6.8154828251686108E-3</v>
      </c>
      <c r="BI39" s="289" t="str">
        <f>AN35</f>
        <v>Hioki</v>
      </c>
      <c r="BJ39" s="289" t="str">
        <f>AO35</f>
        <v>X-40-203</v>
      </c>
      <c r="BK39" s="289" t="e">
        <f>AP35</f>
        <v>#REF!</v>
      </c>
      <c r="BL39" s="190" t="s">
        <v>486</v>
      </c>
      <c r="BM39" s="190" t="s">
        <v>492</v>
      </c>
      <c r="BN39" s="194">
        <v>0</v>
      </c>
      <c r="BO39" s="190">
        <v>0</v>
      </c>
      <c r="BP39" s="194">
        <v>0</v>
      </c>
      <c r="BQ39" s="190">
        <v>0</v>
      </c>
      <c r="BR39" s="194">
        <v>0</v>
      </c>
      <c r="BS39" s="268">
        <v>0</v>
      </c>
      <c r="BT39" s="194">
        <v>0</v>
      </c>
      <c r="BU39" s="268">
        <v>0</v>
      </c>
      <c r="BV39" s="194">
        <v>0</v>
      </c>
      <c r="BW39" s="268">
        <v>0</v>
      </c>
      <c r="BX39" s="194" t="s">
        <v>488</v>
      </c>
      <c r="BY39" s="190">
        <f>ROUNDDOWN(1.41*BQ40/BQ35,0)</f>
        <v>12</v>
      </c>
    </row>
    <row r="40" spans="1:77">
      <c r="A40" s="195" t="s">
        <v>233</v>
      </c>
      <c r="B40" s="195" t="s">
        <v>224</v>
      </c>
      <c r="C40" s="192" t="s">
        <v>518</v>
      </c>
      <c r="D40" s="195" t="s">
        <v>14</v>
      </c>
      <c r="E40" s="195" t="s">
        <v>510</v>
      </c>
      <c r="F40" s="292">
        <v>1</v>
      </c>
      <c r="G40" s="67">
        <v>0.94699999999999995</v>
      </c>
      <c r="H40" s="196">
        <v>45412.504035069447</v>
      </c>
      <c r="I40" s="197">
        <v>0</v>
      </c>
      <c r="J40" s="252">
        <v>5</v>
      </c>
      <c r="K40" s="228"/>
      <c r="L40" s="245"/>
      <c r="M40" s="245"/>
      <c r="N40" s="245"/>
      <c r="O40" s="245"/>
      <c r="P40" s="245"/>
      <c r="Q40" s="245"/>
      <c r="S40" s="245"/>
      <c r="T40" s="245"/>
      <c r="U40" s="245"/>
      <c r="AM40" s="255">
        <v>3</v>
      </c>
      <c r="AN40" s="274" t="str">
        <f>AM20</f>
        <v>Hioki</v>
      </c>
      <c r="AO40" s="274" t="str">
        <f>AN20</f>
        <v>X-40-203</v>
      </c>
      <c r="AP40" s="274" t="e">
        <f>AO20</f>
        <v>#REF!</v>
      </c>
      <c r="AQ40" s="232" t="s">
        <v>333</v>
      </c>
      <c r="AR40" s="232" t="s">
        <v>111</v>
      </c>
      <c r="AS40" s="233" t="s">
        <v>362</v>
      </c>
      <c r="AT40" s="232">
        <f>(AW20-AW22)/(AK4*AL4)</f>
        <v>0.48919577983539053</v>
      </c>
      <c r="AU40" s="233" t="s">
        <v>363</v>
      </c>
      <c r="AV40" s="232">
        <f t="shared" si="44"/>
        <v>0.69942532112827493</v>
      </c>
      <c r="AW40" s="233" t="s">
        <v>364</v>
      </c>
      <c r="AX40" s="232">
        <f>AT40/AT41</f>
        <v>0.98763460268857062</v>
      </c>
      <c r="AY40" s="233" t="s">
        <v>365</v>
      </c>
      <c r="AZ40" s="232">
        <f>AV40/AV41</f>
        <v>0.99379806937253135</v>
      </c>
      <c r="BA40" s="233" t="s">
        <v>366</v>
      </c>
      <c r="BB40" s="232">
        <f>6*AV40/(AJ20-AI20)</f>
        <v>0.83931038535392999</v>
      </c>
      <c r="BC40" s="255" t="s">
        <v>508</v>
      </c>
      <c r="BD40" s="232">
        <v>0.25</v>
      </c>
      <c r="BE40" s="283" t="s">
        <v>467</v>
      </c>
      <c r="BF40" s="274">
        <f>BA22</f>
        <v>6.8154828251686108E-3</v>
      </c>
      <c r="BI40" s="289" t="str">
        <f>AN35</f>
        <v>Hioki</v>
      </c>
      <c r="BJ40" s="289" t="str">
        <f>AO35</f>
        <v>X-40-203</v>
      </c>
      <c r="BK40" s="289" t="e">
        <f>AP35</f>
        <v>#REF!</v>
      </c>
      <c r="BL40" s="190" t="s">
        <v>486</v>
      </c>
      <c r="BM40" s="190" t="s">
        <v>493</v>
      </c>
      <c r="BN40" s="194" t="s">
        <v>494</v>
      </c>
      <c r="BO40" s="190">
        <f t="shared" si="39"/>
        <v>0.48919577983539053</v>
      </c>
      <c r="BP40" s="194" t="s">
        <v>494</v>
      </c>
      <c r="BQ40" s="190">
        <f t="shared" si="40"/>
        <v>0.69942532112827493</v>
      </c>
      <c r="BR40" s="194" t="s">
        <v>494</v>
      </c>
      <c r="BS40" s="268">
        <f t="shared" si="41"/>
        <v>0.98763460268857062</v>
      </c>
      <c r="BT40" s="194" t="s">
        <v>494</v>
      </c>
      <c r="BU40" s="268">
        <f t="shared" si="42"/>
        <v>0.99379806937253135</v>
      </c>
      <c r="BV40" s="194" t="s">
        <v>494</v>
      </c>
      <c r="BW40" s="268">
        <f t="shared" si="43"/>
        <v>0.83931038535392999</v>
      </c>
      <c r="BX40" s="194" t="s">
        <v>488</v>
      </c>
      <c r="BY40" s="190">
        <f>ROUNDDOWN(1.41*BQ40/BQ35,0)</f>
        <v>12</v>
      </c>
    </row>
    <row r="41" spans="1:77">
      <c r="A41" s="195" t="s">
        <v>233</v>
      </c>
      <c r="B41" s="195" t="s">
        <v>224</v>
      </c>
      <c r="C41" s="192" t="s">
        <v>519</v>
      </c>
      <c r="D41" s="195" t="s">
        <v>14</v>
      </c>
      <c r="E41" s="195" t="s">
        <v>510</v>
      </c>
      <c r="F41" s="292">
        <v>1</v>
      </c>
      <c r="G41" s="67">
        <v>0.98899999999999999</v>
      </c>
      <c r="H41" s="196">
        <v>45412.50403935185</v>
      </c>
      <c r="I41" s="197">
        <v>0</v>
      </c>
      <c r="J41" s="252">
        <v>5</v>
      </c>
      <c r="K41" s="228"/>
      <c r="L41" s="245"/>
      <c r="M41" s="245"/>
      <c r="N41" s="245"/>
      <c r="O41" s="245"/>
      <c r="P41" s="245"/>
      <c r="Q41" s="245"/>
      <c r="S41" s="245"/>
      <c r="T41" s="245"/>
      <c r="U41" s="245"/>
      <c r="AM41" s="255">
        <v>7</v>
      </c>
      <c r="AN41" s="274" t="str">
        <f>AM20</f>
        <v>Hioki</v>
      </c>
      <c r="AO41" s="274" t="str">
        <f>AN20</f>
        <v>X-40-203</v>
      </c>
      <c r="AP41" s="274" t="e">
        <f>AO20</f>
        <v>#REF!</v>
      </c>
      <c r="AQ41" s="232" t="s">
        <v>333</v>
      </c>
      <c r="AR41" s="232" t="s">
        <v>114</v>
      </c>
      <c r="AS41" s="233" t="s">
        <v>367</v>
      </c>
      <c r="AT41" s="232">
        <f>AT35+AT40</f>
        <v>0.4953206160493831</v>
      </c>
      <c r="AU41" s="233" t="s">
        <v>368</v>
      </c>
      <c r="AV41" s="232">
        <f t="shared" si="44"/>
        <v>0.70379017899469376</v>
      </c>
      <c r="AW41" s="233" t="s">
        <v>369</v>
      </c>
      <c r="AX41" s="232">
        <f>AT41/AT41</f>
        <v>1</v>
      </c>
      <c r="AY41" s="233" t="s">
        <v>370</v>
      </c>
      <c r="AZ41" s="232">
        <f>AV41/AV41</f>
        <v>1</v>
      </c>
      <c r="BA41" s="233" t="s">
        <v>371</v>
      </c>
      <c r="BB41" s="232">
        <f>6*AV41/(AJ20-AI20)</f>
        <v>0.84454821479363251</v>
      </c>
      <c r="BC41" s="255" t="s">
        <v>508</v>
      </c>
      <c r="BD41" s="232">
        <v>0.25</v>
      </c>
      <c r="BE41" s="283" t="s">
        <v>467</v>
      </c>
      <c r="BF41" s="274">
        <f>BA22</f>
        <v>6.8154828251686108E-3</v>
      </c>
      <c r="BI41" s="289" t="str">
        <f>AN35</f>
        <v>Hioki</v>
      </c>
      <c r="BJ41" s="289" t="str">
        <f>AO35</f>
        <v>X-40-203</v>
      </c>
      <c r="BK41" s="289" t="e">
        <f>AP35</f>
        <v>#REF!</v>
      </c>
      <c r="BL41" s="190" t="s">
        <v>486</v>
      </c>
      <c r="BM41" s="190" t="s">
        <v>114</v>
      </c>
      <c r="BN41" s="194" t="s">
        <v>495</v>
      </c>
      <c r="BO41" s="190">
        <f>IF(BD41&gt;BF41,AT41,AQ48)</f>
        <v>0.4953206160493831</v>
      </c>
      <c r="BP41" s="194" t="s">
        <v>495</v>
      </c>
      <c r="BQ41" s="190">
        <f>IF(BD41&gt;BF41,AV41,AS48)</f>
        <v>0.70379017899469376</v>
      </c>
      <c r="BR41" s="194" t="s">
        <v>495</v>
      </c>
      <c r="BS41" s="268">
        <f>IF(BD41&gt;BF41,AX41,AU48)</f>
        <v>1</v>
      </c>
      <c r="BT41" s="194" t="s">
        <v>495</v>
      </c>
      <c r="BU41" s="268">
        <f>IF(BD41&gt;BF41,AZ41,AW48)</f>
        <v>1</v>
      </c>
      <c r="BV41" s="194" t="s">
        <v>495</v>
      </c>
      <c r="BW41" s="268">
        <f>IF(BD41&gt;BF41,BB41,AY48)</f>
        <v>0.84454821479363251</v>
      </c>
      <c r="BX41" s="194" t="s">
        <v>488</v>
      </c>
      <c r="BY41" s="190">
        <f>ROUNDDOWN(1.41*BQ40/BQ35,0)</f>
        <v>12</v>
      </c>
    </row>
    <row r="42" spans="1:77">
      <c r="A42" s="195" t="s">
        <v>233</v>
      </c>
      <c r="B42" s="195" t="s">
        <v>224</v>
      </c>
      <c r="C42" s="192" t="s">
        <v>520</v>
      </c>
      <c r="D42" s="195" t="s">
        <v>14</v>
      </c>
      <c r="E42" s="195" t="s">
        <v>510</v>
      </c>
      <c r="F42" s="292">
        <v>1</v>
      </c>
      <c r="G42" s="67">
        <v>2.9060000000000001</v>
      </c>
      <c r="H42" s="196">
        <v>45412.50403935185</v>
      </c>
      <c r="I42" s="197">
        <v>0</v>
      </c>
      <c r="J42" s="252">
        <v>5</v>
      </c>
      <c r="K42" s="228"/>
      <c r="L42" s="245"/>
      <c r="M42" s="245"/>
      <c r="N42" s="245"/>
      <c r="O42" s="245"/>
      <c r="P42" s="245"/>
      <c r="Q42" s="245"/>
      <c r="S42" s="245"/>
      <c r="T42" s="245"/>
      <c r="U42" s="245"/>
      <c r="AM42" s="256">
        <v>4</v>
      </c>
      <c r="AN42" s="214" t="str">
        <f>AM20</f>
        <v>Hioki</v>
      </c>
      <c r="AO42" s="214" t="str">
        <f>AN20</f>
        <v>X-40-203</v>
      </c>
      <c r="AP42" s="214" t="e">
        <f>AO20</f>
        <v>#REF!</v>
      </c>
      <c r="AQ42" s="199" t="s">
        <v>98</v>
      </c>
      <c r="AR42" s="199" t="s">
        <v>334</v>
      </c>
      <c r="AS42" s="212" t="s">
        <v>372</v>
      </c>
      <c r="AT42" s="199">
        <f>AT43+AT44</f>
        <v>5.5367054131060731E-3</v>
      </c>
      <c r="AU42" s="212" t="s">
        <v>336</v>
      </c>
      <c r="AV42" s="199">
        <f t="shared" si="44"/>
        <v>7.4409041205394336E-2</v>
      </c>
      <c r="AW42" s="212" t="s">
        <v>337</v>
      </c>
      <c r="AX42" s="199">
        <f>AT42/AT47</f>
        <v>1.1180235872516681E-2</v>
      </c>
      <c r="AY42" s="212" t="s">
        <v>338</v>
      </c>
      <c r="AZ42" s="199">
        <f>AV42/AV47</f>
        <v>0.10573663448642896</v>
      </c>
      <c r="BA42" s="212" t="s">
        <v>339</v>
      </c>
      <c r="BB42" s="199">
        <f>6*AV42/(AJ20-AI20)</f>
        <v>8.9290849446473211E-2</v>
      </c>
      <c r="BC42" s="256" t="s">
        <v>508</v>
      </c>
      <c r="BD42" s="199">
        <v>0.25</v>
      </c>
      <c r="BE42" s="266" t="s">
        <v>467</v>
      </c>
      <c r="BF42" s="214">
        <f>BA22</f>
        <v>6.8154828251686108E-3</v>
      </c>
    </row>
    <row r="43" spans="1:77">
      <c r="A43" s="195" t="s">
        <v>233</v>
      </c>
      <c r="B43" s="195" t="s">
        <v>224</v>
      </c>
      <c r="C43" s="192" t="s">
        <v>509</v>
      </c>
      <c r="D43" s="195" t="s">
        <v>14</v>
      </c>
      <c r="E43" s="195" t="s">
        <v>510</v>
      </c>
      <c r="F43" s="292">
        <v>2</v>
      </c>
      <c r="G43" s="67">
        <v>0.156</v>
      </c>
      <c r="H43" s="198">
        <v>45412.62903935185</v>
      </c>
      <c r="I43" s="197">
        <v>0</v>
      </c>
      <c r="J43" s="252">
        <v>5</v>
      </c>
      <c r="K43" s="228"/>
      <c r="L43" s="245"/>
      <c r="M43" s="245"/>
      <c r="N43" s="245"/>
      <c r="O43" s="245"/>
      <c r="P43" s="245"/>
      <c r="Q43" s="245"/>
      <c r="S43" s="245"/>
      <c r="T43" s="245"/>
      <c r="U43" s="245"/>
      <c r="AM43" s="256">
        <v>1</v>
      </c>
      <c r="AN43" s="214" t="str">
        <f>AM20</f>
        <v>Hioki</v>
      </c>
      <c r="AO43" s="290" t="str">
        <f>AN20</f>
        <v>X-40-203</v>
      </c>
      <c r="AP43" s="290" t="e">
        <f>AO20</f>
        <v>#REF!</v>
      </c>
      <c r="AQ43" s="199" t="s">
        <v>98</v>
      </c>
      <c r="AR43" s="199" t="s">
        <v>94</v>
      </c>
      <c r="AS43" s="212" t="s">
        <v>373</v>
      </c>
      <c r="AT43" s="199">
        <f>AV27/AT27</f>
        <v>5.5367054131060731E-3</v>
      </c>
      <c r="AU43" s="212" t="s">
        <v>341</v>
      </c>
      <c r="AV43" s="199">
        <f t="shared" si="44"/>
        <v>7.4409041205394336E-2</v>
      </c>
      <c r="AW43" s="212" t="s">
        <v>342</v>
      </c>
      <c r="AX43" s="199">
        <f>AT43/AT47</f>
        <v>1.1180235872516681E-2</v>
      </c>
      <c r="AY43" s="212" t="s">
        <v>343</v>
      </c>
      <c r="AZ43" s="199">
        <f>AV43/AV47</f>
        <v>0.10573663448642896</v>
      </c>
      <c r="BA43" s="212" t="s">
        <v>344</v>
      </c>
      <c r="BB43" s="199">
        <f>6*AV43/(AJ20-AI20)</f>
        <v>8.9290849446473211E-2</v>
      </c>
      <c r="BC43" s="256" t="s">
        <v>508</v>
      </c>
      <c r="BD43" s="199">
        <v>0.25</v>
      </c>
      <c r="BE43" s="266" t="s">
        <v>467</v>
      </c>
      <c r="BF43" s="214">
        <f>BA22</f>
        <v>6.8154828251686108E-3</v>
      </c>
    </row>
    <row r="44" spans="1:77">
      <c r="A44" s="195" t="s">
        <v>233</v>
      </c>
      <c r="B44" s="195" t="s">
        <v>224</v>
      </c>
      <c r="C44" s="192" t="s">
        <v>512</v>
      </c>
      <c r="D44" s="195" t="s">
        <v>14</v>
      </c>
      <c r="E44" s="195" t="s">
        <v>510</v>
      </c>
      <c r="F44" s="292">
        <v>2</v>
      </c>
      <c r="G44" s="67">
        <v>0.99199999999999999</v>
      </c>
      <c r="H44" s="198">
        <v>45412.62903935185</v>
      </c>
      <c r="I44" s="197">
        <v>0</v>
      </c>
      <c r="J44" s="252">
        <v>5</v>
      </c>
      <c r="K44" s="228"/>
      <c r="L44" s="245"/>
      <c r="M44" s="245"/>
      <c r="N44" s="245"/>
      <c r="O44" s="245"/>
      <c r="P44" s="245"/>
      <c r="Q44" s="245"/>
      <c r="S44" s="245"/>
      <c r="T44" s="245"/>
      <c r="U44" s="245"/>
      <c r="AM44" s="256">
        <v>3</v>
      </c>
      <c r="AN44" s="214" t="str">
        <f>AM20</f>
        <v>Hioki</v>
      </c>
      <c r="AO44" s="290" t="str">
        <f>AN20</f>
        <v>X-40-203</v>
      </c>
      <c r="AP44" s="290" t="e">
        <f>AO20</f>
        <v>#REF!</v>
      </c>
      <c r="AQ44" s="199" t="s">
        <v>98</v>
      </c>
      <c r="AR44" s="199" t="s">
        <v>345</v>
      </c>
      <c r="AS44" s="212" t="s">
        <v>374</v>
      </c>
      <c r="AT44" s="199">
        <f>AT45</f>
        <v>0</v>
      </c>
      <c r="AU44" s="212" t="s">
        <v>347</v>
      </c>
      <c r="AV44" s="199">
        <f t="shared" si="44"/>
        <v>0</v>
      </c>
      <c r="AW44" s="212" t="s">
        <v>348</v>
      </c>
      <c r="AX44" s="199">
        <f>AT44/AT47</f>
        <v>0</v>
      </c>
      <c r="AY44" s="212" t="s">
        <v>349</v>
      </c>
      <c r="AZ44" s="199">
        <f>AV44/AV47</f>
        <v>0</v>
      </c>
      <c r="BA44" s="212" t="s">
        <v>350</v>
      </c>
      <c r="BB44" s="199">
        <f>6*AV44/(AJ20-AI20)</f>
        <v>0</v>
      </c>
      <c r="BC44" s="256" t="s">
        <v>508</v>
      </c>
      <c r="BD44" s="199">
        <v>0.25</v>
      </c>
      <c r="BE44" s="266" t="s">
        <v>467</v>
      </c>
      <c r="BF44" s="214">
        <f>BA22</f>
        <v>6.8154828251686108E-3</v>
      </c>
    </row>
    <row r="45" spans="1:77">
      <c r="A45" s="195" t="s">
        <v>233</v>
      </c>
      <c r="B45" s="195" t="s">
        <v>224</v>
      </c>
      <c r="C45" s="192" t="s">
        <v>513</v>
      </c>
      <c r="D45" s="195" t="s">
        <v>14</v>
      </c>
      <c r="E45" s="195" t="s">
        <v>510</v>
      </c>
      <c r="F45" s="292">
        <v>2</v>
      </c>
      <c r="G45" s="67">
        <v>0.82799999999999996</v>
      </c>
      <c r="H45" s="198">
        <v>45412.62903935185</v>
      </c>
      <c r="I45" s="197">
        <v>0</v>
      </c>
      <c r="J45" s="252">
        <v>5</v>
      </c>
      <c r="K45" s="228"/>
      <c r="L45" s="245"/>
      <c r="M45" s="245"/>
      <c r="N45" s="245"/>
      <c r="O45" s="245"/>
      <c r="P45" s="245"/>
      <c r="Q45" s="245"/>
      <c r="S45" s="245"/>
      <c r="T45" s="245"/>
      <c r="U45" s="245"/>
      <c r="AM45" s="256">
        <v>2</v>
      </c>
      <c r="AN45" s="214" t="str">
        <f>AM20</f>
        <v>Hioki</v>
      </c>
      <c r="AO45" s="290" t="str">
        <f>AN20</f>
        <v>X-40-203</v>
      </c>
      <c r="AP45" s="290" t="e">
        <f>AO20</f>
        <v>#REF!</v>
      </c>
      <c r="AQ45" s="199" t="s">
        <v>98</v>
      </c>
      <c r="AR45" s="199" t="s">
        <v>351</v>
      </c>
      <c r="AS45" s="212" t="s">
        <v>375</v>
      </c>
      <c r="AT45" s="199">
        <f>IF((AX26-AX27)/(AM4*AL4)&lt;0,0,(AX26-AX27)/(AM4*AL4))</f>
        <v>0</v>
      </c>
      <c r="AU45" s="212" t="s">
        <v>352</v>
      </c>
      <c r="AV45" s="199">
        <f t="shared" si="44"/>
        <v>0</v>
      </c>
      <c r="AW45" s="212" t="s">
        <v>353</v>
      </c>
      <c r="AX45" s="199">
        <f>AT45/AT47</f>
        <v>0</v>
      </c>
      <c r="AY45" s="212" t="s">
        <v>354</v>
      </c>
      <c r="AZ45" s="199">
        <f>AV45/AV47</f>
        <v>0</v>
      </c>
      <c r="BA45" s="212" t="s">
        <v>355</v>
      </c>
      <c r="BB45" s="199">
        <f>6*AV45/(AJ20-AI20)</f>
        <v>0</v>
      </c>
      <c r="BC45" s="256" t="s">
        <v>508</v>
      </c>
      <c r="BD45" s="199">
        <v>0.25</v>
      </c>
      <c r="BE45" s="266" t="s">
        <v>467</v>
      </c>
      <c r="BF45" s="214">
        <f>BA22</f>
        <v>6.8154828251686108E-3</v>
      </c>
    </row>
    <row r="46" spans="1:77">
      <c r="A46" s="195" t="s">
        <v>233</v>
      </c>
      <c r="B46" s="195" t="s">
        <v>224</v>
      </c>
      <c r="C46" s="192" t="s">
        <v>514</v>
      </c>
      <c r="D46" s="195" t="s">
        <v>14</v>
      </c>
      <c r="E46" s="195" t="s">
        <v>510</v>
      </c>
      <c r="F46" s="292">
        <v>2</v>
      </c>
      <c r="G46" s="67">
        <v>1.0580000000000001</v>
      </c>
      <c r="H46" s="198">
        <v>45412.62903935185</v>
      </c>
      <c r="I46" s="197">
        <v>0</v>
      </c>
      <c r="J46" s="252">
        <v>5</v>
      </c>
      <c r="K46" s="228"/>
      <c r="L46" s="245"/>
      <c r="M46" s="245"/>
      <c r="N46" s="245"/>
      <c r="O46" s="245"/>
      <c r="P46" s="245"/>
      <c r="Q46" s="245"/>
      <c r="S46" s="245"/>
      <c r="T46" s="245"/>
      <c r="U46" s="245"/>
      <c r="AM46" s="256">
        <v>3</v>
      </c>
      <c r="AN46" s="214" t="str">
        <f>AM20</f>
        <v>Hioki</v>
      </c>
      <c r="AO46" s="290" t="str">
        <f>AN20</f>
        <v>X-40-203</v>
      </c>
      <c r="AP46" s="290" t="e">
        <f>AO20</f>
        <v>#REF!</v>
      </c>
      <c r="AQ46" s="199" t="s">
        <v>98</v>
      </c>
      <c r="AR46" s="199" t="s">
        <v>111</v>
      </c>
      <c r="AS46" s="212" t="s">
        <v>376</v>
      </c>
      <c r="AT46" s="199">
        <f>(AX25-AX27)/(AK4*AL4)</f>
        <v>0.48968588883612924</v>
      </c>
      <c r="AU46" s="212" t="s">
        <v>363</v>
      </c>
      <c r="AV46" s="199">
        <f t="shared" si="44"/>
        <v>0.69977559891448715</v>
      </c>
      <c r="AW46" s="212" t="s">
        <v>364</v>
      </c>
      <c r="AX46" s="199">
        <f>AT46/AT47</f>
        <v>0.98881976412748329</v>
      </c>
      <c r="AY46" s="212" t="s">
        <v>365</v>
      </c>
      <c r="AZ46" s="199">
        <f>AV46/AV47</f>
        <v>0.99439416939535763</v>
      </c>
      <c r="BA46" s="212" t="s">
        <v>366</v>
      </c>
      <c r="BB46" s="199">
        <f>6*AV46/(AJ20-AI20)</f>
        <v>0.83973071869738458</v>
      </c>
      <c r="BC46" s="256" t="s">
        <v>508</v>
      </c>
      <c r="BD46" s="199">
        <v>0.25</v>
      </c>
      <c r="BE46" s="266" t="s">
        <v>467</v>
      </c>
      <c r="BF46" s="214">
        <f>BA22</f>
        <v>6.8154828251686108E-3</v>
      </c>
    </row>
    <row r="47" spans="1:77">
      <c r="A47" s="195" t="s">
        <v>233</v>
      </c>
      <c r="B47" s="195" t="s">
        <v>224</v>
      </c>
      <c r="C47" s="192" t="s">
        <v>515</v>
      </c>
      <c r="D47" s="195" t="s">
        <v>14</v>
      </c>
      <c r="E47" s="195" t="s">
        <v>510</v>
      </c>
      <c r="F47" s="292">
        <v>2</v>
      </c>
      <c r="G47" s="67">
        <v>1.032</v>
      </c>
      <c r="H47" s="198">
        <v>45412.62903935185</v>
      </c>
      <c r="I47" s="197">
        <v>0</v>
      </c>
      <c r="J47" s="252">
        <v>5</v>
      </c>
      <c r="K47" s="228"/>
      <c r="L47" s="245"/>
      <c r="M47" s="245"/>
      <c r="N47" s="245"/>
      <c r="O47" s="245"/>
      <c r="P47" s="245"/>
      <c r="Q47" s="245"/>
      <c r="S47" s="245"/>
      <c r="T47" s="245"/>
      <c r="U47" s="245"/>
      <c r="AM47" s="256">
        <v>5</v>
      </c>
      <c r="AN47" s="214" t="str">
        <f>AM20</f>
        <v>Hioki</v>
      </c>
      <c r="AO47" s="290" t="str">
        <f>AN20</f>
        <v>X-40-203</v>
      </c>
      <c r="AP47" s="290" t="e">
        <f>AO20</f>
        <v>#REF!</v>
      </c>
      <c r="AQ47" s="199" t="s">
        <v>98</v>
      </c>
      <c r="AR47" s="199" t="s">
        <v>114</v>
      </c>
      <c r="AS47" s="212" t="s">
        <v>377</v>
      </c>
      <c r="AT47" s="199">
        <f>AT42+AT46</f>
        <v>0.49522259424923532</v>
      </c>
      <c r="AU47" s="212" t="s">
        <v>368</v>
      </c>
      <c r="AV47" s="199">
        <f t="shared" si="44"/>
        <v>0.70372053703813087</v>
      </c>
      <c r="AW47" s="212" t="s">
        <v>369</v>
      </c>
      <c r="AX47" s="199">
        <f>AT47/AT47</f>
        <v>1</v>
      </c>
      <c r="AY47" s="212" t="s">
        <v>370</v>
      </c>
      <c r="AZ47" s="199">
        <f>AV47/AV47</f>
        <v>1</v>
      </c>
      <c r="BA47" s="212" t="s">
        <v>371</v>
      </c>
      <c r="BB47" s="199">
        <f>6*AV47/(AJ20-AI20)</f>
        <v>0.84446464444575697</v>
      </c>
      <c r="BC47" s="256" t="s">
        <v>508</v>
      </c>
      <c r="BD47" s="199">
        <v>0.25</v>
      </c>
      <c r="BE47" s="266" t="s">
        <v>467</v>
      </c>
      <c r="BF47" s="214">
        <f>BA22</f>
        <v>6.8154828251686108E-3</v>
      </c>
    </row>
    <row r="48" spans="1:77">
      <c r="A48" s="195" t="s">
        <v>233</v>
      </c>
      <c r="B48" s="195" t="s">
        <v>224</v>
      </c>
      <c r="C48" s="192" t="s">
        <v>516</v>
      </c>
      <c r="D48" s="195" t="s">
        <v>14</v>
      </c>
      <c r="E48" s="195" t="s">
        <v>510</v>
      </c>
      <c r="F48" s="292">
        <v>2</v>
      </c>
      <c r="G48" s="67">
        <v>1.113</v>
      </c>
      <c r="H48" s="198">
        <v>45412.62903935185</v>
      </c>
      <c r="I48" s="197">
        <v>0</v>
      </c>
      <c r="J48" s="252">
        <v>5</v>
      </c>
      <c r="K48" s="228"/>
      <c r="L48" s="245"/>
      <c r="M48" s="245"/>
      <c r="N48" s="245"/>
      <c r="O48" s="245"/>
      <c r="P48" s="245"/>
      <c r="Q48" s="245"/>
      <c r="S48" s="245"/>
      <c r="T48" s="245"/>
      <c r="U48" s="245"/>
    </row>
    <row r="49" spans="1:21">
      <c r="A49" s="195" t="s">
        <v>233</v>
      </c>
      <c r="B49" s="195" t="s">
        <v>224</v>
      </c>
      <c r="C49" s="192" t="s">
        <v>517</v>
      </c>
      <c r="D49" s="195" t="s">
        <v>14</v>
      </c>
      <c r="E49" s="195" t="s">
        <v>510</v>
      </c>
      <c r="F49" s="292">
        <v>2</v>
      </c>
      <c r="G49" s="67">
        <v>1.0189999999999999</v>
      </c>
      <c r="H49" s="198">
        <v>45412.62903935185</v>
      </c>
      <c r="I49" s="197">
        <v>0</v>
      </c>
      <c r="J49" s="252">
        <v>5</v>
      </c>
      <c r="K49" s="228"/>
      <c r="L49" s="245"/>
      <c r="M49" s="245"/>
      <c r="N49" s="245"/>
      <c r="O49" s="245"/>
      <c r="P49" s="245"/>
      <c r="Q49" s="245"/>
      <c r="S49" s="245"/>
      <c r="T49" s="245"/>
      <c r="U49" s="245"/>
    </row>
    <row r="50" spans="1:21">
      <c r="A50" s="195" t="s">
        <v>233</v>
      </c>
      <c r="B50" s="195" t="s">
        <v>224</v>
      </c>
      <c r="C50" s="192" t="s">
        <v>518</v>
      </c>
      <c r="D50" s="195" t="s">
        <v>14</v>
      </c>
      <c r="E50" s="195" t="s">
        <v>510</v>
      </c>
      <c r="F50" s="292">
        <v>2</v>
      </c>
      <c r="G50" s="67">
        <v>0.94699999999999995</v>
      </c>
      <c r="H50" s="198">
        <v>45412.62903935185</v>
      </c>
      <c r="I50" s="197">
        <v>0</v>
      </c>
      <c r="J50" s="252">
        <v>5</v>
      </c>
      <c r="K50" s="228"/>
      <c r="L50" s="245"/>
      <c r="M50" s="245"/>
      <c r="N50" s="245"/>
      <c r="O50" s="245"/>
      <c r="P50" s="245"/>
      <c r="Q50" s="245"/>
      <c r="S50" s="245"/>
      <c r="T50" s="245"/>
      <c r="U50" s="245"/>
    </row>
    <row r="51" spans="1:21">
      <c r="A51" s="195" t="s">
        <v>233</v>
      </c>
      <c r="B51" s="195" t="s">
        <v>224</v>
      </c>
      <c r="C51" s="192" t="s">
        <v>519</v>
      </c>
      <c r="D51" s="195" t="s">
        <v>14</v>
      </c>
      <c r="E51" s="195" t="s">
        <v>510</v>
      </c>
      <c r="F51" s="292">
        <v>2</v>
      </c>
      <c r="G51" s="67">
        <v>0.98899999999999999</v>
      </c>
      <c r="H51" s="198">
        <v>45412.62903935185</v>
      </c>
      <c r="I51" s="197">
        <v>0</v>
      </c>
      <c r="J51" s="252">
        <v>5</v>
      </c>
      <c r="K51" s="228"/>
      <c r="L51" s="245"/>
      <c r="M51" s="245"/>
      <c r="N51" s="245"/>
      <c r="O51" s="245"/>
      <c r="P51" s="245"/>
      <c r="Q51" s="245"/>
      <c r="S51" s="245"/>
      <c r="T51" s="245"/>
      <c r="U51" s="245"/>
    </row>
    <row r="52" spans="1:21">
      <c r="A52" s="195" t="s">
        <v>233</v>
      </c>
      <c r="B52" s="195" t="s">
        <v>224</v>
      </c>
      <c r="C52" s="192" t="s">
        <v>520</v>
      </c>
      <c r="D52" s="195" t="s">
        <v>14</v>
      </c>
      <c r="E52" s="195" t="s">
        <v>510</v>
      </c>
      <c r="F52" s="292">
        <v>2</v>
      </c>
      <c r="G52" s="67">
        <v>2.9569999999999999</v>
      </c>
      <c r="H52" s="198">
        <v>45412.62903935185</v>
      </c>
      <c r="I52" s="197">
        <v>0</v>
      </c>
      <c r="J52" s="252">
        <v>5</v>
      </c>
      <c r="K52" s="228"/>
      <c r="L52" s="245"/>
      <c r="M52" s="245"/>
      <c r="N52" s="245"/>
      <c r="O52" s="245"/>
      <c r="P52" s="245"/>
      <c r="Q52" s="245"/>
      <c r="S52" s="245"/>
      <c r="T52" s="245"/>
      <c r="U52" s="245"/>
    </row>
    <row r="53" spans="1:21">
      <c r="A53" s="195" t="s">
        <v>233</v>
      </c>
      <c r="B53" s="195" t="s">
        <v>224</v>
      </c>
      <c r="C53" s="192" t="s">
        <v>509</v>
      </c>
      <c r="D53" s="195" t="s">
        <v>14</v>
      </c>
      <c r="E53" s="195" t="s">
        <v>510</v>
      </c>
      <c r="F53" s="292">
        <v>3</v>
      </c>
      <c r="G53" s="67">
        <v>0.115</v>
      </c>
      <c r="H53" s="196">
        <v>45412.712372685186</v>
      </c>
      <c r="I53" s="197">
        <v>0</v>
      </c>
      <c r="J53" s="252">
        <v>5</v>
      </c>
      <c r="K53" s="228"/>
      <c r="L53" s="245"/>
      <c r="M53" s="245"/>
      <c r="N53" s="245"/>
      <c r="O53" s="245"/>
      <c r="P53" s="245"/>
      <c r="Q53" s="245"/>
      <c r="S53" s="245"/>
      <c r="T53" s="245"/>
      <c r="U53" s="245"/>
    </row>
    <row r="54" spans="1:21">
      <c r="A54" s="195" t="s">
        <v>233</v>
      </c>
      <c r="B54" s="195" t="s">
        <v>224</v>
      </c>
      <c r="C54" s="192" t="s">
        <v>512</v>
      </c>
      <c r="D54" s="195" t="s">
        <v>14</v>
      </c>
      <c r="E54" s="195" t="s">
        <v>510</v>
      </c>
      <c r="F54" s="292">
        <v>3</v>
      </c>
      <c r="G54" s="67">
        <v>0.98699999999999999</v>
      </c>
      <c r="H54" s="196">
        <v>45412.712372685186</v>
      </c>
      <c r="I54" s="197">
        <v>0</v>
      </c>
      <c r="J54" s="252">
        <v>5</v>
      </c>
      <c r="K54" s="228"/>
      <c r="L54" s="245"/>
      <c r="M54" s="245"/>
      <c r="N54" s="245"/>
      <c r="O54" s="245"/>
      <c r="P54" s="245"/>
      <c r="Q54" s="245"/>
      <c r="S54" s="245"/>
      <c r="T54" s="245"/>
      <c r="U54" s="245"/>
    </row>
    <row r="55" spans="1:21">
      <c r="A55" s="195" t="s">
        <v>233</v>
      </c>
      <c r="B55" s="195" t="s">
        <v>224</v>
      </c>
      <c r="C55" s="192" t="s">
        <v>513</v>
      </c>
      <c r="D55" s="195" t="s">
        <v>14</v>
      </c>
      <c r="E55" s="195" t="s">
        <v>510</v>
      </c>
      <c r="F55" s="292">
        <v>3</v>
      </c>
      <c r="G55" s="67">
        <v>0.82799999999999996</v>
      </c>
      <c r="H55" s="196">
        <v>45412.712372685186</v>
      </c>
      <c r="I55" s="197">
        <v>0</v>
      </c>
      <c r="J55" s="252">
        <v>5</v>
      </c>
      <c r="K55" s="228"/>
      <c r="L55" s="245"/>
      <c r="M55" s="245"/>
      <c r="N55" s="245"/>
      <c r="O55" s="245"/>
      <c r="P55" s="245"/>
      <c r="Q55" s="245"/>
      <c r="S55" s="245"/>
      <c r="T55" s="245"/>
      <c r="U55" s="245"/>
    </row>
    <row r="56" spans="1:21">
      <c r="A56" s="195" t="s">
        <v>233</v>
      </c>
      <c r="B56" s="195" t="s">
        <v>224</v>
      </c>
      <c r="C56" s="192" t="s">
        <v>514</v>
      </c>
      <c r="D56" s="195" t="s">
        <v>14</v>
      </c>
      <c r="E56" s="195" t="s">
        <v>510</v>
      </c>
      <c r="F56" s="292">
        <v>3</v>
      </c>
      <c r="G56" s="67">
        <v>1.0489999999999999</v>
      </c>
      <c r="H56" s="196">
        <v>45412.712372685186</v>
      </c>
      <c r="I56" s="197">
        <v>0</v>
      </c>
      <c r="J56" s="252">
        <v>5</v>
      </c>
      <c r="K56" s="228"/>
      <c r="L56" s="245"/>
      <c r="M56" s="245"/>
      <c r="N56" s="245"/>
      <c r="O56" s="245"/>
      <c r="P56" s="245"/>
      <c r="Q56" s="245"/>
      <c r="S56" s="245"/>
      <c r="T56" s="245"/>
      <c r="U56" s="245"/>
    </row>
    <row r="57" spans="1:21">
      <c r="A57" s="195" t="s">
        <v>233</v>
      </c>
      <c r="B57" s="195" t="s">
        <v>224</v>
      </c>
      <c r="C57" s="192" t="s">
        <v>515</v>
      </c>
      <c r="D57" s="195" t="s">
        <v>14</v>
      </c>
      <c r="E57" s="195" t="s">
        <v>510</v>
      </c>
      <c r="F57" s="292">
        <v>3</v>
      </c>
      <c r="G57" s="67">
        <v>1.0009999999999999</v>
      </c>
      <c r="H57" s="196">
        <v>45412.712372685186</v>
      </c>
      <c r="I57" s="197">
        <v>0</v>
      </c>
      <c r="J57" s="252">
        <v>5</v>
      </c>
      <c r="K57" s="228"/>
      <c r="L57" s="245"/>
      <c r="M57" s="245"/>
      <c r="N57" s="245"/>
      <c r="O57" s="245"/>
      <c r="P57" s="245"/>
      <c r="Q57" s="245"/>
      <c r="S57" s="245"/>
      <c r="T57" s="245"/>
      <c r="U57" s="245"/>
    </row>
    <row r="58" spans="1:21">
      <c r="A58" s="195" t="s">
        <v>233</v>
      </c>
      <c r="B58" s="195" t="s">
        <v>224</v>
      </c>
      <c r="C58" s="192" t="s">
        <v>516</v>
      </c>
      <c r="D58" s="195" t="s">
        <v>14</v>
      </c>
      <c r="E58" s="195" t="s">
        <v>510</v>
      </c>
      <c r="F58" s="292">
        <v>3</v>
      </c>
      <c r="G58" s="67">
        <v>1.1879999999999999</v>
      </c>
      <c r="H58" s="196">
        <v>45412.712372685186</v>
      </c>
      <c r="I58" s="197">
        <v>0</v>
      </c>
      <c r="J58" s="252">
        <v>5</v>
      </c>
      <c r="K58" s="228"/>
      <c r="L58" s="245"/>
      <c r="M58" s="245"/>
      <c r="N58" s="245"/>
      <c r="O58" s="245"/>
      <c r="P58" s="245"/>
      <c r="Q58" s="245"/>
      <c r="S58" s="245"/>
      <c r="T58" s="245"/>
      <c r="U58" s="245"/>
    </row>
    <row r="59" spans="1:21">
      <c r="A59" s="195" t="s">
        <v>233</v>
      </c>
      <c r="B59" s="195" t="s">
        <v>224</v>
      </c>
      <c r="C59" s="192" t="s">
        <v>517</v>
      </c>
      <c r="D59" s="195" t="s">
        <v>14</v>
      </c>
      <c r="E59" s="195" t="s">
        <v>510</v>
      </c>
      <c r="F59" s="292">
        <v>3</v>
      </c>
      <c r="G59" s="67">
        <v>0.82899999999999996</v>
      </c>
      <c r="H59" s="196">
        <v>45412.712372685186</v>
      </c>
      <c r="I59" s="197">
        <v>0</v>
      </c>
      <c r="J59" s="252">
        <v>5</v>
      </c>
      <c r="K59" s="228"/>
      <c r="L59" s="245"/>
      <c r="M59" s="245"/>
      <c r="N59" s="245"/>
      <c r="O59" s="245"/>
      <c r="P59" s="245"/>
      <c r="Q59" s="245"/>
      <c r="S59" s="245"/>
      <c r="T59" s="245"/>
      <c r="U59" s="245"/>
    </row>
    <row r="60" spans="1:21">
      <c r="A60" s="195" t="s">
        <v>233</v>
      </c>
      <c r="B60" s="195" t="s">
        <v>224</v>
      </c>
      <c r="C60" s="192" t="s">
        <v>518</v>
      </c>
      <c r="D60" s="195" t="s">
        <v>14</v>
      </c>
      <c r="E60" s="195" t="s">
        <v>510</v>
      </c>
      <c r="F60" s="292">
        <v>3</v>
      </c>
      <c r="G60" s="67">
        <v>0.82599999999999996</v>
      </c>
      <c r="H60" s="196">
        <v>45412.712372685186</v>
      </c>
      <c r="I60" s="197">
        <v>0</v>
      </c>
      <c r="J60" s="252">
        <v>5</v>
      </c>
      <c r="K60" s="228"/>
      <c r="L60" s="245"/>
      <c r="M60" s="245"/>
      <c r="N60" s="245"/>
      <c r="O60" s="245"/>
      <c r="P60" s="245"/>
      <c r="Q60" s="245"/>
      <c r="S60" s="245"/>
      <c r="T60" s="245"/>
      <c r="U60" s="245"/>
    </row>
    <row r="61" spans="1:21">
      <c r="A61" s="195" t="s">
        <v>233</v>
      </c>
      <c r="B61" s="195" t="s">
        <v>224</v>
      </c>
      <c r="C61" s="192" t="s">
        <v>519</v>
      </c>
      <c r="D61" s="195" t="s">
        <v>14</v>
      </c>
      <c r="E61" s="195" t="s">
        <v>510</v>
      </c>
      <c r="F61" s="292">
        <v>3</v>
      </c>
      <c r="G61" s="67">
        <v>0.96099999999999997</v>
      </c>
      <c r="H61" s="196">
        <v>45412.712372685186</v>
      </c>
      <c r="I61" s="197">
        <v>0</v>
      </c>
      <c r="J61" s="252">
        <v>5</v>
      </c>
      <c r="K61" s="228"/>
      <c r="L61" s="245"/>
      <c r="M61" s="245"/>
      <c r="N61" s="245"/>
      <c r="O61" s="245"/>
      <c r="P61" s="245"/>
      <c r="Q61" s="245"/>
      <c r="S61" s="245"/>
      <c r="T61" s="245"/>
      <c r="U61" s="245"/>
    </row>
    <row r="62" spans="1:21">
      <c r="A62" s="195" t="s">
        <v>233</v>
      </c>
      <c r="B62" s="195" t="s">
        <v>224</v>
      </c>
      <c r="C62" s="192" t="s">
        <v>520</v>
      </c>
      <c r="D62" s="195" t="s">
        <v>14</v>
      </c>
      <c r="E62" s="195" t="s">
        <v>510</v>
      </c>
      <c r="F62" s="292">
        <v>3</v>
      </c>
      <c r="G62" s="67">
        <v>2.8650000000000002</v>
      </c>
      <c r="H62" s="196">
        <v>45412.712372685186</v>
      </c>
      <c r="I62" s="197">
        <v>0</v>
      </c>
      <c r="J62" s="252">
        <v>5</v>
      </c>
      <c r="K62" s="228"/>
      <c r="L62" s="245"/>
      <c r="M62" s="245"/>
      <c r="N62" s="245"/>
      <c r="O62" s="245"/>
      <c r="P62" s="245"/>
      <c r="Q62" s="245"/>
      <c r="S62" s="245"/>
      <c r="T62" s="245"/>
      <c r="U62" s="245"/>
    </row>
    <row r="63" spans="1:21">
      <c r="A63" s="192" t="s">
        <v>233</v>
      </c>
      <c r="B63" s="192" t="s">
        <v>224</v>
      </c>
      <c r="C63" s="192" t="s">
        <v>509</v>
      </c>
      <c r="D63" s="192">
        <v>6019635</v>
      </c>
      <c r="E63" s="192" t="s">
        <v>510</v>
      </c>
      <c r="F63" s="291">
        <v>1</v>
      </c>
      <c r="G63" s="67">
        <v>0.10199999999999999</v>
      </c>
      <c r="H63" s="198">
        <v>45412.50403935185</v>
      </c>
      <c r="I63" s="193">
        <v>0</v>
      </c>
      <c r="J63" s="227">
        <v>5</v>
      </c>
      <c r="K63" s="228"/>
      <c r="L63" s="245"/>
      <c r="M63" s="245"/>
      <c r="N63" s="245"/>
      <c r="O63" s="245"/>
      <c r="P63" s="245"/>
      <c r="Q63" s="245"/>
      <c r="S63" s="245"/>
      <c r="T63" s="245"/>
      <c r="U63" s="245"/>
    </row>
    <row r="64" spans="1:21">
      <c r="A64" s="192" t="s">
        <v>233</v>
      </c>
      <c r="B64" s="192" t="s">
        <v>224</v>
      </c>
      <c r="C64" s="192" t="s">
        <v>512</v>
      </c>
      <c r="D64" s="192">
        <v>6019635</v>
      </c>
      <c r="E64" s="192" t="s">
        <v>510</v>
      </c>
      <c r="F64" s="291">
        <v>1</v>
      </c>
      <c r="G64" s="67">
        <v>0.80600000000000005</v>
      </c>
      <c r="H64" s="198">
        <v>45412.504035069447</v>
      </c>
      <c r="I64" s="193">
        <v>0</v>
      </c>
      <c r="J64" s="227">
        <v>5</v>
      </c>
      <c r="K64" s="228"/>
      <c r="L64" s="245"/>
      <c r="M64" s="245"/>
      <c r="N64" s="245"/>
      <c r="O64" s="245"/>
      <c r="P64" s="245"/>
      <c r="Q64" s="245"/>
      <c r="S64" s="245"/>
      <c r="T64" s="245"/>
      <c r="U64" s="245"/>
    </row>
    <row r="65" spans="1:21">
      <c r="A65" s="192" t="s">
        <v>233</v>
      </c>
      <c r="B65" s="192" t="s">
        <v>224</v>
      </c>
      <c r="C65" s="192" t="s">
        <v>513</v>
      </c>
      <c r="D65" s="192">
        <v>6019635</v>
      </c>
      <c r="E65" s="192" t="s">
        <v>510</v>
      </c>
      <c r="F65" s="291">
        <v>1</v>
      </c>
      <c r="G65" s="67">
        <v>0.85699999999999998</v>
      </c>
      <c r="H65" s="198">
        <v>45412.504035069447</v>
      </c>
      <c r="I65" s="193">
        <v>0</v>
      </c>
      <c r="J65" s="227">
        <v>5</v>
      </c>
      <c r="K65" s="228"/>
      <c r="L65" s="245"/>
      <c r="M65" s="245"/>
      <c r="N65" s="245"/>
      <c r="O65" s="245"/>
      <c r="P65" s="245"/>
      <c r="Q65" s="245"/>
      <c r="S65" s="245"/>
      <c r="T65" s="245"/>
      <c r="U65" s="245"/>
    </row>
    <row r="66" spans="1:21">
      <c r="A66" s="192" t="s">
        <v>233</v>
      </c>
      <c r="B66" s="192" t="s">
        <v>224</v>
      </c>
      <c r="C66" s="192" t="s">
        <v>514</v>
      </c>
      <c r="D66" s="192">
        <v>6019635</v>
      </c>
      <c r="E66" s="192" t="s">
        <v>510</v>
      </c>
      <c r="F66" s="291">
        <v>1</v>
      </c>
      <c r="G66" s="67">
        <v>1.0780000000000001</v>
      </c>
      <c r="H66" s="198">
        <v>45412.50403935185</v>
      </c>
      <c r="I66" s="193">
        <v>0</v>
      </c>
      <c r="J66" s="227">
        <v>5</v>
      </c>
      <c r="K66" s="228"/>
      <c r="L66" s="245"/>
      <c r="M66" s="245"/>
      <c r="N66" s="245"/>
      <c r="O66" s="245"/>
      <c r="P66" s="245"/>
      <c r="Q66" s="245"/>
      <c r="S66" s="245"/>
      <c r="T66" s="245"/>
      <c r="U66" s="245"/>
    </row>
    <row r="67" spans="1:21">
      <c r="A67" s="192" t="s">
        <v>233</v>
      </c>
      <c r="B67" s="192" t="s">
        <v>224</v>
      </c>
      <c r="C67" s="192" t="s">
        <v>515</v>
      </c>
      <c r="D67" s="192">
        <v>6019635</v>
      </c>
      <c r="E67" s="192" t="s">
        <v>510</v>
      </c>
      <c r="F67" s="291">
        <v>1</v>
      </c>
      <c r="G67" s="67">
        <v>1.03</v>
      </c>
      <c r="H67" s="198">
        <v>45412.504035069447</v>
      </c>
      <c r="I67" s="193">
        <v>0</v>
      </c>
      <c r="J67" s="227">
        <v>5</v>
      </c>
      <c r="K67" s="228"/>
      <c r="L67" s="245"/>
      <c r="M67" s="245"/>
      <c r="N67" s="245"/>
      <c r="O67" s="245"/>
      <c r="P67" s="245"/>
      <c r="Q67" s="245"/>
      <c r="S67" s="245"/>
      <c r="T67" s="245"/>
      <c r="U67" s="245"/>
    </row>
    <row r="68" spans="1:21">
      <c r="A68" s="192" t="s">
        <v>233</v>
      </c>
      <c r="B68" s="192" t="s">
        <v>224</v>
      </c>
      <c r="C68" s="192" t="s">
        <v>516</v>
      </c>
      <c r="D68" s="192">
        <v>6019635</v>
      </c>
      <c r="E68" s="192" t="s">
        <v>510</v>
      </c>
      <c r="F68" s="291">
        <v>1</v>
      </c>
      <c r="G68" s="67">
        <v>1.1990000000000001</v>
      </c>
      <c r="H68" s="198">
        <v>45412.504035069447</v>
      </c>
      <c r="I68" s="193">
        <v>0</v>
      </c>
      <c r="J68" s="227">
        <v>5</v>
      </c>
      <c r="K68" s="228"/>
      <c r="L68" s="245"/>
      <c r="M68" s="245"/>
      <c r="N68" s="245"/>
      <c r="O68" s="245"/>
      <c r="P68" s="245"/>
      <c r="Q68" s="245"/>
      <c r="S68" s="245"/>
      <c r="T68" s="245"/>
      <c r="U68" s="245"/>
    </row>
    <row r="69" spans="1:21">
      <c r="A69" s="192" t="s">
        <v>233</v>
      </c>
      <c r="B69" s="192" t="s">
        <v>224</v>
      </c>
      <c r="C69" s="192" t="s">
        <v>517</v>
      </c>
      <c r="D69" s="192">
        <v>6019635</v>
      </c>
      <c r="E69" s="192" t="s">
        <v>510</v>
      </c>
      <c r="F69" s="291">
        <v>1</v>
      </c>
      <c r="G69" s="67">
        <v>0.88400000000000001</v>
      </c>
      <c r="H69" s="198">
        <v>45412.504035069447</v>
      </c>
      <c r="I69" s="193">
        <v>0</v>
      </c>
      <c r="J69" s="227">
        <v>5</v>
      </c>
      <c r="K69" s="228"/>
      <c r="L69" s="245"/>
      <c r="M69" s="245"/>
      <c r="N69" s="245"/>
      <c r="O69" s="245"/>
      <c r="P69" s="245"/>
      <c r="Q69" s="245"/>
      <c r="S69" s="245"/>
      <c r="T69" s="245"/>
      <c r="U69" s="245"/>
    </row>
    <row r="70" spans="1:21">
      <c r="A70" s="192" t="s">
        <v>233</v>
      </c>
      <c r="B70" s="192" t="s">
        <v>224</v>
      </c>
      <c r="C70" s="192" t="s">
        <v>518</v>
      </c>
      <c r="D70" s="192">
        <v>6019635</v>
      </c>
      <c r="E70" s="192" t="s">
        <v>510</v>
      </c>
      <c r="F70" s="291">
        <v>1</v>
      </c>
      <c r="G70" s="67">
        <v>1.0349999999999999</v>
      </c>
      <c r="H70" s="198">
        <v>45412.504035069447</v>
      </c>
      <c r="I70" s="193">
        <v>0</v>
      </c>
      <c r="J70" s="227">
        <v>5</v>
      </c>
      <c r="K70" s="228"/>
      <c r="L70" s="245"/>
      <c r="M70" s="245"/>
      <c r="N70" s="245"/>
      <c r="O70" s="245"/>
      <c r="P70" s="245"/>
      <c r="Q70" s="245"/>
      <c r="S70" s="245"/>
      <c r="T70" s="245"/>
      <c r="U70" s="245"/>
    </row>
    <row r="71" spans="1:21">
      <c r="A71" s="192" t="s">
        <v>233</v>
      </c>
      <c r="B71" s="192" t="s">
        <v>224</v>
      </c>
      <c r="C71" s="192" t="s">
        <v>519</v>
      </c>
      <c r="D71" s="192">
        <v>6019635</v>
      </c>
      <c r="E71" s="192" t="s">
        <v>510</v>
      </c>
      <c r="F71" s="291">
        <v>1</v>
      </c>
      <c r="G71" s="67">
        <v>0.93700000000000006</v>
      </c>
      <c r="H71" s="198">
        <v>45412.50403935185</v>
      </c>
      <c r="I71" s="193">
        <v>0</v>
      </c>
      <c r="J71" s="227">
        <v>5</v>
      </c>
      <c r="K71" s="228"/>
      <c r="L71" s="245"/>
      <c r="M71" s="245"/>
      <c r="N71" s="245"/>
      <c r="O71" s="245"/>
      <c r="P71" s="245"/>
      <c r="Q71" s="245"/>
      <c r="S71" s="245"/>
      <c r="T71" s="245"/>
      <c r="U71" s="245"/>
    </row>
    <row r="72" spans="1:21">
      <c r="A72" s="192" t="s">
        <v>233</v>
      </c>
      <c r="B72" s="192" t="s">
        <v>224</v>
      </c>
      <c r="C72" s="192" t="s">
        <v>520</v>
      </c>
      <c r="D72" s="192">
        <v>6019635</v>
      </c>
      <c r="E72" s="192" t="s">
        <v>510</v>
      </c>
      <c r="F72" s="291">
        <v>1</v>
      </c>
      <c r="G72" s="67">
        <v>2.8239999999999998</v>
      </c>
      <c r="H72" s="198">
        <v>45412.50403935185</v>
      </c>
      <c r="I72" s="193">
        <v>0</v>
      </c>
      <c r="J72" s="227">
        <v>5</v>
      </c>
      <c r="K72" s="228"/>
      <c r="L72" s="245"/>
      <c r="M72" s="245"/>
      <c r="N72" s="245"/>
      <c r="O72" s="245"/>
      <c r="P72" s="245"/>
      <c r="Q72" s="245"/>
      <c r="S72" s="245"/>
      <c r="T72" s="245"/>
      <c r="U72" s="245"/>
    </row>
    <row r="73" spans="1:21">
      <c r="A73" s="192" t="s">
        <v>233</v>
      </c>
      <c r="B73" s="192" t="s">
        <v>224</v>
      </c>
      <c r="C73" s="192" t="s">
        <v>509</v>
      </c>
      <c r="D73" s="192">
        <v>6019635</v>
      </c>
      <c r="E73" s="192" t="s">
        <v>510</v>
      </c>
      <c r="F73" s="291">
        <v>2</v>
      </c>
      <c r="G73" s="67">
        <v>0.106</v>
      </c>
      <c r="H73" s="196">
        <v>45412.62903935185</v>
      </c>
      <c r="I73" s="193">
        <v>0</v>
      </c>
      <c r="J73" s="227">
        <v>5</v>
      </c>
      <c r="K73" s="228"/>
      <c r="L73" s="245"/>
      <c r="M73" s="245"/>
      <c r="N73" s="245"/>
      <c r="O73" s="245"/>
      <c r="P73" s="245"/>
      <c r="Q73" s="245"/>
      <c r="S73" s="245"/>
      <c r="T73" s="245"/>
      <c r="U73" s="245"/>
    </row>
    <row r="74" spans="1:21">
      <c r="A74" s="192" t="s">
        <v>233</v>
      </c>
      <c r="B74" s="192" t="s">
        <v>224</v>
      </c>
      <c r="C74" s="192" t="s">
        <v>512</v>
      </c>
      <c r="D74" s="192">
        <v>6019635</v>
      </c>
      <c r="E74" s="192" t="s">
        <v>510</v>
      </c>
      <c r="F74" s="291">
        <v>2</v>
      </c>
      <c r="G74" s="67">
        <v>0.86899999999999999</v>
      </c>
      <c r="H74" s="196">
        <v>45412.62903935185</v>
      </c>
      <c r="I74" s="193">
        <v>0</v>
      </c>
      <c r="J74" s="227">
        <v>5</v>
      </c>
      <c r="K74" s="228"/>
      <c r="L74" s="245"/>
      <c r="M74" s="245"/>
      <c r="N74" s="245"/>
      <c r="O74" s="245"/>
      <c r="P74" s="245"/>
      <c r="Q74" s="245"/>
      <c r="S74" s="245"/>
      <c r="T74" s="245"/>
      <c r="U74" s="245"/>
    </row>
    <row r="75" spans="1:21">
      <c r="A75" s="192" t="s">
        <v>233</v>
      </c>
      <c r="B75" s="192" t="s">
        <v>224</v>
      </c>
      <c r="C75" s="192" t="s">
        <v>513</v>
      </c>
      <c r="D75" s="192">
        <v>6019635</v>
      </c>
      <c r="E75" s="192" t="s">
        <v>510</v>
      </c>
      <c r="F75" s="291">
        <v>2</v>
      </c>
      <c r="G75" s="67">
        <v>0.83199999999999996</v>
      </c>
      <c r="H75" s="196">
        <v>45412.62903935185</v>
      </c>
      <c r="I75" s="193">
        <v>0</v>
      </c>
      <c r="J75" s="227">
        <v>5</v>
      </c>
      <c r="K75" s="228"/>
      <c r="L75" s="245"/>
      <c r="M75" s="245"/>
      <c r="N75" s="245"/>
      <c r="O75" s="245"/>
      <c r="P75" s="245"/>
      <c r="Q75" s="245"/>
      <c r="S75" s="245"/>
      <c r="T75" s="245"/>
      <c r="U75" s="245"/>
    </row>
    <row r="76" spans="1:21">
      <c r="A76" s="192" t="s">
        <v>233</v>
      </c>
      <c r="B76" s="192" t="s">
        <v>224</v>
      </c>
      <c r="C76" s="192" t="s">
        <v>514</v>
      </c>
      <c r="D76" s="192">
        <v>6019635</v>
      </c>
      <c r="E76" s="192" t="s">
        <v>510</v>
      </c>
      <c r="F76" s="291">
        <v>2</v>
      </c>
      <c r="G76" s="67">
        <v>1.1870000000000001</v>
      </c>
      <c r="H76" s="196">
        <v>45412.62903935185</v>
      </c>
      <c r="I76" s="193">
        <v>0</v>
      </c>
      <c r="J76" s="227">
        <v>5</v>
      </c>
      <c r="K76" s="228"/>
      <c r="L76" s="245"/>
      <c r="M76" s="245"/>
      <c r="N76" s="245"/>
      <c r="O76" s="245"/>
      <c r="P76" s="245"/>
      <c r="Q76" s="245"/>
      <c r="S76" s="245"/>
      <c r="T76" s="245"/>
      <c r="U76" s="245"/>
    </row>
    <row r="77" spans="1:21">
      <c r="A77" s="192" t="s">
        <v>233</v>
      </c>
      <c r="B77" s="192" t="s">
        <v>224</v>
      </c>
      <c r="C77" s="192" t="s">
        <v>515</v>
      </c>
      <c r="D77" s="192">
        <v>6019635</v>
      </c>
      <c r="E77" s="192" t="s">
        <v>510</v>
      </c>
      <c r="F77" s="291">
        <v>2</v>
      </c>
      <c r="G77" s="67">
        <v>1.077</v>
      </c>
      <c r="H77" s="196">
        <v>45412.62903935185</v>
      </c>
      <c r="I77" s="193">
        <v>0</v>
      </c>
      <c r="J77" s="227">
        <v>5</v>
      </c>
      <c r="K77" s="228"/>
      <c r="L77" s="245"/>
      <c r="M77" s="245"/>
      <c r="N77" s="245"/>
      <c r="O77" s="245"/>
      <c r="P77" s="245"/>
      <c r="Q77" s="245"/>
      <c r="S77" s="245"/>
      <c r="T77" s="245"/>
      <c r="U77" s="245"/>
    </row>
    <row r="78" spans="1:21">
      <c r="A78" s="192" t="s">
        <v>233</v>
      </c>
      <c r="B78" s="192" t="s">
        <v>224</v>
      </c>
      <c r="C78" s="192" t="s">
        <v>516</v>
      </c>
      <c r="D78" s="192">
        <v>6019635</v>
      </c>
      <c r="E78" s="192" t="s">
        <v>510</v>
      </c>
      <c r="F78" s="291">
        <v>2</v>
      </c>
      <c r="G78" s="67">
        <v>1.054</v>
      </c>
      <c r="H78" s="196">
        <v>45412.62903935185</v>
      </c>
      <c r="I78" s="193">
        <v>0</v>
      </c>
      <c r="J78" s="227">
        <v>5</v>
      </c>
      <c r="K78" s="228"/>
      <c r="L78" s="245"/>
      <c r="M78" s="245"/>
      <c r="N78" s="245"/>
      <c r="O78" s="245"/>
      <c r="P78" s="245"/>
      <c r="Q78" s="245"/>
      <c r="S78" s="245"/>
      <c r="T78" s="245"/>
      <c r="U78" s="245"/>
    </row>
    <row r="79" spans="1:21">
      <c r="A79" s="192" t="s">
        <v>233</v>
      </c>
      <c r="B79" s="192" t="s">
        <v>224</v>
      </c>
      <c r="C79" s="192" t="s">
        <v>517</v>
      </c>
      <c r="D79" s="192">
        <v>6019635</v>
      </c>
      <c r="E79" s="192" t="s">
        <v>510</v>
      </c>
      <c r="F79" s="291">
        <v>2</v>
      </c>
      <c r="G79" s="67">
        <v>1.131</v>
      </c>
      <c r="H79" s="196">
        <v>45412.62903935185</v>
      </c>
      <c r="I79" s="193">
        <v>0</v>
      </c>
      <c r="J79" s="227">
        <v>5</v>
      </c>
      <c r="K79" s="228"/>
      <c r="L79" s="245"/>
      <c r="M79" s="245"/>
      <c r="N79" s="245"/>
      <c r="O79" s="245"/>
      <c r="P79" s="245"/>
      <c r="Q79" s="245"/>
      <c r="S79" s="245"/>
      <c r="T79" s="245"/>
      <c r="U79" s="245"/>
    </row>
    <row r="80" spans="1:21">
      <c r="A80" s="192" t="s">
        <v>233</v>
      </c>
      <c r="B80" s="192" t="s">
        <v>224</v>
      </c>
      <c r="C80" s="192" t="s">
        <v>518</v>
      </c>
      <c r="D80" s="192">
        <v>6019635</v>
      </c>
      <c r="E80" s="192" t="s">
        <v>510</v>
      </c>
      <c r="F80" s="291">
        <v>2</v>
      </c>
      <c r="G80" s="67">
        <v>1.0189999999999999</v>
      </c>
      <c r="H80" s="196">
        <v>45412.62903935185</v>
      </c>
      <c r="I80" s="193">
        <v>0</v>
      </c>
      <c r="J80" s="227">
        <v>5</v>
      </c>
      <c r="K80" s="228"/>
      <c r="L80" s="245"/>
      <c r="M80" s="245"/>
      <c r="N80" s="245"/>
      <c r="O80" s="245"/>
      <c r="P80" s="245"/>
      <c r="Q80" s="245"/>
      <c r="S80" s="245"/>
      <c r="T80" s="245"/>
      <c r="U80" s="245"/>
    </row>
    <row r="81" spans="1:21">
      <c r="A81" s="192" t="s">
        <v>233</v>
      </c>
      <c r="B81" s="192" t="s">
        <v>224</v>
      </c>
      <c r="C81" s="192" t="s">
        <v>519</v>
      </c>
      <c r="D81" s="192">
        <v>6019635</v>
      </c>
      <c r="E81" s="192" t="s">
        <v>510</v>
      </c>
      <c r="F81" s="291">
        <v>2</v>
      </c>
      <c r="G81" s="67">
        <v>0.92500000000000004</v>
      </c>
      <c r="H81" s="196">
        <v>45412.62903935185</v>
      </c>
      <c r="I81" s="193">
        <v>0</v>
      </c>
      <c r="J81" s="227">
        <v>5</v>
      </c>
      <c r="K81" s="228"/>
      <c r="L81" s="245"/>
      <c r="M81" s="245"/>
      <c r="N81" s="245"/>
      <c r="O81" s="245"/>
      <c r="P81" s="245"/>
      <c r="Q81" s="245"/>
      <c r="S81" s="245"/>
      <c r="T81" s="245"/>
      <c r="U81" s="245"/>
    </row>
    <row r="82" spans="1:21">
      <c r="A82" s="192" t="s">
        <v>233</v>
      </c>
      <c r="B82" s="192" t="s">
        <v>224</v>
      </c>
      <c r="C82" s="192" t="s">
        <v>520</v>
      </c>
      <c r="D82" s="192">
        <v>6019635</v>
      </c>
      <c r="E82" s="192" t="s">
        <v>510</v>
      </c>
      <c r="F82" s="291">
        <v>2</v>
      </c>
      <c r="G82" s="67">
        <v>2.9780000000000002</v>
      </c>
      <c r="H82" s="196">
        <v>45412.62903935185</v>
      </c>
      <c r="I82" s="193">
        <v>0</v>
      </c>
      <c r="J82" s="227">
        <v>5</v>
      </c>
      <c r="K82" s="228"/>
      <c r="L82" s="245"/>
      <c r="M82" s="245"/>
      <c r="N82" s="245"/>
      <c r="O82" s="245"/>
      <c r="P82" s="245"/>
      <c r="Q82" s="245"/>
      <c r="S82" s="245"/>
      <c r="T82" s="245"/>
      <c r="U82" s="245"/>
    </row>
    <row r="83" spans="1:21">
      <c r="A83" s="192" t="s">
        <v>233</v>
      </c>
      <c r="B83" s="192" t="s">
        <v>224</v>
      </c>
      <c r="C83" s="192" t="s">
        <v>509</v>
      </c>
      <c r="D83" s="192">
        <v>6019635</v>
      </c>
      <c r="E83" s="192" t="s">
        <v>510</v>
      </c>
      <c r="F83" s="291">
        <v>3</v>
      </c>
      <c r="G83" s="67">
        <v>0.113</v>
      </c>
      <c r="H83" s="198">
        <v>45412.712372685186</v>
      </c>
      <c r="I83" s="193">
        <v>0</v>
      </c>
      <c r="J83" s="227">
        <v>5</v>
      </c>
      <c r="K83" s="228"/>
      <c r="L83" s="245"/>
      <c r="M83" s="245"/>
      <c r="N83" s="245"/>
      <c r="O83" s="245"/>
      <c r="P83" s="245"/>
      <c r="Q83" s="245"/>
      <c r="S83" s="245"/>
      <c r="T83" s="245"/>
      <c r="U83" s="245"/>
    </row>
    <row r="84" spans="1:21">
      <c r="A84" s="192" t="s">
        <v>233</v>
      </c>
      <c r="B84" s="192" t="s">
        <v>224</v>
      </c>
      <c r="C84" s="192" t="s">
        <v>512</v>
      </c>
      <c r="D84" s="192">
        <v>6019635</v>
      </c>
      <c r="E84" s="192" t="s">
        <v>510</v>
      </c>
      <c r="F84" s="291">
        <v>3</v>
      </c>
      <c r="G84" s="67">
        <v>0.90700000000000003</v>
      </c>
      <c r="H84" s="198">
        <v>45412.712372685186</v>
      </c>
      <c r="I84" s="193">
        <v>0</v>
      </c>
      <c r="J84" s="227">
        <v>5</v>
      </c>
      <c r="K84" s="228"/>
      <c r="L84" s="245"/>
      <c r="M84" s="245"/>
      <c r="N84" s="245"/>
      <c r="O84" s="245"/>
      <c r="P84" s="245"/>
      <c r="Q84" s="245"/>
      <c r="S84" s="245"/>
      <c r="T84" s="245"/>
      <c r="U84" s="245"/>
    </row>
    <row r="85" spans="1:21">
      <c r="A85" s="192" t="s">
        <v>233</v>
      </c>
      <c r="B85" s="192" t="s">
        <v>224</v>
      </c>
      <c r="C85" s="192" t="s">
        <v>513</v>
      </c>
      <c r="D85" s="192">
        <v>6019635</v>
      </c>
      <c r="E85" s="192" t="s">
        <v>510</v>
      </c>
      <c r="F85" s="291">
        <v>3</v>
      </c>
      <c r="G85" s="67">
        <v>0.82899999999999996</v>
      </c>
      <c r="H85" s="198">
        <v>45412.712372685186</v>
      </c>
      <c r="I85" s="193">
        <v>0</v>
      </c>
      <c r="J85" s="227">
        <v>5</v>
      </c>
      <c r="K85" s="228"/>
      <c r="L85" s="245"/>
      <c r="M85" s="245"/>
      <c r="N85" s="245"/>
      <c r="O85" s="245"/>
      <c r="P85" s="245"/>
      <c r="Q85" s="245"/>
      <c r="S85" s="245"/>
      <c r="T85" s="245"/>
      <c r="U85" s="245"/>
    </row>
    <row r="86" spans="1:21">
      <c r="A86" s="192" t="s">
        <v>233</v>
      </c>
      <c r="B86" s="192" t="s">
        <v>224</v>
      </c>
      <c r="C86" s="192" t="s">
        <v>514</v>
      </c>
      <c r="D86" s="192">
        <v>6019635</v>
      </c>
      <c r="E86" s="192" t="s">
        <v>510</v>
      </c>
      <c r="F86" s="291">
        <v>3</v>
      </c>
      <c r="G86" s="67">
        <v>1.1870000000000001</v>
      </c>
      <c r="H86" s="198">
        <v>45412.712372685186</v>
      </c>
      <c r="I86" s="193">
        <v>0</v>
      </c>
      <c r="J86" s="227">
        <v>5</v>
      </c>
      <c r="K86" s="228"/>
      <c r="L86" s="245"/>
      <c r="M86" s="245"/>
      <c r="N86" s="245"/>
      <c r="O86" s="245"/>
      <c r="P86" s="245"/>
      <c r="Q86" s="245"/>
      <c r="S86" s="245"/>
      <c r="T86" s="245"/>
      <c r="U86" s="245"/>
    </row>
    <row r="87" spans="1:21">
      <c r="A87" s="192" t="s">
        <v>233</v>
      </c>
      <c r="B87" s="192" t="s">
        <v>224</v>
      </c>
      <c r="C87" s="192" t="s">
        <v>515</v>
      </c>
      <c r="D87" s="192">
        <v>6019635</v>
      </c>
      <c r="E87" s="192" t="s">
        <v>510</v>
      </c>
      <c r="F87" s="291">
        <v>3</v>
      </c>
      <c r="G87" s="67">
        <v>1.0900000000000001</v>
      </c>
      <c r="H87" s="198">
        <v>45412.712372685186</v>
      </c>
      <c r="I87" s="193">
        <v>0</v>
      </c>
      <c r="J87" s="227">
        <v>5</v>
      </c>
      <c r="K87" s="228"/>
      <c r="L87" s="245"/>
      <c r="M87" s="245"/>
      <c r="N87" s="245"/>
      <c r="O87" s="245"/>
      <c r="P87" s="245"/>
      <c r="Q87" s="245"/>
      <c r="S87" s="245"/>
      <c r="T87" s="245"/>
      <c r="U87" s="245"/>
    </row>
    <row r="88" spans="1:21">
      <c r="A88" s="192" t="s">
        <v>233</v>
      </c>
      <c r="B88" s="192" t="s">
        <v>224</v>
      </c>
      <c r="C88" s="192" t="s">
        <v>516</v>
      </c>
      <c r="D88" s="192">
        <v>6019635</v>
      </c>
      <c r="E88" s="192" t="s">
        <v>510</v>
      </c>
      <c r="F88" s="291">
        <v>3</v>
      </c>
      <c r="G88" s="67">
        <v>1.125</v>
      </c>
      <c r="H88" s="198">
        <v>45412.712372685186</v>
      </c>
      <c r="I88" s="193">
        <v>0</v>
      </c>
      <c r="J88" s="227">
        <v>5</v>
      </c>
      <c r="K88" s="228"/>
      <c r="L88" s="245"/>
      <c r="M88" s="245"/>
      <c r="N88" s="245"/>
      <c r="O88" s="245"/>
      <c r="P88" s="245"/>
      <c r="Q88" s="245"/>
      <c r="S88" s="245"/>
      <c r="T88" s="245"/>
      <c r="U88" s="245"/>
    </row>
    <row r="89" spans="1:21">
      <c r="A89" s="192" t="s">
        <v>233</v>
      </c>
      <c r="B89" s="192" t="s">
        <v>224</v>
      </c>
      <c r="C89" s="192" t="s">
        <v>517</v>
      </c>
      <c r="D89" s="192">
        <v>6019635</v>
      </c>
      <c r="E89" s="192" t="s">
        <v>510</v>
      </c>
      <c r="F89" s="291">
        <v>3</v>
      </c>
      <c r="G89" s="67">
        <v>1.004</v>
      </c>
      <c r="H89" s="198">
        <v>45412.712372685186</v>
      </c>
      <c r="I89" s="193">
        <v>0</v>
      </c>
      <c r="J89" s="227">
        <v>5</v>
      </c>
      <c r="K89" s="228"/>
      <c r="L89" s="245"/>
      <c r="M89" s="245"/>
      <c r="N89" s="245"/>
      <c r="O89" s="245"/>
      <c r="P89" s="245"/>
      <c r="Q89" s="245"/>
      <c r="S89" s="245"/>
      <c r="T89" s="245"/>
      <c r="U89" s="245"/>
    </row>
    <row r="90" spans="1:21">
      <c r="A90" s="192" t="s">
        <v>233</v>
      </c>
      <c r="B90" s="192" t="s">
        <v>224</v>
      </c>
      <c r="C90" s="192" t="s">
        <v>518</v>
      </c>
      <c r="D90" s="192">
        <v>6019635</v>
      </c>
      <c r="E90" s="192" t="s">
        <v>510</v>
      </c>
      <c r="F90" s="291">
        <v>3</v>
      </c>
      <c r="G90" s="216">
        <v>1</v>
      </c>
      <c r="H90" s="198">
        <v>45412.712372685186</v>
      </c>
      <c r="I90" s="193">
        <v>0</v>
      </c>
      <c r="J90" s="227">
        <v>5</v>
      </c>
      <c r="K90" s="228"/>
      <c r="L90" s="245"/>
      <c r="M90" s="245"/>
      <c r="N90" s="245"/>
      <c r="O90" s="245"/>
      <c r="P90" s="245"/>
      <c r="Q90" s="245"/>
      <c r="S90" s="245"/>
      <c r="T90" s="245"/>
      <c r="U90" s="245"/>
    </row>
    <row r="91" spans="1:21">
      <c r="A91" s="192" t="s">
        <v>233</v>
      </c>
      <c r="B91" s="192" t="s">
        <v>224</v>
      </c>
      <c r="C91" s="192" t="s">
        <v>519</v>
      </c>
      <c r="D91" s="192">
        <v>6019635</v>
      </c>
      <c r="E91" s="192" t="s">
        <v>510</v>
      </c>
      <c r="F91" s="291">
        <v>3</v>
      </c>
      <c r="G91" s="67">
        <v>0.98899999999999999</v>
      </c>
      <c r="H91" s="198">
        <v>45412.712372685186</v>
      </c>
      <c r="I91" s="193">
        <v>0</v>
      </c>
      <c r="J91" s="227">
        <v>5</v>
      </c>
      <c r="K91" s="228"/>
      <c r="L91" s="245"/>
      <c r="M91" s="245"/>
      <c r="N91" s="245"/>
      <c r="O91" s="245"/>
      <c r="P91" s="245"/>
      <c r="Q91" s="245"/>
      <c r="S91" s="245"/>
      <c r="T91" s="245"/>
      <c r="U91" s="245"/>
    </row>
    <row r="92" spans="1:21">
      <c r="A92" s="192" t="s">
        <v>233</v>
      </c>
      <c r="B92" s="192" t="s">
        <v>224</v>
      </c>
      <c r="C92" s="192" t="s">
        <v>520</v>
      </c>
      <c r="D92" s="192">
        <v>6019635</v>
      </c>
      <c r="E92" s="192" t="s">
        <v>510</v>
      </c>
      <c r="F92" s="291">
        <v>3</v>
      </c>
      <c r="G92" s="67">
        <v>2.9529999999999998</v>
      </c>
      <c r="H92" s="198">
        <v>45412.712372685186</v>
      </c>
      <c r="I92" s="193">
        <v>0</v>
      </c>
      <c r="J92" s="227">
        <v>5</v>
      </c>
      <c r="K92" s="228"/>
      <c r="L92" s="245"/>
      <c r="M92" s="245"/>
      <c r="N92" s="245"/>
      <c r="O92" s="245"/>
      <c r="P92" s="245"/>
      <c r="Q92" s="245"/>
      <c r="S92" s="245"/>
      <c r="T92" s="245"/>
      <c r="U92" s="245"/>
    </row>
    <row r="93" spans="1:21">
      <c r="A93" s="200" t="s">
        <v>234</v>
      </c>
      <c r="B93" s="200" t="s">
        <v>235</v>
      </c>
      <c r="C93" s="200" t="s">
        <v>236</v>
      </c>
      <c r="D93" s="200">
        <v>1</v>
      </c>
      <c r="E93" s="200" t="s">
        <v>237</v>
      </c>
      <c r="F93" s="200"/>
      <c r="G93" s="200">
        <v>0.17860000000000001</v>
      </c>
      <c r="H93" s="201">
        <v>45415.354155092595</v>
      </c>
      <c r="I93" s="210">
        <v>0</v>
      </c>
      <c r="J93" s="247">
        <v>5</v>
      </c>
      <c r="K93" s="228"/>
      <c r="L93" s="245"/>
      <c r="M93" s="245"/>
      <c r="N93" s="245"/>
      <c r="O93" s="245"/>
      <c r="P93" s="245"/>
      <c r="Q93" s="245"/>
      <c r="S93" s="245"/>
      <c r="T93" s="245"/>
      <c r="U93" s="245"/>
    </row>
    <row r="94" spans="1:21">
      <c r="A94" s="200" t="s">
        <v>234</v>
      </c>
      <c r="B94" s="200" t="s">
        <v>235</v>
      </c>
      <c r="C94" s="200" t="s">
        <v>236</v>
      </c>
      <c r="D94" s="200">
        <v>1</v>
      </c>
      <c r="E94" s="200" t="s">
        <v>237</v>
      </c>
      <c r="F94" s="200"/>
      <c r="G94" s="200">
        <v>0.27860000000000001</v>
      </c>
      <c r="H94" s="201">
        <v>45415.395821759259</v>
      </c>
      <c r="I94" s="210">
        <v>0</v>
      </c>
      <c r="J94" s="247">
        <v>5</v>
      </c>
      <c r="K94" s="228"/>
      <c r="L94" s="245"/>
      <c r="M94" s="245"/>
      <c r="N94" s="245"/>
      <c r="O94" s="245"/>
      <c r="P94" s="245"/>
      <c r="Q94" s="245"/>
      <c r="S94" s="245"/>
      <c r="T94" s="245"/>
      <c r="U94" s="245"/>
    </row>
    <row r="95" spans="1:21">
      <c r="A95" s="200" t="s">
        <v>234</v>
      </c>
      <c r="B95" s="200" t="s">
        <v>235</v>
      </c>
      <c r="C95" s="200" t="s">
        <v>236</v>
      </c>
      <c r="D95" s="200">
        <v>1</v>
      </c>
      <c r="E95" s="200" t="s">
        <v>237</v>
      </c>
      <c r="F95" s="200"/>
      <c r="G95" s="200">
        <v>0.37859999999999999</v>
      </c>
      <c r="H95" s="201">
        <v>45415.437488425923</v>
      </c>
      <c r="I95" s="210">
        <v>0</v>
      </c>
      <c r="J95" s="247">
        <v>5</v>
      </c>
      <c r="K95" s="228"/>
      <c r="L95" s="245"/>
      <c r="M95" s="245"/>
      <c r="N95" s="245"/>
      <c r="O95" s="245"/>
      <c r="P95" s="245"/>
      <c r="Q95" s="245"/>
      <c r="S95" s="245"/>
      <c r="T95" s="245"/>
      <c r="U95" s="245"/>
    </row>
    <row r="96" spans="1:21">
      <c r="A96" s="202" t="s">
        <v>234</v>
      </c>
      <c r="B96" s="202" t="s">
        <v>246</v>
      </c>
      <c r="C96" s="202" t="s">
        <v>225</v>
      </c>
      <c r="D96" s="202">
        <v>2</v>
      </c>
      <c r="E96" s="202" t="s">
        <v>237</v>
      </c>
      <c r="F96" s="202"/>
      <c r="G96" s="202">
        <v>0.17860000000000001</v>
      </c>
      <c r="H96" s="203">
        <v>45415.354155092595</v>
      </c>
      <c r="I96" s="211">
        <v>0</v>
      </c>
      <c r="J96" s="248">
        <v>5</v>
      </c>
      <c r="K96" s="228"/>
      <c r="L96" s="245"/>
      <c r="M96" s="245"/>
      <c r="N96" s="245"/>
      <c r="O96" s="245"/>
      <c r="P96" s="245"/>
      <c r="Q96" s="245"/>
      <c r="S96" s="245"/>
      <c r="T96" s="245"/>
      <c r="U96" s="245"/>
    </row>
    <row r="97" spans="1:21">
      <c r="A97" s="202" t="s">
        <v>234</v>
      </c>
      <c r="B97" s="202" t="s">
        <v>246</v>
      </c>
      <c r="C97" s="202" t="s">
        <v>225</v>
      </c>
      <c r="D97" s="202">
        <v>2</v>
      </c>
      <c r="E97" s="202" t="s">
        <v>237</v>
      </c>
      <c r="F97" s="202"/>
      <c r="G97" s="202">
        <v>0.27860000000000001</v>
      </c>
      <c r="H97" s="203">
        <v>45415.395821759259</v>
      </c>
      <c r="I97" s="211">
        <v>0</v>
      </c>
      <c r="J97" s="248">
        <v>5</v>
      </c>
      <c r="K97" s="228"/>
      <c r="L97" s="245"/>
      <c r="M97" s="245"/>
      <c r="N97" s="245"/>
      <c r="O97" s="245"/>
      <c r="P97" s="245"/>
      <c r="Q97" s="245"/>
      <c r="S97" s="245"/>
      <c r="T97" s="245"/>
      <c r="U97" s="245"/>
    </row>
    <row r="98" spans="1:21">
      <c r="A98" s="202" t="s">
        <v>234</v>
      </c>
      <c r="B98" s="202" t="s">
        <v>246</v>
      </c>
      <c r="C98" s="202" t="s">
        <v>225</v>
      </c>
      <c r="D98" s="202">
        <v>2</v>
      </c>
      <c r="E98" s="202" t="s">
        <v>237</v>
      </c>
      <c r="F98" s="202"/>
      <c r="G98" s="202">
        <v>0.37859999999999999</v>
      </c>
      <c r="H98" s="203">
        <v>45415.437488425923</v>
      </c>
      <c r="I98" s="211">
        <v>0</v>
      </c>
      <c r="J98" s="248">
        <v>5</v>
      </c>
      <c r="K98" s="228"/>
      <c r="L98" s="245"/>
      <c r="M98" s="245"/>
      <c r="N98" s="245"/>
      <c r="O98" s="245"/>
      <c r="P98" s="245"/>
      <c r="Q98" s="245"/>
      <c r="S98" s="245"/>
      <c r="T98" s="245"/>
      <c r="U98" s="245"/>
    </row>
    <row r="99" spans="1:21">
      <c r="A99" s="200" t="s">
        <v>234</v>
      </c>
      <c r="B99" s="200" t="s">
        <v>246</v>
      </c>
      <c r="C99" s="200" t="s">
        <v>225</v>
      </c>
      <c r="D99" s="200">
        <v>3</v>
      </c>
      <c r="E99" s="200" t="s">
        <v>237</v>
      </c>
      <c r="F99" s="200"/>
      <c r="G99" s="200">
        <v>0.17860000000000001</v>
      </c>
      <c r="H99" s="201">
        <v>45415.354155092595</v>
      </c>
      <c r="I99" s="210">
        <v>0</v>
      </c>
      <c r="J99" s="247">
        <v>5</v>
      </c>
      <c r="K99" s="228"/>
      <c r="L99" s="245"/>
      <c r="M99" s="245"/>
      <c r="N99" s="245"/>
      <c r="O99" s="245"/>
      <c r="P99" s="245"/>
      <c r="Q99" s="245"/>
      <c r="S99" s="245"/>
      <c r="T99" s="245"/>
      <c r="U99" s="245"/>
    </row>
    <row r="100" spans="1:21">
      <c r="A100" s="200" t="s">
        <v>234</v>
      </c>
      <c r="B100" s="200" t="s">
        <v>246</v>
      </c>
      <c r="C100" s="200" t="s">
        <v>225</v>
      </c>
      <c r="D100" s="200">
        <v>3</v>
      </c>
      <c r="E100" s="200" t="s">
        <v>237</v>
      </c>
      <c r="F100" s="200"/>
      <c r="G100" s="200">
        <v>0.27860000000000001</v>
      </c>
      <c r="H100" s="201">
        <v>45415.395821759259</v>
      </c>
      <c r="I100" s="210">
        <v>0</v>
      </c>
      <c r="J100" s="247">
        <v>5</v>
      </c>
      <c r="K100" s="228"/>
      <c r="L100" s="245"/>
      <c r="M100" s="245"/>
      <c r="N100" s="245"/>
      <c r="O100" s="245"/>
      <c r="P100" s="245"/>
      <c r="Q100" s="245"/>
      <c r="S100" s="245"/>
      <c r="T100" s="245"/>
      <c r="U100" s="245"/>
    </row>
    <row r="101" spans="1:21">
      <c r="A101" s="200" t="s">
        <v>234</v>
      </c>
      <c r="B101" s="200" t="s">
        <v>246</v>
      </c>
      <c r="C101" s="200" t="s">
        <v>225</v>
      </c>
      <c r="D101" s="200">
        <v>3</v>
      </c>
      <c r="E101" s="200" t="s">
        <v>237</v>
      </c>
      <c r="F101" s="200"/>
      <c r="G101" s="200">
        <v>0.37859999999999999</v>
      </c>
      <c r="H101" s="201">
        <v>45415.437488425923</v>
      </c>
      <c r="I101" s="210">
        <v>0</v>
      </c>
      <c r="J101" s="247">
        <v>5</v>
      </c>
      <c r="K101" s="228"/>
      <c r="L101" s="245"/>
      <c r="M101" s="245"/>
      <c r="N101" s="245"/>
      <c r="O101" s="245"/>
      <c r="P101" s="245"/>
      <c r="Q101" s="245"/>
      <c r="S101" s="245"/>
      <c r="T101" s="245"/>
      <c r="U101" s="245"/>
    </row>
    <row r="102" spans="1:21">
      <c r="A102" s="204" t="s">
        <v>238</v>
      </c>
      <c r="B102" s="204" t="s">
        <v>245</v>
      </c>
      <c r="C102" s="204" t="s">
        <v>247</v>
      </c>
      <c r="D102" s="204">
        <v>1</v>
      </c>
      <c r="E102" s="204" t="s">
        <v>239</v>
      </c>
      <c r="F102" s="204"/>
      <c r="G102" s="204">
        <v>-0.38539111999999998</v>
      </c>
      <c r="H102" s="205">
        <v>45404.645053819448</v>
      </c>
      <c r="I102" s="206">
        <v>-0.7</v>
      </c>
      <c r="J102" s="249">
        <v>-0.3</v>
      </c>
      <c r="K102" s="250"/>
      <c r="L102" s="222"/>
      <c r="M102" s="222"/>
      <c r="N102" s="222"/>
      <c r="O102" s="222"/>
      <c r="P102" s="222"/>
      <c r="Q102" s="222"/>
      <c r="S102" s="222"/>
      <c r="T102" s="222"/>
      <c r="U102" s="222"/>
    </row>
    <row r="103" spans="1:21">
      <c r="A103" s="204" t="s">
        <v>238</v>
      </c>
      <c r="B103" s="204" t="s">
        <v>245</v>
      </c>
      <c r="C103" s="204" t="s">
        <v>247</v>
      </c>
      <c r="D103" s="204">
        <v>1</v>
      </c>
      <c r="E103" s="204" t="s">
        <v>240</v>
      </c>
      <c r="F103" s="204"/>
      <c r="G103" s="204">
        <v>-0.38508582000000002</v>
      </c>
      <c r="H103" s="205">
        <v>45404.645053819448</v>
      </c>
      <c r="I103" s="206">
        <v>-0.7</v>
      </c>
      <c r="J103" s="249">
        <v>-0.3</v>
      </c>
      <c r="K103" s="250"/>
      <c r="L103" s="222"/>
      <c r="M103" s="222"/>
      <c r="N103" s="222"/>
      <c r="O103" s="222"/>
      <c r="P103" s="222"/>
      <c r="Q103" s="222"/>
      <c r="S103" s="222"/>
      <c r="T103" s="222"/>
      <c r="U103" s="222"/>
    </row>
    <row r="104" spans="1:21">
      <c r="A104" s="204" t="s">
        <v>238</v>
      </c>
      <c r="B104" s="204" t="s">
        <v>245</v>
      </c>
      <c r="C104" s="204" t="s">
        <v>247</v>
      </c>
      <c r="D104" s="204">
        <v>1</v>
      </c>
      <c r="E104" s="204" t="s">
        <v>241</v>
      </c>
      <c r="F104" s="204"/>
      <c r="G104" s="204">
        <v>-0.38724165999999999</v>
      </c>
      <c r="H104" s="205">
        <v>45404.645053819448</v>
      </c>
      <c r="I104" s="206">
        <v>-0.7</v>
      </c>
      <c r="J104" s="249">
        <v>-0.3</v>
      </c>
      <c r="K104" s="250"/>
      <c r="L104" s="222"/>
      <c r="M104" s="222"/>
      <c r="N104" s="222"/>
      <c r="O104" s="222"/>
      <c r="P104" s="222"/>
      <c r="Q104" s="222"/>
      <c r="S104" s="222"/>
      <c r="T104" s="222"/>
      <c r="U104" s="222"/>
    </row>
    <row r="105" spans="1:21">
      <c r="A105" s="204" t="s">
        <v>238</v>
      </c>
      <c r="B105" s="204" t="s">
        <v>245</v>
      </c>
      <c r="C105" s="204" t="s">
        <v>247</v>
      </c>
      <c r="D105" s="204">
        <v>1</v>
      </c>
      <c r="E105" s="204" t="s">
        <v>242</v>
      </c>
      <c r="F105" s="204"/>
      <c r="G105" s="204">
        <v>1.1328809</v>
      </c>
      <c r="H105" s="205">
        <v>45404.645053819448</v>
      </c>
      <c r="I105" s="206">
        <v>0.7</v>
      </c>
      <c r="J105" s="249">
        <v>1.3</v>
      </c>
      <c r="K105" s="250"/>
      <c r="L105" s="222"/>
      <c r="M105" s="222"/>
      <c r="N105" s="222"/>
      <c r="O105" s="222"/>
      <c r="P105" s="222"/>
      <c r="Q105" s="222"/>
      <c r="S105" s="222"/>
      <c r="T105" s="222"/>
      <c r="U105" s="222"/>
    </row>
    <row r="106" spans="1:21">
      <c r="A106" s="204" t="s">
        <v>238</v>
      </c>
      <c r="B106" s="204" t="s">
        <v>245</v>
      </c>
      <c r="C106" s="204" t="s">
        <v>247</v>
      </c>
      <c r="D106" s="204">
        <v>1</v>
      </c>
      <c r="E106" s="204" t="s">
        <v>243</v>
      </c>
      <c r="F106" s="204"/>
      <c r="G106" s="204">
        <v>475.43445000000003</v>
      </c>
      <c r="H106" s="205">
        <v>45404.645053819448</v>
      </c>
      <c r="I106" s="206">
        <v>300</v>
      </c>
      <c r="J106" s="249">
        <v>623</v>
      </c>
      <c r="K106" s="250"/>
      <c r="L106" s="222"/>
      <c r="M106" s="222"/>
      <c r="N106" s="222"/>
      <c r="O106" s="222"/>
      <c r="P106" s="222"/>
      <c r="Q106" s="222"/>
      <c r="S106" s="222"/>
      <c r="T106" s="222"/>
      <c r="U106" s="222"/>
    </row>
    <row r="107" spans="1:21">
      <c r="A107" s="204" t="s">
        <v>238</v>
      </c>
      <c r="B107" s="204" t="s">
        <v>245</v>
      </c>
      <c r="C107" s="204" t="s">
        <v>247</v>
      </c>
      <c r="D107" s="204">
        <v>1</v>
      </c>
      <c r="E107" s="204" t="s">
        <v>244</v>
      </c>
      <c r="F107" s="204"/>
      <c r="G107" s="204">
        <v>9.2985190000000006</v>
      </c>
      <c r="H107" s="205">
        <v>45404.645053819448</v>
      </c>
      <c r="I107" s="206">
        <v>0.2</v>
      </c>
      <c r="J107" s="249">
        <v>12</v>
      </c>
      <c r="K107" s="250"/>
      <c r="L107" s="222"/>
      <c r="M107" s="222"/>
      <c r="N107" s="222"/>
      <c r="O107" s="222"/>
      <c r="P107" s="222"/>
      <c r="Q107" s="222"/>
      <c r="S107" s="222"/>
      <c r="T107" s="222"/>
      <c r="U107" s="222"/>
    </row>
    <row r="108" spans="1:21">
      <c r="A108" s="204" t="s">
        <v>238</v>
      </c>
      <c r="B108" s="204" t="s">
        <v>245</v>
      </c>
      <c r="C108" s="204" t="s">
        <v>247</v>
      </c>
      <c r="D108" s="204">
        <v>1</v>
      </c>
      <c r="E108" s="204" t="s">
        <v>239</v>
      </c>
      <c r="F108" s="204"/>
      <c r="G108" s="204">
        <v>-0.38539111999999998</v>
      </c>
      <c r="H108" s="205">
        <v>45404.728391203702</v>
      </c>
      <c r="I108" s="206">
        <v>-0.7</v>
      </c>
      <c r="J108" s="249">
        <v>-0.3</v>
      </c>
      <c r="K108" s="250"/>
      <c r="L108" s="222"/>
      <c r="M108" s="222"/>
      <c r="N108" s="222"/>
      <c r="O108" s="222"/>
      <c r="P108" s="222"/>
      <c r="Q108" s="222"/>
      <c r="S108" s="222"/>
      <c r="T108" s="222"/>
      <c r="U108" s="222"/>
    </row>
    <row r="109" spans="1:21">
      <c r="A109" s="204" t="s">
        <v>238</v>
      </c>
      <c r="B109" s="204" t="s">
        <v>245</v>
      </c>
      <c r="C109" s="204" t="s">
        <v>247</v>
      </c>
      <c r="D109" s="204">
        <v>1</v>
      </c>
      <c r="E109" s="204" t="s">
        <v>240</v>
      </c>
      <c r="F109" s="204"/>
      <c r="G109" s="204">
        <v>-0.38508582000000002</v>
      </c>
      <c r="H109" s="205">
        <v>45404.728391203702</v>
      </c>
      <c r="I109" s="206">
        <v>-0.7</v>
      </c>
      <c r="J109" s="249">
        <v>-0.3</v>
      </c>
      <c r="K109" s="250"/>
      <c r="L109" s="222"/>
      <c r="M109" s="222"/>
      <c r="N109" s="222"/>
      <c r="O109" s="222"/>
      <c r="P109" s="222"/>
      <c r="Q109" s="222"/>
      <c r="S109" s="222"/>
      <c r="T109" s="222"/>
      <c r="U109" s="222"/>
    </row>
    <row r="110" spans="1:21">
      <c r="A110" s="204" t="s">
        <v>238</v>
      </c>
      <c r="B110" s="204" t="s">
        <v>245</v>
      </c>
      <c r="C110" s="204" t="s">
        <v>247</v>
      </c>
      <c r="D110" s="204">
        <v>1</v>
      </c>
      <c r="E110" s="204" t="s">
        <v>241</v>
      </c>
      <c r="F110" s="204"/>
      <c r="G110" s="204">
        <v>-0.38724165999999999</v>
      </c>
      <c r="H110" s="205">
        <v>45404.728391203702</v>
      </c>
      <c r="I110" s="206">
        <v>-0.7</v>
      </c>
      <c r="J110" s="249">
        <v>-0.3</v>
      </c>
      <c r="K110" s="250"/>
      <c r="L110" s="222"/>
      <c r="M110" s="222"/>
      <c r="N110" s="222"/>
      <c r="O110" s="222"/>
      <c r="P110" s="222"/>
      <c r="Q110" s="222"/>
      <c r="S110" s="222"/>
      <c r="T110" s="222"/>
      <c r="U110" s="222"/>
    </row>
    <row r="111" spans="1:21">
      <c r="A111" s="204" t="s">
        <v>238</v>
      </c>
      <c r="B111" s="204" t="s">
        <v>245</v>
      </c>
      <c r="C111" s="204" t="s">
        <v>247</v>
      </c>
      <c r="D111" s="204">
        <v>1</v>
      </c>
      <c r="E111" s="204" t="s">
        <v>242</v>
      </c>
      <c r="F111" s="204"/>
      <c r="G111" s="204">
        <v>1.1328809</v>
      </c>
      <c r="H111" s="205">
        <v>45404.728391203702</v>
      </c>
      <c r="I111" s="206">
        <v>0.7</v>
      </c>
      <c r="J111" s="249">
        <v>1.3</v>
      </c>
      <c r="K111" s="250"/>
      <c r="L111" s="222"/>
      <c r="M111" s="222"/>
      <c r="N111" s="222"/>
      <c r="O111" s="222"/>
      <c r="P111" s="222"/>
      <c r="Q111" s="222"/>
      <c r="S111" s="222"/>
      <c r="T111" s="222"/>
      <c r="U111" s="222"/>
    </row>
    <row r="112" spans="1:21">
      <c r="A112" s="204" t="s">
        <v>238</v>
      </c>
      <c r="B112" s="204" t="s">
        <v>245</v>
      </c>
      <c r="C112" s="204" t="s">
        <v>247</v>
      </c>
      <c r="D112" s="204">
        <v>1</v>
      </c>
      <c r="E112" s="204" t="s">
        <v>243</v>
      </c>
      <c r="F112" s="204"/>
      <c r="G112" s="204">
        <v>475.43445000000003</v>
      </c>
      <c r="H112" s="205">
        <v>45404.728391203702</v>
      </c>
      <c r="I112" s="206">
        <v>300</v>
      </c>
      <c r="J112" s="249">
        <v>623</v>
      </c>
      <c r="K112" s="250"/>
      <c r="L112" s="222"/>
      <c r="M112" s="222"/>
      <c r="N112" s="222"/>
      <c r="O112" s="222"/>
      <c r="P112" s="222"/>
      <c r="Q112" s="222"/>
      <c r="S112" s="222"/>
      <c r="T112" s="222"/>
      <c r="U112" s="222"/>
    </row>
    <row r="113" spans="1:21">
      <c r="A113" s="204" t="s">
        <v>238</v>
      </c>
      <c r="B113" s="204" t="s">
        <v>245</v>
      </c>
      <c r="C113" s="204" t="s">
        <v>247</v>
      </c>
      <c r="D113" s="204">
        <v>1</v>
      </c>
      <c r="E113" s="204" t="s">
        <v>244</v>
      </c>
      <c r="F113" s="204"/>
      <c r="G113" s="204">
        <v>9.2985190000000006</v>
      </c>
      <c r="H113" s="205">
        <v>45404.728391203702</v>
      </c>
      <c r="I113" s="206">
        <v>0.2</v>
      </c>
      <c r="J113" s="249">
        <v>12</v>
      </c>
      <c r="K113" s="250"/>
      <c r="L113" s="222"/>
      <c r="M113" s="222"/>
      <c r="N113" s="222"/>
      <c r="O113" s="222"/>
      <c r="P113" s="222"/>
      <c r="Q113" s="222"/>
      <c r="S113" s="222"/>
      <c r="T113" s="222"/>
      <c r="U113" s="222"/>
    </row>
    <row r="114" spans="1:21">
      <c r="A114" s="204" t="s">
        <v>238</v>
      </c>
      <c r="B114" s="204" t="s">
        <v>245</v>
      </c>
      <c r="C114" s="204" t="s">
        <v>247</v>
      </c>
      <c r="D114" s="204">
        <v>1</v>
      </c>
      <c r="E114" s="204" t="s">
        <v>239</v>
      </c>
      <c r="F114" s="204"/>
      <c r="G114" s="204">
        <v>-0.38539111999999998</v>
      </c>
      <c r="H114" s="205">
        <v>45404.853391203702</v>
      </c>
      <c r="I114" s="206">
        <v>-0.7</v>
      </c>
      <c r="J114" s="249">
        <v>-0.3</v>
      </c>
      <c r="K114" s="250"/>
      <c r="L114" s="222"/>
      <c r="M114" s="222"/>
      <c r="N114" s="222"/>
      <c r="O114" s="222"/>
      <c r="P114" s="222"/>
      <c r="Q114" s="222"/>
      <c r="S114" s="222"/>
      <c r="T114" s="222"/>
      <c r="U114" s="222"/>
    </row>
    <row r="115" spans="1:21">
      <c r="A115" s="204" t="s">
        <v>238</v>
      </c>
      <c r="B115" s="204" t="s">
        <v>245</v>
      </c>
      <c r="C115" s="204" t="s">
        <v>247</v>
      </c>
      <c r="D115" s="204">
        <v>1</v>
      </c>
      <c r="E115" s="204" t="s">
        <v>240</v>
      </c>
      <c r="F115" s="204"/>
      <c r="G115" s="204">
        <v>-0.38508582000000002</v>
      </c>
      <c r="H115" s="205">
        <v>45404.853391203702</v>
      </c>
      <c r="I115" s="206">
        <v>-0.7</v>
      </c>
      <c r="J115" s="249">
        <v>-0.3</v>
      </c>
      <c r="K115" s="250"/>
      <c r="L115" s="222"/>
      <c r="M115" s="222"/>
      <c r="N115" s="222"/>
      <c r="O115" s="222"/>
      <c r="P115" s="222"/>
      <c r="Q115" s="222"/>
      <c r="S115" s="222"/>
      <c r="T115" s="222"/>
      <c r="U115" s="222"/>
    </row>
    <row r="116" spans="1:21">
      <c r="A116" s="204" t="s">
        <v>238</v>
      </c>
      <c r="B116" s="204" t="s">
        <v>245</v>
      </c>
      <c r="C116" s="204" t="s">
        <v>247</v>
      </c>
      <c r="D116" s="204">
        <v>1</v>
      </c>
      <c r="E116" s="204" t="s">
        <v>241</v>
      </c>
      <c r="F116" s="204"/>
      <c r="G116" s="204">
        <v>-0.38724165999999999</v>
      </c>
      <c r="H116" s="205">
        <v>45404.853391203702</v>
      </c>
      <c r="I116" s="206">
        <v>-0.7</v>
      </c>
      <c r="J116" s="249">
        <v>-0.3</v>
      </c>
      <c r="K116" s="250"/>
      <c r="L116" s="222"/>
      <c r="M116" s="222"/>
      <c r="N116" s="222"/>
      <c r="O116" s="222"/>
      <c r="P116" s="222"/>
      <c r="Q116" s="222"/>
      <c r="S116" s="222"/>
      <c r="T116" s="222"/>
      <c r="U116" s="222"/>
    </row>
    <row r="117" spans="1:21">
      <c r="A117" s="204" t="s">
        <v>238</v>
      </c>
      <c r="B117" s="204" t="s">
        <v>245</v>
      </c>
      <c r="C117" s="204" t="s">
        <v>247</v>
      </c>
      <c r="D117" s="204">
        <v>1</v>
      </c>
      <c r="E117" s="204" t="s">
        <v>242</v>
      </c>
      <c r="F117" s="204"/>
      <c r="G117" s="204">
        <v>1.1328809</v>
      </c>
      <c r="H117" s="205">
        <v>45404.853391203702</v>
      </c>
      <c r="I117" s="206">
        <v>0.7</v>
      </c>
      <c r="J117" s="249">
        <v>1.3</v>
      </c>
      <c r="K117" s="250"/>
      <c r="L117" s="222"/>
      <c r="M117" s="222"/>
      <c r="N117" s="222"/>
      <c r="O117" s="222"/>
      <c r="P117" s="222"/>
      <c r="Q117" s="222"/>
      <c r="S117" s="222"/>
      <c r="T117" s="222"/>
      <c r="U117" s="222"/>
    </row>
    <row r="118" spans="1:21">
      <c r="A118" s="204" t="s">
        <v>238</v>
      </c>
      <c r="B118" s="204" t="s">
        <v>245</v>
      </c>
      <c r="C118" s="204" t="s">
        <v>247</v>
      </c>
      <c r="D118" s="204">
        <v>1</v>
      </c>
      <c r="E118" s="204" t="s">
        <v>243</v>
      </c>
      <c r="F118" s="204"/>
      <c r="G118" s="204">
        <v>475.43445000000003</v>
      </c>
      <c r="H118" s="205">
        <v>45404.853391203702</v>
      </c>
      <c r="I118" s="206">
        <v>300</v>
      </c>
      <c r="J118" s="249">
        <v>623</v>
      </c>
      <c r="K118" s="250"/>
      <c r="L118" s="222"/>
      <c r="M118" s="222"/>
      <c r="N118" s="222"/>
      <c r="O118" s="222"/>
      <c r="P118" s="222"/>
      <c r="Q118" s="222"/>
      <c r="S118" s="222"/>
      <c r="T118" s="222"/>
      <c r="U118" s="222"/>
    </row>
    <row r="119" spans="1:21">
      <c r="A119" s="204" t="s">
        <v>238</v>
      </c>
      <c r="B119" s="204" t="s">
        <v>245</v>
      </c>
      <c r="C119" s="204" t="s">
        <v>247</v>
      </c>
      <c r="D119" s="204">
        <v>1</v>
      </c>
      <c r="E119" s="204" t="s">
        <v>244</v>
      </c>
      <c r="F119" s="204"/>
      <c r="G119" s="204">
        <v>9.2985190000000006</v>
      </c>
      <c r="H119" s="205">
        <v>45404.853391203702</v>
      </c>
      <c r="I119" s="206">
        <v>0.2</v>
      </c>
      <c r="J119" s="249">
        <v>12</v>
      </c>
      <c r="K119" s="250"/>
      <c r="L119" s="222"/>
      <c r="M119" s="222"/>
      <c r="N119" s="222"/>
      <c r="O119" s="222"/>
      <c r="P119" s="222"/>
      <c r="Q119" s="222"/>
      <c r="S119" s="222"/>
      <c r="T119" s="222"/>
      <c r="U119" s="222"/>
    </row>
    <row r="120" spans="1:21">
      <c r="A120" s="204" t="s">
        <v>238</v>
      </c>
      <c r="B120" s="204" t="s">
        <v>245</v>
      </c>
      <c r="C120" s="204" t="s">
        <v>247</v>
      </c>
      <c r="D120" s="204">
        <v>2</v>
      </c>
      <c r="E120" s="204" t="s">
        <v>239</v>
      </c>
      <c r="F120" s="204"/>
      <c r="G120" s="204">
        <v>-0.38539111999999998</v>
      </c>
      <c r="H120" s="205">
        <v>45404.645053819448</v>
      </c>
      <c r="I120" s="206">
        <v>-0.7</v>
      </c>
      <c r="J120" s="249">
        <v>-0.3</v>
      </c>
      <c r="K120" s="250"/>
      <c r="L120" s="222"/>
      <c r="M120" s="222"/>
      <c r="N120" s="222"/>
      <c r="O120" s="222"/>
      <c r="P120" s="222"/>
      <c r="Q120" s="222"/>
      <c r="S120" s="222"/>
      <c r="T120" s="222"/>
      <c r="U120" s="222"/>
    </row>
    <row r="121" spans="1:21">
      <c r="A121" s="207" t="s">
        <v>238</v>
      </c>
      <c r="B121" s="207" t="s">
        <v>248</v>
      </c>
      <c r="C121" s="207" t="s">
        <v>225</v>
      </c>
      <c r="D121" s="207">
        <v>2</v>
      </c>
      <c r="E121" s="207" t="s">
        <v>240</v>
      </c>
      <c r="F121" s="207"/>
      <c r="G121" s="207">
        <v>-0.38508582000000002</v>
      </c>
      <c r="H121" s="208">
        <v>45404.645053819448</v>
      </c>
      <c r="I121" s="209">
        <v>-0.7</v>
      </c>
      <c r="J121" s="251">
        <v>-0.3</v>
      </c>
      <c r="K121" s="250"/>
      <c r="L121" s="222"/>
      <c r="M121" s="222"/>
      <c r="N121" s="222"/>
      <c r="O121" s="222"/>
      <c r="P121" s="222"/>
      <c r="Q121" s="222"/>
      <c r="S121" s="222"/>
      <c r="T121" s="222"/>
      <c r="U121" s="222"/>
    </row>
    <row r="122" spans="1:21">
      <c r="A122" s="207" t="s">
        <v>238</v>
      </c>
      <c r="B122" s="207" t="s">
        <v>248</v>
      </c>
      <c r="C122" s="207" t="s">
        <v>225</v>
      </c>
      <c r="D122" s="207">
        <v>2</v>
      </c>
      <c r="E122" s="207" t="s">
        <v>241</v>
      </c>
      <c r="F122" s="207"/>
      <c r="G122" s="207">
        <v>-0.38724165999999999</v>
      </c>
      <c r="H122" s="208">
        <v>45404.645053819448</v>
      </c>
      <c r="I122" s="209">
        <v>-0.7</v>
      </c>
      <c r="J122" s="251">
        <v>-0.3</v>
      </c>
      <c r="K122" s="250"/>
      <c r="L122" s="222"/>
      <c r="M122" s="222"/>
      <c r="N122" s="222"/>
      <c r="O122" s="222"/>
      <c r="P122" s="222"/>
      <c r="Q122" s="222"/>
      <c r="S122" s="222"/>
      <c r="T122" s="222"/>
      <c r="U122" s="222"/>
    </row>
    <row r="123" spans="1:21">
      <c r="A123" s="207" t="s">
        <v>238</v>
      </c>
      <c r="B123" s="207" t="s">
        <v>248</v>
      </c>
      <c r="C123" s="207" t="s">
        <v>225</v>
      </c>
      <c r="D123" s="207">
        <v>2</v>
      </c>
      <c r="E123" s="207" t="s">
        <v>242</v>
      </c>
      <c r="F123" s="207"/>
      <c r="G123" s="207">
        <v>1.1328809</v>
      </c>
      <c r="H123" s="208">
        <v>45404.645053819448</v>
      </c>
      <c r="I123" s="209">
        <v>0.7</v>
      </c>
      <c r="J123" s="251">
        <v>1.3</v>
      </c>
      <c r="K123" s="250"/>
      <c r="L123" s="222"/>
      <c r="M123" s="222"/>
      <c r="N123" s="222"/>
      <c r="O123" s="222"/>
      <c r="P123" s="222"/>
      <c r="Q123" s="222"/>
      <c r="S123" s="222"/>
      <c r="T123" s="222"/>
      <c r="U123" s="222"/>
    </row>
    <row r="124" spans="1:21">
      <c r="A124" s="207" t="s">
        <v>238</v>
      </c>
      <c r="B124" s="207" t="s">
        <v>248</v>
      </c>
      <c r="C124" s="207" t="s">
        <v>225</v>
      </c>
      <c r="D124" s="207">
        <v>2</v>
      </c>
      <c r="E124" s="207" t="s">
        <v>243</v>
      </c>
      <c r="F124" s="207"/>
      <c r="G124" s="207">
        <v>475.43445000000003</v>
      </c>
      <c r="H124" s="208">
        <v>45404.645053819448</v>
      </c>
      <c r="I124" s="209">
        <v>300</v>
      </c>
      <c r="J124" s="251">
        <v>623</v>
      </c>
      <c r="K124" s="250"/>
      <c r="L124" s="222"/>
      <c r="M124" s="222"/>
      <c r="N124" s="222"/>
      <c r="O124" s="222"/>
      <c r="P124" s="222"/>
      <c r="Q124" s="222"/>
      <c r="S124" s="222"/>
      <c r="T124" s="222"/>
      <c r="U124" s="222"/>
    </row>
    <row r="125" spans="1:21">
      <c r="A125" s="207" t="s">
        <v>238</v>
      </c>
      <c r="B125" s="207" t="s">
        <v>248</v>
      </c>
      <c r="C125" s="207" t="s">
        <v>225</v>
      </c>
      <c r="D125" s="207">
        <v>2</v>
      </c>
      <c r="E125" s="207" t="s">
        <v>244</v>
      </c>
      <c r="F125" s="207"/>
      <c r="G125" s="207">
        <v>9.2985190000000006</v>
      </c>
      <c r="H125" s="208">
        <v>45404.645053819448</v>
      </c>
      <c r="I125" s="209">
        <v>0.2</v>
      </c>
      <c r="J125" s="251">
        <v>12</v>
      </c>
      <c r="K125" s="250"/>
      <c r="L125" s="222"/>
      <c r="M125" s="222"/>
      <c r="N125" s="222"/>
      <c r="O125" s="222"/>
      <c r="P125" s="222"/>
      <c r="Q125" s="222"/>
      <c r="S125" s="222"/>
      <c r="T125" s="222"/>
      <c r="U125" s="222"/>
    </row>
    <row r="126" spans="1:21">
      <c r="A126" s="207" t="s">
        <v>238</v>
      </c>
      <c r="B126" s="207" t="s">
        <v>248</v>
      </c>
      <c r="C126" s="207" t="s">
        <v>225</v>
      </c>
      <c r="D126" s="207">
        <v>2</v>
      </c>
      <c r="E126" s="207" t="s">
        <v>239</v>
      </c>
      <c r="F126" s="207"/>
      <c r="G126" s="207">
        <v>-0.38539111999999998</v>
      </c>
      <c r="H126" s="208">
        <v>45404.728391203702</v>
      </c>
      <c r="I126" s="209">
        <v>-0.7</v>
      </c>
      <c r="J126" s="251">
        <v>-0.3</v>
      </c>
      <c r="K126" s="250"/>
      <c r="L126" s="222"/>
      <c r="M126" s="222"/>
      <c r="N126" s="222"/>
      <c r="O126" s="222"/>
      <c r="P126" s="222"/>
      <c r="Q126" s="222"/>
      <c r="S126" s="222"/>
      <c r="T126" s="222"/>
      <c r="U126" s="222"/>
    </row>
    <row r="127" spans="1:21">
      <c r="A127" s="207" t="s">
        <v>238</v>
      </c>
      <c r="B127" s="207" t="s">
        <v>248</v>
      </c>
      <c r="C127" s="207" t="s">
        <v>225</v>
      </c>
      <c r="D127" s="207">
        <v>2</v>
      </c>
      <c r="E127" s="207" t="s">
        <v>240</v>
      </c>
      <c r="F127" s="207"/>
      <c r="G127" s="207">
        <v>-0.38508582000000002</v>
      </c>
      <c r="H127" s="208">
        <v>45404.728391203702</v>
      </c>
      <c r="I127" s="209">
        <v>-0.7</v>
      </c>
      <c r="J127" s="251">
        <v>-0.3</v>
      </c>
      <c r="K127" s="250"/>
      <c r="L127" s="222"/>
      <c r="M127" s="222"/>
      <c r="N127" s="222"/>
      <c r="O127" s="222"/>
      <c r="P127" s="222"/>
      <c r="Q127" s="222"/>
      <c r="S127" s="222"/>
      <c r="T127" s="222"/>
      <c r="U127" s="222"/>
    </row>
    <row r="128" spans="1:21">
      <c r="A128" s="207" t="s">
        <v>238</v>
      </c>
      <c r="B128" s="207" t="s">
        <v>248</v>
      </c>
      <c r="C128" s="207" t="s">
        <v>225</v>
      </c>
      <c r="D128" s="207">
        <v>2</v>
      </c>
      <c r="E128" s="207" t="s">
        <v>241</v>
      </c>
      <c r="F128" s="207"/>
      <c r="G128" s="207">
        <v>-0.38724165999999999</v>
      </c>
      <c r="H128" s="208">
        <v>45404.728391203702</v>
      </c>
      <c r="I128" s="209">
        <v>-0.7</v>
      </c>
      <c r="J128" s="251">
        <v>-0.3</v>
      </c>
      <c r="K128" s="250"/>
      <c r="L128" s="222"/>
      <c r="M128" s="222"/>
      <c r="N128" s="222"/>
      <c r="O128" s="222"/>
      <c r="P128" s="222"/>
      <c r="Q128" s="222"/>
      <c r="S128" s="222"/>
      <c r="T128" s="222"/>
      <c r="U128" s="222"/>
    </row>
    <row r="129" spans="1:21">
      <c r="A129" s="207" t="s">
        <v>238</v>
      </c>
      <c r="B129" s="207" t="s">
        <v>248</v>
      </c>
      <c r="C129" s="207" t="s">
        <v>225</v>
      </c>
      <c r="D129" s="207">
        <v>2</v>
      </c>
      <c r="E129" s="207" t="s">
        <v>242</v>
      </c>
      <c r="F129" s="207"/>
      <c r="G129" s="207">
        <v>1.1328809</v>
      </c>
      <c r="H129" s="208">
        <v>45404.728391203702</v>
      </c>
      <c r="I129" s="209">
        <v>0.7</v>
      </c>
      <c r="J129" s="251">
        <v>1.3</v>
      </c>
      <c r="K129" s="250"/>
      <c r="L129" s="222"/>
      <c r="M129" s="222"/>
      <c r="N129" s="222"/>
      <c r="O129" s="222"/>
      <c r="P129" s="222"/>
      <c r="Q129" s="222"/>
      <c r="S129" s="222"/>
      <c r="T129" s="222"/>
      <c r="U129" s="222"/>
    </row>
    <row r="130" spans="1:21">
      <c r="A130" s="207" t="s">
        <v>238</v>
      </c>
      <c r="B130" s="207" t="s">
        <v>248</v>
      </c>
      <c r="C130" s="207" t="s">
        <v>225</v>
      </c>
      <c r="D130" s="207">
        <v>2</v>
      </c>
      <c r="E130" s="207" t="s">
        <v>243</v>
      </c>
      <c r="F130" s="207"/>
      <c r="G130" s="207">
        <v>475.43445000000003</v>
      </c>
      <c r="H130" s="208">
        <v>45404.728391203702</v>
      </c>
      <c r="I130" s="209">
        <v>300</v>
      </c>
      <c r="J130" s="251">
        <v>623</v>
      </c>
      <c r="K130" s="250"/>
      <c r="L130" s="222"/>
      <c r="M130" s="222"/>
      <c r="N130" s="222"/>
      <c r="O130" s="222"/>
      <c r="P130" s="222"/>
      <c r="Q130" s="222"/>
      <c r="S130" s="222"/>
      <c r="T130" s="222"/>
      <c r="U130" s="222"/>
    </row>
    <row r="131" spans="1:21">
      <c r="A131" s="207" t="s">
        <v>238</v>
      </c>
      <c r="B131" s="207" t="s">
        <v>248</v>
      </c>
      <c r="C131" s="207" t="s">
        <v>225</v>
      </c>
      <c r="D131" s="207">
        <v>2</v>
      </c>
      <c r="E131" s="207" t="s">
        <v>244</v>
      </c>
      <c r="F131" s="207"/>
      <c r="G131" s="207">
        <v>9.2985190000000006</v>
      </c>
      <c r="H131" s="208">
        <v>45404.728391203702</v>
      </c>
      <c r="I131" s="209">
        <v>0.2</v>
      </c>
      <c r="J131" s="251">
        <v>12</v>
      </c>
      <c r="K131" s="250"/>
      <c r="L131" s="222"/>
      <c r="M131" s="222"/>
      <c r="N131" s="222"/>
      <c r="O131" s="222"/>
      <c r="P131" s="222"/>
      <c r="Q131" s="222"/>
      <c r="S131" s="222"/>
      <c r="T131" s="222"/>
      <c r="U131" s="222"/>
    </row>
    <row r="132" spans="1:21">
      <c r="A132" s="207" t="s">
        <v>238</v>
      </c>
      <c r="B132" s="207" t="s">
        <v>248</v>
      </c>
      <c r="C132" s="207" t="s">
        <v>225</v>
      </c>
      <c r="D132" s="207">
        <v>2</v>
      </c>
      <c r="E132" s="207" t="s">
        <v>239</v>
      </c>
      <c r="F132" s="207"/>
      <c r="G132" s="207">
        <v>-0.38539111999999998</v>
      </c>
      <c r="H132" s="208">
        <v>45404.853391203702</v>
      </c>
      <c r="I132" s="209">
        <v>-0.7</v>
      </c>
      <c r="J132" s="251">
        <v>-0.3</v>
      </c>
      <c r="K132" s="250"/>
      <c r="L132" s="222"/>
      <c r="M132" s="222"/>
      <c r="N132" s="222"/>
      <c r="O132" s="222"/>
      <c r="P132" s="222"/>
      <c r="Q132" s="222"/>
      <c r="S132" s="222"/>
      <c r="T132" s="222"/>
      <c r="U132" s="222"/>
    </row>
    <row r="133" spans="1:21">
      <c r="A133" s="207" t="s">
        <v>238</v>
      </c>
      <c r="B133" s="207" t="s">
        <v>248</v>
      </c>
      <c r="C133" s="207" t="s">
        <v>225</v>
      </c>
      <c r="D133" s="207">
        <v>2</v>
      </c>
      <c r="E133" s="207" t="s">
        <v>240</v>
      </c>
      <c r="F133" s="207"/>
      <c r="G133" s="207">
        <v>-0.38508582000000002</v>
      </c>
      <c r="H133" s="208">
        <v>45404.853391203702</v>
      </c>
      <c r="I133" s="209">
        <v>-0.7</v>
      </c>
      <c r="J133" s="251">
        <v>-0.3</v>
      </c>
      <c r="K133" s="250"/>
      <c r="L133" s="222"/>
      <c r="M133" s="222"/>
      <c r="N133" s="222"/>
      <c r="O133" s="222"/>
      <c r="P133" s="222"/>
      <c r="Q133" s="222"/>
      <c r="S133" s="222"/>
      <c r="T133" s="222"/>
      <c r="U133" s="222"/>
    </row>
    <row r="134" spans="1:21">
      <c r="A134" s="207" t="s">
        <v>238</v>
      </c>
      <c r="B134" s="207" t="s">
        <v>248</v>
      </c>
      <c r="C134" s="207" t="s">
        <v>225</v>
      </c>
      <c r="D134" s="207">
        <v>2</v>
      </c>
      <c r="E134" s="207" t="s">
        <v>241</v>
      </c>
      <c r="F134" s="207"/>
      <c r="G134" s="207">
        <v>-0.38724165999999999</v>
      </c>
      <c r="H134" s="208">
        <v>45404.853391203702</v>
      </c>
      <c r="I134" s="209">
        <v>-0.7</v>
      </c>
      <c r="J134" s="251">
        <v>-0.3</v>
      </c>
      <c r="K134" s="250"/>
      <c r="L134" s="222"/>
      <c r="M134" s="222"/>
      <c r="N134" s="222"/>
      <c r="O134" s="222"/>
      <c r="P134" s="222"/>
      <c r="Q134" s="222"/>
      <c r="S134" s="222"/>
      <c r="T134" s="222"/>
      <c r="U134" s="222"/>
    </row>
    <row r="135" spans="1:21">
      <c r="A135" s="207" t="s">
        <v>238</v>
      </c>
      <c r="B135" s="207" t="s">
        <v>248</v>
      </c>
      <c r="C135" s="207" t="s">
        <v>225</v>
      </c>
      <c r="D135" s="207">
        <v>2</v>
      </c>
      <c r="E135" s="207" t="s">
        <v>242</v>
      </c>
      <c r="F135" s="207"/>
      <c r="G135" s="207">
        <v>1.1328809</v>
      </c>
      <c r="H135" s="208">
        <v>45404.853391203702</v>
      </c>
      <c r="I135" s="209">
        <v>0.7</v>
      </c>
      <c r="J135" s="251">
        <v>1.3</v>
      </c>
      <c r="K135" s="250"/>
      <c r="L135" s="222"/>
      <c r="M135" s="222"/>
      <c r="N135" s="222"/>
      <c r="O135" s="222"/>
      <c r="P135" s="222"/>
      <c r="Q135" s="222"/>
      <c r="S135" s="222"/>
      <c r="T135" s="222"/>
      <c r="U135" s="222"/>
    </row>
    <row r="136" spans="1:21">
      <c r="A136" s="207" t="s">
        <v>238</v>
      </c>
      <c r="B136" s="207" t="s">
        <v>248</v>
      </c>
      <c r="C136" s="207" t="s">
        <v>225</v>
      </c>
      <c r="D136" s="207">
        <v>2</v>
      </c>
      <c r="E136" s="207" t="s">
        <v>243</v>
      </c>
      <c r="F136" s="207"/>
      <c r="G136" s="207">
        <v>475.43445000000003</v>
      </c>
      <c r="H136" s="208">
        <v>45404.853391203702</v>
      </c>
      <c r="I136" s="209">
        <v>300</v>
      </c>
      <c r="J136" s="251">
        <v>623</v>
      </c>
      <c r="K136" s="250"/>
      <c r="L136" s="222"/>
      <c r="M136" s="222"/>
      <c r="N136" s="222"/>
      <c r="O136" s="222"/>
      <c r="P136" s="222"/>
      <c r="Q136" s="222"/>
      <c r="S136" s="222"/>
      <c r="T136" s="222"/>
      <c r="U136" s="222"/>
    </row>
    <row r="137" spans="1:21">
      <c r="A137" s="207" t="s">
        <v>238</v>
      </c>
      <c r="B137" s="207" t="s">
        <v>248</v>
      </c>
      <c r="C137" s="207" t="s">
        <v>225</v>
      </c>
      <c r="D137" s="207">
        <v>2</v>
      </c>
      <c r="E137" s="207" t="s">
        <v>244</v>
      </c>
      <c r="F137" s="207"/>
      <c r="G137" s="207">
        <v>9.2985190000000006</v>
      </c>
      <c r="H137" s="208">
        <v>45404.853391203702</v>
      </c>
      <c r="I137" s="209">
        <v>0.2</v>
      </c>
      <c r="J137" s="251">
        <v>12</v>
      </c>
      <c r="K137" s="250"/>
      <c r="L137" s="222"/>
      <c r="M137" s="222"/>
      <c r="N137" s="222"/>
      <c r="O137" s="222"/>
      <c r="P137" s="222"/>
      <c r="Q137" s="222"/>
      <c r="S137" s="222"/>
      <c r="T137" s="222"/>
      <c r="U137" s="222"/>
    </row>
    <row r="138" spans="1:21">
      <c r="A138" s="204" t="s">
        <v>238</v>
      </c>
      <c r="B138" s="204" t="s">
        <v>248</v>
      </c>
      <c r="C138" s="204" t="s">
        <v>225</v>
      </c>
      <c r="D138" s="204">
        <v>3</v>
      </c>
      <c r="E138" s="204" t="s">
        <v>239</v>
      </c>
      <c r="F138" s="204"/>
      <c r="G138" s="204">
        <v>-0.38539111999999998</v>
      </c>
      <c r="H138" s="205">
        <v>45404.645053819448</v>
      </c>
      <c r="I138" s="206">
        <v>-0.7</v>
      </c>
      <c r="J138" s="249">
        <v>-0.3</v>
      </c>
      <c r="K138" s="250"/>
      <c r="L138" s="222"/>
      <c r="M138" s="222"/>
      <c r="N138" s="222"/>
      <c r="O138" s="222"/>
      <c r="P138" s="222"/>
      <c r="Q138" s="222"/>
      <c r="S138" s="222"/>
      <c r="T138" s="222"/>
      <c r="U138" s="222"/>
    </row>
    <row r="139" spans="1:21">
      <c r="A139" s="204" t="s">
        <v>238</v>
      </c>
      <c r="B139" s="204" t="s">
        <v>248</v>
      </c>
      <c r="C139" s="204" t="s">
        <v>225</v>
      </c>
      <c r="D139" s="204">
        <v>3</v>
      </c>
      <c r="E139" s="204" t="s">
        <v>240</v>
      </c>
      <c r="F139" s="204"/>
      <c r="G139" s="204">
        <v>-0.38508582000000002</v>
      </c>
      <c r="H139" s="205">
        <v>45404.645053819448</v>
      </c>
      <c r="I139" s="206">
        <v>-0.7</v>
      </c>
      <c r="J139" s="249">
        <v>-0.3</v>
      </c>
      <c r="K139" s="250"/>
      <c r="L139" s="222"/>
      <c r="M139" s="222"/>
      <c r="N139" s="222"/>
      <c r="O139" s="222"/>
      <c r="P139" s="222"/>
      <c r="Q139" s="222"/>
      <c r="S139" s="222"/>
      <c r="T139" s="222"/>
      <c r="U139" s="222"/>
    </row>
    <row r="140" spans="1:21">
      <c r="A140" s="204" t="s">
        <v>238</v>
      </c>
      <c r="B140" s="204" t="s">
        <v>248</v>
      </c>
      <c r="C140" s="204" t="s">
        <v>225</v>
      </c>
      <c r="D140" s="204">
        <v>3</v>
      </c>
      <c r="E140" s="204" t="s">
        <v>241</v>
      </c>
      <c r="F140" s="204"/>
      <c r="G140" s="204">
        <v>-0.38724165999999999</v>
      </c>
      <c r="H140" s="205">
        <v>45404.645053819448</v>
      </c>
      <c r="I140" s="206">
        <v>-0.7</v>
      </c>
      <c r="J140" s="249">
        <v>-0.3</v>
      </c>
      <c r="K140" s="250"/>
      <c r="L140" s="222"/>
      <c r="M140" s="222"/>
      <c r="N140" s="222"/>
      <c r="O140" s="222"/>
      <c r="P140" s="222"/>
      <c r="Q140" s="222"/>
      <c r="S140" s="222"/>
      <c r="T140" s="222"/>
      <c r="U140" s="222"/>
    </row>
    <row r="141" spans="1:21">
      <c r="A141" s="204" t="s">
        <v>238</v>
      </c>
      <c r="B141" s="204" t="s">
        <v>248</v>
      </c>
      <c r="C141" s="204" t="s">
        <v>225</v>
      </c>
      <c r="D141" s="204">
        <v>3</v>
      </c>
      <c r="E141" s="204" t="s">
        <v>242</v>
      </c>
      <c r="F141" s="204"/>
      <c r="G141" s="204">
        <v>1.1328809</v>
      </c>
      <c r="H141" s="205">
        <v>45404.645053819448</v>
      </c>
      <c r="I141" s="206">
        <v>0.7</v>
      </c>
      <c r="J141" s="249">
        <v>1.3</v>
      </c>
      <c r="K141" s="250"/>
      <c r="L141" s="222"/>
      <c r="M141" s="222"/>
      <c r="N141" s="222"/>
      <c r="O141" s="222"/>
      <c r="P141" s="222"/>
      <c r="Q141" s="222"/>
      <c r="S141" s="222"/>
      <c r="T141" s="222"/>
      <c r="U141" s="222"/>
    </row>
    <row r="142" spans="1:21">
      <c r="A142" s="204" t="s">
        <v>238</v>
      </c>
      <c r="B142" s="204" t="s">
        <v>248</v>
      </c>
      <c r="C142" s="204" t="s">
        <v>225</v>
      </c>
      <c r="D142" s="204">
        <v>3</v>
      </c>
      <c r="E142" s="204" t="s">
        <v>243</v>
      </c>
      <c r="F142" s="204"/>
      <c r="G142" s="204">
        <v>475.43445000000003</v>
      </c>
      <c r="H142" s="205">
        <v>45404.645053819448</v>
      </c>
      <c r="I142" s="206">
        <v>300</v>
      </c>
      <c r="J142" s="249">
        <v>623</v>
      </c>
      <c r="K142" s="250"/>
      <c r="L142" s="222"/>
      <c r="M142" s="222"/>
      <c r="N142" s="222"/>
      <c r="O142" s="222"/>
      <c r="P142" s="222"/>
      <c r="Q142" s="222"/>
      <c r="S142" s="222"/>
      <c r="T142" s="222"/>
      <c r="U142" s="222"/>
    </row>
    <row r="143" spans="1:21">
      <c r="A143" s="204" t="s">
        <v>238</v>
      </c>
      <c r="B143" s="204" t="s">
        <v>248</v>
      </c>
      <c r="C143" s="204" t="s">
        <v>225</v>
      </c>
      <c r="D143" s="204">
        <v>3</v>
      </c>
      <c r="E143" s="204" t="s">
        <v>244</v>
      </c>
      <c r="F143" s="204"/>
      <c r="G143" s="204">
        <v>9.2985190000000006</v>
      </c>
      <c r="H143" s="205">
        <v>45404.645053819448</v>
      </c>
      <c r="I143" s="206">
        <v>0.2</v>
      </c>
      <c r="J143" s="249">
        <v>12</v>
      </c>
      <c r="K143" s="250"/>
      <c r="L143" s="222"/>
      <c r="M143" s="222"/>
      <c r="N143" s="222"/>
      <c r="O143" s="222"/>
      <c r="P143" s="222"/>
      <c r="Q143" s="222"/>
      <c r="S143" s="222"/>
      <c r="T143" s="222"/>
      <c r="U143" s="222"/>
    </row>
    <row r="144" spans="1:21">
      <c r="A144" s="204" t="s">
        <v>238</v>
      </c>
      <c r="B144" s="204" t="s">
        <v>248</v>
      </c>
      <c r="C144" s="204" t="s">
        <v>225</v>
      </c>
      <c r="D144" s="204">
        <v>3</v>
      </c>
      <c r="E144" s="204" t="s">
        <v>239</v>
      </c>
      <c r="F144" s="204"/>
      <c r="G144" s="204">
        <v>-0.38539111999999998</v>
      </c>
      <c r="H144" s="205">
        <v>45404.728391203702</v>
      </c>
      <c r="I144" s="206">
        <v>-0.7</v>
      </c>
      <c r="J144" s="249">
        <v>-0.3</v>
      </c>
      <c r="K144" s="250"/>
      <c r="L144" s="222"/>
      <c r="M144" s="222"/>
      <c r="N144" s="222"/>
      <c r="O144" s="222"/>
      <c r="P144" s="222"/>
      <c r="Q144" s="222"/>
      <c r="S144" s="222"/>
      <c r="T144" s="222"/>
      <c r="U144" s="222"/>
    </row>
    <row r="145" spans="1:21">
      <c r="A145" s="204" t="s">
        <v>238</v>
      </c>
      <c r="B145" s="204" t="s">
        <v>248</v>
      </c>
      <c r="C145" s="204" t="s">
        <v>225</v>
      </c>
      <c r="D145" s="204">
        <v>3</v>
      </c>
      <c r="E145" s="204" t="s">
        <v>240</v>
      </c>
      <c r="F145" s="204"/>
      <c r="G145" s="204">
        <v>-0.38508582000000002</v>
      </c>
      <c r="H145" s="205">
        <v>45404.728391203702</v>
      </c>
      <c r="I145" s="206">
        <v>-0.7</v>
      </c>
      <c r="J145" s="249">
        <v>-0.3</v>
      </c>
      <c r="K145" s="250"/>
      <c r="L145" s="222"/>
      <c r="M145" s="222"/>
      <c r="N145" s="222"/>
      <c r="O145" s="222"/>
      <c r="P145" s="222"/>
      <c r="Q145" s="222"/>
      <c r="S145" s="222"/>
      <c r="T145" s="222"/>
      <c r="U145" s="222"/>
    </row>
    <row r="146" spans="1:21">
      <c r="A146" s="204" t="s">
        <v>238</v>
      </c>
      <c r="B146" s="204" t="s">
        <v>248</v>
      </c>
      <c r="C146" s="204" t="s">
        <v>225</v>
      </c>
      <c r="D146" s="204">
        <v>3</v>
      </c>
      <c r="E146" s="204" t="s">
        <v>241</v>
      </c>
      <c r="F146" s="204"/>
      <c r="G146" s="204">
        <v>-0.38724165999999999</v>
      </c>
      <c r="H146" s="205">
        <v>45404.728391203702</v>
      </c>
      <c r="I146" s="206">
        <v>-0.7</v>
      </c>
      <c r="J146" s="249">
        <v>-0.3</v>
      </c>
      <c r="K146" s="250"/>
      <c r="L146" s="222"/>
      <c r="M146" s="222"/>
      <c r="N146" s="222"/>
      <c r="O146" s="222"/>
      <c r="P146" s="222"/>
      <c r="Q146" s="222"/>
      <c r="S146" s="222"/>
      <c r="T146" s="222"/>
      <c r="U146" s="222"/>
    </row>
    <row r="147" spans="1:21">
      <c r="A147" s="204" t="s">
        <v>238</v>
      </c>
      <c r="B147" s="204" t="s">
        <v>248</v>
      </c>
      <c r="C147" s="204" t="s">
        <v>225</v>
      </c>
      <c r="D147" s="204">
        <v>3</v>
      </c>
      <c r="E147" s="204" t="s">
        <v>242</v>
      </c>
      <c r="F147" s="204"/>
      <c r="G147" s="204">
        <v>1.1328809</v>
      </c>
      <c r="H147" s="205">
        <v>45404.728391203702</v>
      </c>
      <c r="I147" s="206">
        <v>0.7</v>
      </c>
      <c r="J147" s="249">
        <v>1.3</v>
      </c>
      <c r="K147" s="250"/>
      <c r="L147" s="222"/>
      <c r="M147" s="222"/>
      <c r="N147" s="222"/>
      <c r="O147" s="222"/>
      <c r="P147" s="222"/>
      <c r="Q147" s="222"/>
      <c r="S147" s="222"/>
      <c r="T147" s="222"/>
      <c r="U147" s="222"/>
    </row>
    <row r="148" spans="1:21">
      <c r="A148" s="204" t="s">
        <v>238</v>
      </c>
      <c r="B148" s="204" t="s">
        <v>248</v>
      </c>
      <c r="C148" s="204" t="s">
        <v>225</v>
      </c>
      <c r="D148" s="204">
        <v>3</v>
      </c>
      <c r="E148" s="204" t="s">
        <v>243</v>
      </c>
      <c r="F148" s="204"/>
      <c r="G148" s="204">
        <v>475.43445000000003</v>
      </c>
      <c r="H148" s="205">
        <v>45404.728391203702</v>
      </c>
      <c r="I148" s="206">
        <v>300</v>
      </c>
      <c r="J148" s="249">
        <v>623</v>
      </c>
      <c r="K148" s="250"/>
      <c r="L148" s="222"/>
      <c r="M148" s="222"/>
      <c r="N148" s="222"/>
      <c r="O148" s="222"/>
      <c r="P148" s="222"/>
      <c r="Q148" s="222"/>
      <c r="S148" s="222"/>
      <c r="T148" s="222"/>
      <c r="U148" s="222"/>
    </row>
    <row r="149" spans="1:21">
      <c r="A149" s="204" t="s">
        <v>238</v>
      </c>
      <c r="B149" s="204" t="s">
        <v>248</v>
      </c>
      <c r="C149" s="204" t="s">
        <v>225</v>
      </c>
      <c r="D149" s="204">
        <v>3</v>
      </c>
      <c r="E149" s="204" t="s">
        <v>244</v>
      </c>
      <c r="F149" s="204"/>
      <c r="G149" s="204">
        <v>9.2985190000000006</v>
      </c>
      <c r="H149" s="205">
        <v>45404.728391203702</v>
      </c>
      <c r="I149" s="206">
        <v>0.2</v>
      </c>
      <c r="J149" s="249">
        <v>12</v>
      </c>
      <c r="K149" s="250"/>
      <c r="L149" s="222"/>
      <c r="M149" s="222"/>
      <c r="N149" s="222"/>
      <c r="O149" s="222"/>
      <c r="P149" s="222"/>
      <c r="Q149" s="222"/>
      <c r="S149" s="222"/>
      <c r="T149" s="222"/>
      <c r="U149" s="222"/>
    </row>
    <row r="150" spans="1:21">
      <c r="A150" s="204" t="s">
        <v>238</v>
      </c>
      <c r="B150" s="204" t="s">
        <v>248</v>
      </c>
      <c r="C150" s="204" t="s">
        <v>225</v>
      </c>
      <c r="D150" s="204">
        <v>3</v>
      </c>
      <c r="E150" s="204" t="s">
        <v>239</v>
      </c>
      <c r="F150" s="204"/>
      <c r="G150" s="204">
        <v>-0.38539111999999998</v>
      </c>
      <c r="H150" s="205">
        <v>45404.853391203702</v>
      </c>
      <c r="I150" s="206">
        <v>-0.7</v>
      </c>
      <c r="J150" s="249">
        <v>-0.3</v>
      </c>
      <c r="K150" s="250"/>
      <c r="L150" s="222"/>
      <c r="M150" s="222"/>
      <c r="N150" s="222"/>
      <c r="O150" s="222"/>
      <c r="P150" s="222"/>
      <c r="Q150" s="222"/>
      <c r="S150" s="222"/>
      <c r="T150" s="222"/>
      <c r="U150" s="222"/>
    </row>
    <row r="151" spans="1:21">
      <c r="A151" s="204" t="s">
        <v>238</v>
      </c>
      <c r="B151" s="204" t="s">
        <v>248</v>
      </c>
      <c r="C151" s="204" t="s">
        <v>225</v>
      </c>
      <c r="D151" s="204">
        <v>3</v>
      </c>
      <c r="E151" s="204" t="s">
        <v>240</v>
      </c>
      <c r="F151" s="204"/>
      <c r="G151" s="204">
        <v>-0.38508582000000002</v>
      </c>
      <c r="H151" s="205">
        <v>45404.853391203702</v>
      </c>
      <c r="I151" s="206">
        <v>-0.7</v>
      </c>
      <c r="J151" s="249">
        <v>-0.3</v>
      </c>
      <c r="K151" s="250"/>
      <c r="L151" s="222"/>
      <c r="M151" s="222"/>
      <c r="N151" s="222"/>
      <c r="O151" s="222"/>
      <c r="P151" s="222"/>
      <c r="Q151" s="222"/>
      <c r="S151" s="222"/>
      <c r="T151" s="222"/>
      <c r="U151" s="222"/>
    </row>
    <row r="152" spans="1:21">
      <c r="A152" s="204" t="s">
        <v>238</v>
      </c>
      <c r="B152" s="204" t="s">
        <v>248</v>
      </c>
      <c r="C152" s="204" t="s">
        <v>225</v>
      </c>
      <c r="D152" s="204">
        <v>3</v>
      </c>
      <c r="E152" s="204" t="s">
        <v>241</v>
      </c>
      <c r="F152" s="204"/>
      <c r="G152" s="204">
        <v>-0.38724165999999999</v>
      </c>
      <c r="H152" s="205">
        <v>45404.853391203702</v>
      </c>
      <c r="I152" s="206">
        <v>-0.7</v>
      </c>
      <c r="J152" s="249">
        <v>-0.3</v>
      </c>
      <c r="K152" s="250"/>
      <c r="L152" s="222"/>
      <c r="M152" s="222"/>
      <c r="N152" s="222"/>
      <c r="O152" s="222"/>
      <c r="P152" s="222"/>
      <c r="Q152" s="222"/>
      <c r="S152" s="222"/>
      <c r="T152" s="222"/>
      <c r="U152" s="222"/>
    </row>
    <row r="153" spans="1:21">
      <c r="A153" s="204" t="s">
        <v>238</v>
      </c>
      <c r="B153" s="204" t="s">
        <v>248</v>
      </c>
      <c r="C153" s="204" t="s">
        <v>225</v>
      </c>
      <c r="D153" s="204">
        <v>3</v>
      </c>
      <c r="E153" s="204" t="s">
        <v>242</v>
      </c>
      <c r="F153" s="204"/>
      <c r="G153" s="204">
        <v>1.1328809</v>
      </c>
      <c r="H153" s="205">
        <v>45404.853391203702</v>
      </c>
      <c r="I153" s="206">
        <v>0.7</v>
      </c>
      <c r="J153" s="249">
        <v>1.3</v>
      </c>
      <c r="K153" s="250"/>
      <c r="L153" s="222"/>
      <c r="M153" s="222"/>
      <c r="N153" s="222"/>
      <c r="O153" s="222"/>
      <c r="P153" s="222"/>
      <c r="Q153" s="222"/>
      <c r="S153" s="222"/>
      <c r="T153" s="222"/>
      <c r="U153" s="222"/>
    </row>
    <row r="154" spans="1:21">
      <c r="A154" s="204" t="s">
        <v>238</v>
      </c>
      <c r="B154" s="204" t="s">
        <v>248</v>
      </c>
      <c r="C154" s="204" t="s">
        <v>225</v>
      </c>
      <c r="D154" s="204">
        <v>3</v>
      </c>
      <c r="E154" s="204" t="s">
        <v>243</v>
      </c>
      <c r="F154" s="204"/>
      <c r="G154" s="204">
        <v>475.43445000000003</v>
      </c>
      <c r="H154" s="205">
        <v>45404.853391203702</v>
      </c>
      <c r="I154" s="206">
        <v>300</v>
      </c>
      <c r="J154" s="249">
        <v>623</v>
      </c>
      <c r="K154" s="250"/>
      <c r="L154" s="222"/>
      <c r="M154" s="222"/>
      <c r="N154" s="222"/>
      <c r="O154" s="222"/>
      <c r="P154" s="222"/>
      <c r="Q154" s="222"/>
      <c r="S154" s="222"/>
      <c r="T154" s="222"/>
      <c r="U154" s="222"/>
    </row>
    <row r="155" spans="1:21">
      <c r="A155" s="204" t="s">
        <v>238</v>
      </c>
      <c r="B155" s="204" t="s">
        <v>248</v>
      </c>
      <c r="C155" s="204" t="s">
        <v>225</v>
      </c>
      <c r="D155" s="204">
        <v>3</v>
      </c>
      <c r="E155" s="204" t="s">
        <v>244</v>
      </c>
      <c r="F155" s="204"/>
      <c r="G155" s="204">
        <v>9.2985190000000006</v>
      </c>
      <c r="H155" s="205">
        <v>45404.853391203702</v>
      </c>
      <c r="I155" s="206">
        <v>0.2</v>
      </c>
      <c r="J155" s="249">
        <v>12</v>
      </c>
      <c r="K155" s="250"/>
      <c r="L155" s="222"/>
      <c r="M155" s="222"/>
      <c r="N155" s="222"/>
      <c r="O155" s="222"/>
      <c r="P155" s="222"/>
      <c r="Q155" s="222"/>
      <c r="S155" s="222"/>
      <c r="T155" s="222"/>
      <c r="U155" s="222"/>
    </row>
  </sheetData>
  <mergeCells count="4">
    <mergeCell ref="AM16:AP17"/>
    <mergeCell ref="AM31:AP32"/>
    <mergeCell ref="Y7:Y8"/>
    <mergeCell ref="Y22:Y23"/>
  </mergeCells>
  <dataValidations count="3">
    <dataValidation type="custom" allowBlank="1" showInputMessage="1" showErrorMessage="1" error="分析设定为2人" sqref="G66:G68 G86:G88 G76:G78 G71">
      <formula1>$U$10=3</formula1>
    </dataValidation>
    <dataValidation type="custom" showInputMessage="1" showErrorMessage="1" error="试验次数设定为 2次。" sqref="G61:G62 G90:G92">
      <formula1>$U$12=3</formula1>
    </dataValidation>
    <dataValidation type="custom" showInputMessage="1" showErrorMessage="1" error="试验次数设定为 2次。" sqref="G31:G32">
      <formula1>$V$12=3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I36"/>
  <sheetViews>
    <sheetView tabSelected="1" zoomScale="60" zoomScaleNormal="60" workbookViewId="0">
      <selection activeCell="F24" sqref="F24"/>
    </sheetView>
  </sheetViews>
  <sheetFormatPr defaultRowHeight="14.25"/>
  <cols>
    <col min="4" max="4" width="68.75" customWidth="1"/>
    <col min="5" max="5" width="33.125" customWidth="1"/>
    <col min="6" max="6" width="38.5" bestFit="1" customWidth="1"/>
    <col min="7" max="7" width="40.375" customWidth="1"/>
    <col min="8" max="8" width="38.125" customWidth="1"/>
    <col min="9" max="9" width="33.125" customWidth="1"/>
  </cols>
  <sheetData>
    <row r="8" spans="4:9" ht="15" thickBot="1"/>
    <row r="9" spans="4:9" ht="44.25" customHeight="1" thickBot="1">
      <c r="D9" s="463" t="s">
        <v>526</v>
      </c>
      <c r="E9" s="464" t="s">
        <v>527</v>
      </c>
      <c r="F9" s="465" t="s">
        <v>528</v>
      </c>
      <c r="G9" s="465" t="s">
        <v>534</v>
      </c>
      <c r="H9" s="466" t="s">
        <v>529</v>
      </c>
      <c r="I9" s="466" t="s">
        <v>535</v>
      </c>
    </row>
    <row r="10" spans="4:9" ht="44.25" customHeight="1" thickBot="1">
      <c r="D10" s="467" t="s">
        <v>530</v>
      </c>
      <c r="E10" s="468">
        <v>9.6</v>
      </c>
      <c r="F10" s="469">
        <v>12.29</v>
      </c>
      <c r="G10" s="470">
        <v>2.69</v>
      </c>
      <c r="H10" s="471">
        <v>11.52</v>
      </c>
      <c r="I10" s="472">
        <v>1.92</v>
      </c>
    </row>
    <row r="11" spans="4:9" ht="44.25" customHeight="1" thickBot="1">
      <c r="D11" s="467" t="s">
        <v>531</v>
      </c>
      <c r="E11" s="473">
        <v>999600</v>
      </c>
      <c r="F11" s="474">
        <v>199920</v>
      </c>
      <c r="G11" s="475">
        <v>-799680</v>
      </c>
      <c r="H11" s="476">
        <v>199920</v>
      </c>
      <c r="I11" s="477">
        <v>-799680</v>
      </c>
    </row>
    <row r="12" spans="4:9" ht="44.25" customHeight="1" thickBot="1">
      <c r="D12" s="467" t="s">
        <v>532</v>
      </c>
      <c r="E12" s="473">
        <v>982800</v>
      </c>
      <c r="F12" s="474">
        <v>575640</v>
      </c>
      <c r="G12" s="475">
        <v>-407160</v>
      </c>
      <c r="H12" s="476">
        <v>561600</v>
      </c>
      <c r="I12" s="477">
        <v>-421200</v>
      </c>
    </row>
    <row r="13" spans="4:9" ht="32.25" thickBot="1">
      <c r="D13" s="478" t="s">
        <v>533</v>
      </c>
      <c r="E13" s="479">
        <v>1982400</v>
      </c>
      <c r="F13" s="479">
        <v>775650</v>
      </c>
      <c r="G13" s="480">
        <v>-1206750</v>
      </c>
      <c r="H13" s="479">
        <v>761520</v>
      </c>
      <c r="I13" s="480">
        <v>-1220880</v>
      </c>
    </row>
    <row r="15" spans="4:9" ht="14.25" customHeight="1" thickBot="1"/>
    <row r="16" spans="4:9" ht="12.75" hidden="1" customHeight="1" thickBot="1"/>
    <row r="17" spans="4:9" ht="60.75" customHeight="1" thickBot="1">
      <c r="D17" s="481" t="s">
        <v>526</v>
      </c>
      <c r="E17" s="482" t="s">
        <v>536</v>
      </c>
      <c r="F17" s="483" t="s">
        <v>537</v>
      </c>
      <c r="G17" s="484" t="s">
        <v>538</v>
      </c>
    </row>
    <row r="18" spans="4:9" ht="38.25" customHeight="1" thickBot="1">
      <c r="D18" s="485" t="s">
        <v>539</v>
      </c>
      <c r="E18" s="486">
        <v>1982400</v>
      </c>
      <c r="F18" s="480">
        <v>-1206750</v>
      </c>
      <c r="G18" s="480">
        <v>-1220880</v>
      </c>
    </row>
    <row r="29" spans="4:9" ht="81">
      <c r="D29" s="487" t="s">
        <v>526</v>
      </c>
      <c r="E29" s="487" t="s">
        <v>527</v>
      </c>
      <c r="F29" s="487" t="s">
        <v>528</v>
      </c>
      <c r="G29" s="487" t="s">
        <v>534</v>
      </c>
      <c r="H29" s="487" t="s">
        <v>529</v>
      </c>
      <c r="I29" s="487" t="s">
        <v>535</v>
      </c>
    </row>
    <row r="30" spans="4:9" ht="27">
      <c r="D30" s="488" t="s">
        <v>545</v>
      </c>
      <c r="E30" s="489">
        <v>9.6</v>
      </c>
      <c r="F30" s="489">
        <v>12.29</v>
      </c>
      <c r="G30" s="491">
        <v>2.69</v>
      </c>
      <c r="H30" s="489">
        <v>11.52</v>
      </c>
      <c r="I30" s="491">
        <v>1.92</v>
      </c>
    </row>
    <row r="31" spans="4:9" ht="27">
      <c r="D31" s="488" t="s">
        <v>531</v>
      </c>
      <c r="E31" s="490">
        <v>999600</v>
      </c>
      <c r="F31" s="490">
        <v>199920</v>
      </c>
      <c r="G31" s="492">
        <v>-799680</v>
      </c>
      <c r="H31" s="490">
        <v>199920</v>
      </c>
      <c r="I31" s="492">
        <v>-799680</v>
      </c>
    </row>
    <row r="32" spans="4:9" ht="27">
      <c r="D32" s="488" t="s">
        <v>532</v>
      </c>
      <c r="E32" s="490">
        <v>982800</v>
      </c>
      <c r="F32" s="490">
        <v>575640</v>
      </c>
      <c r="G32" s="492">
        <v>-407160</v>
      </c>
      <c r="H32" s="490">
        <v>561600</v>
      </c>
      <c r="I32" s="492">
        <v>-421200</v>
      </c>
    </row>
    <row r="33" spans="4:9" ht="27">
      <c r="D33" s="488" t="s">
        <v>533</v>
      </c>
      <c r="E33" s="490">
        <v>1982400</v>
      </c>
      <c r="F33" s="490">
        <v>775650</v>
      </c>
      <c r="G33" s="492">
        <v>-1206750</v>
      </c>
      <c r="H33" s="490">
        <v>761520</v>
      </c>
      <c r="I33" s="492">
        <v>-1220880</v>
      </c>
    </row>
    <row r="34" spans="4:9" ht="27">
      <c r="D34" s="488" t="s">
        <v>540</v>
      </c>
      <c r="E34" s="490">
        <v>1982400</v>
      </c>
      <c r="F34" s="490">
        <v>775650</v>
      </c>
      <c r="G34" s="492">
        <v>-1206750</v>
      </c>
      <c r="H34" s="490">
        <v>761520</v>
      </c>
      <c r="I34" s="492">
        <v>-1220880</v>
      </c>
    </row>
    <row r="35" spans="4:9" ht="27">
      <c r="D35" s="488" t="s">
        <v>541</v>
      </c>
      <c r="E35" s="489" t="s">
        <v>125</v>
      </c>
      <c r="F35" s="492">
        <v>1206840</v>
      </c>
      <c r="G35" s="489" t="s">
        <v>125</v>
      </c>
      <c r="H35" s="492">
        <v>1220880</v>
      </c>
      <c r="I35" s="489" t="s">
        <v>125</v>
      </c>
    </row>
    <row r="36" spans="4:9" ht="54">
      <c r="D36" s="488" t="s">
        <v>542</v>
      </c>
      <c r="E36" s="489" t="s">
        <v>125</v>
      </c>
      <c r="F36" s="489" t="s">
        <v>543</v>
      </c>
      <c r="G36" s="489" t="s">
        <v>125</v>
      </c>
      <c r="H36" s="489" t="s">
        <v>544</v>
      </c>
      <c r="I36" s="489" t="s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Template</vt:lpstr>
      <vt:lpstr>Step Formula</vt:lpstr>
      <vt:lpstr>demo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Jakkapan Pomthong</dc:creator>
  <cp:lastModifiedBy>Phatcharaphon Camsana</cp:lastModifiedBy>
  <dcterms:created xsi:type="dcterms:W3CDTF">2024-05-03T02:46:53Z</dcterms:created>
  <dcterms:modified xsi:type="dcterms:W3CDTF">2024-07-31T07:56:31Z</dcterms:modified>
</cp:coreProperties>
</file>