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welco/Box Sync/CROSSES/FALL/Inheritance/"/>
    </mc:Choice>
  </mc:AlternateContent>
  <bookViews>
    <workbookView xWindow="27580" yWindow="-5140" windowWidth="18760" windowHeight="14440" tabRatio="619"/>
  </bookViews>
  <sheets>
    <sheet name="Segregation " sheetId="1" r:id="rId1"/>
    <sheet name="Sheet1" sheetId="12" r:id="rId2"/>
    <sheet name="Ne" sheetId="11" r:id="rId3"/>
    <sheet name="Degree of dominance" sheetId="5" r:id="rId4"/>
  </sheets>
  <definedNames>
    <definedName name="_xlnm._FilterDatabase" localSheetId="0" hidden="1">'Segregation '!$A$1:$AE$101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10" i="1"/>
  <c r="AB94" i="1"/>
  <c r="G30" i="1"/>
  <c r="G9" i="1"/>
  <c r="AB82" i="1"/>
  <c r="G28" i="1"/>
  <c r="AB80" i="1"/>
  <c r="G27" i="1"/>
  <c r="AB76" i="1"/>
  <c r="G19" i="1"/>
  <c r="AB74" i="1"/>
  <c r="G18" i="1"/>
  <c r="AB65" i="1"/>
  <c r="G37" i="1"/>
  <c r="G13" i="1"/>
  <c r="AB86" i="1"/>
  <c r="G36" i="1"/>
  <c r="G12" i="1"/>
  <c r="AB85" i="1"/>
  <c r="G5" i="1"/>
  <c r="G34" i="1"/>
  <c r="AB83" i="1"/>
  <c r="G33" i="1"/>
  <c r="AB79" i="1"/>
  <c r="G22" i="1"/>
  <c r="AB77" i="1"/>
  <c r="G21" i="1"/>
  <c r="AB69" i="1"/>
  <c r="G43" i="1"/>
  <c r="G16" i="1"/>
  <c r="AB93" i="1"/>
  <c r="G42" i="1"/>
  <c r="G15" i="1"/>
  <c r="AB92" i="1"/>
  <c r="G40" i="1"/>
  <c r="AB90" i="1"/>
  <c r="E41" i="1"/>
  <c r="D41" i="1"/>
  <c r="G41" i="1"/>
  <c r="E23" i="1"/>
  <c r="D23" i="1"/>
  <c r="G23" i="1"/>
  <c r="AB89" i="1"/>
  <c r="G25" i="1"/>
  <c r="AB87" i="1"/>
  <c r="G24" i="1"/>
  <c r="AB73" i="1"/>
  <c r="G6" i="1"/>
  <c r="G39" i="1"/>
  <c r="AB52" i="1"/>
  <c r="C4" i="12"/>
  <c r="C5" i="12"/>
  <c r="C6" i="12"/>
  <c r="F6" i="12"/>
  <c r="B4" i="12"/>
  <c r="B5" i="12"/>
  <c r="B6" i="12"/>
  <c r="D6" i="12"/>
  <c r="F83" i="1"/>
  <c r="G83" i="1"/>
  <c r="E95" i="1"/>
  <c r="D95" i="1"/>
  <c r="F80" i="1"/>
  <c r="G3" i="1"/>
  <c r="E44" i="1"/>
  <c r="D44" i="1"/>
  <c r="E17" i="1"/>
  <c r="D17" i="1"/>
  <c r="F74" i="1"/>
  <c r="D8" i="1"/>
  <c r="D14" i="1"/>
  <c r="D45" i="1"/>
  <c r="D51" i="1"/>
  <c r="D54" i="1"/>
  <c r="D63" i="1"/>
  <c r="D60" i="1"/>
  <c r="D71" i="1"/>
  <c r="D48" i="1"/>
  <c r="D96" i="1"/>
  <c r="D88" i="1"/>
  <c r="D91" i="1"/>
  <c r="D99" i="1"/>
  <c r="E64" i="1"/>
  <c r="D26" i="1"/>
  <c r="G53" i="1"/>
  <c r="E99" i="1"/>
  <c r="E91" i="1"/>
  <c r="E60" i="1"/>
  <c r="E50" i="1"/>
  <c r="D50" i="1"/>
  <c r="E38" i="1"/>
  <c r="D38" i="1"/>
  <c r="G93" i="1"/>
  <c r="G92" i="1"/>
  <c r="G90" i="1"/>
  <c r="G89" i="1"/>
  <c r="G87" i="1"/>
  <c r="G70" i="1"/>
  <c r="G59" i="1"/>
  <c r="G52" i="1"/>
  <c r="E100" i="1"/>
  <c r="E51" i="1"/>
  <c r="F93" i="1"/>
  <c r="F92" i="1"/>
  <c r="F90" i="1"/>
  <c r="F89" i="1"/>
  <c r="F87" i="1"/>
  <c r="F70" i="1"/>
  <c r="F59" i="1"/>
  <c r="F52" i="1"/>
  <c r="F43" i="1"/>
  <c r="F42" i="1"/>
  <c r="F40" i="1"/>
  <c r="F39" i="1"/>
  <c r="F25" i="1"/>
  <c r="F24" i="1"/>
  <c r="F16" i="1"/>
  <c r="F15" i="1"/>
  <c r="F7" i="1"/>
  <c r="F6" i="1"/>
  <c r="E14" i="1"/>
  <c r="E47" i="1"/>
  <c r="E78" i="1"/>
  <c r="D47" i="1"/>
  <c r="D57" i="1"/>
  <c r="E32" i="1"/>
  <c r="E35" i="1"/>
  <c r="D32" i="1"/>
  <c r="D35" i="1"/>
  <c r="F56" i="1"/>
  <c r="G56" i="1"/>
  <c r="F86" i="1"/>
  <c r="F85" i="1"/>
  <c r="F79" i="1"/>
  <c r="F77" i="1"/>
  <c r="F69" i="1"/>
  <c r="F66" i="1"/>
  <c r="F37" i="1"/>
  <c r="F36" i="1"/>
  <c r="F34" i="1"/>
  <c r="F33" i="1"/>
  <c r="F22" i="1"/>
  <c r="F21" i="1"/>
  <c r="F13" i="1"/>
  <c r="F12" i="1"/>
  <c r="F5" i="1"/>
  <c r="F4" i="1"/>
  <c r="G86" i="1"/>
  <c r="G85" i="1"/>
  <c r="G79" i="1"/>
  <c r="G77" i="1"/>
  <c r="G69" i="1"/>
  <c r="G66" i="1"/>
  <c r="F95" i="1"/>
  <c r="E81" i="1"/>
  <c r="D81" i="1"/>
  <c r="E75" i="1"/>
  <c r="D75" i="1"/>
  <c r="E63" i="1"/>
  <c r="E54" i="1"/>
  <c r="E29" i="1"/>
  <c r="D29" i="1"/>
  <c r="E26" i="1"/>
  <c r="G65" i="1"/>
  <c r="G76" i="1"/>
  <c r="G82" i="1"/>
  <c r="E96" i="1"/>
  <c r="G94" i="1"/>
  <c r="G80" i="1"/>
  <c r="G74" i="1"/>
  <c r="G62" i="1"/>
  <c r="G55" i="1"/>
  <c r="G46" i="1"/>
  <c r="E45" i="1"/>
  <c r="G2" i="1"/>
  <c r="E8" i="1"/>
  <c r="E58" i="1"/>
  <c r="G4" i="1"/>
  <c r="F31" i="1"/>
  <c r="F30" i="1"/>
  <c r="F28" i="1"/>
  <c r="F27" i="1"/>
  <c r="F19" i="1"/>
  <c r="F18" i="1"/>
  <c r="F10" i="1"/>
  <c r="F9" i="1"/>
  <c r="F3" i="1"/>
  <c r="F2" i="1"/>
  <c r="M2" i="11"/>
  <c r="P2" i="11"/>
  <c r="P35" i="11"/>
  <c r="P20" i="11"/>
  <c r="O20" i="11"/>
  <c r="O35" i="11"/>
  <c r="F47" i="11"/>
  <c r="F33" i="11"/>
  <c r="F30" i="11"/>
  <c r="F31" i="11"/>
  <c r="F32" i="11"/>
  <c r="M20" i="11"/>
  <c r="N20" i="11"/>
  <c r="N35" i="11"/>
  <c r="M35" i="11"/>
  <c r="O2" i="11"/>
  <c r="F11" i="11"/>
  <c r="E12" i="11"/>
  <c r="E11" i="11"/>
  <c r="N2" i="11"/>
  <c r="F46" i="1"/>
  <c r="F55" i="1"/>
  <c r="Q35" i="11"/>
  <c r="Q20" i="11"/>
  <c r="G11" i="11"/>
  <c r="Q2" i="11"/>
  <c r="F46" i="11"/>
  <c r="F45" i="11"/>
  <c r="E47" i="11"/>
  <c r="G47" i="11"/>
  <c r="E46" i="11"/>
  <c r="G46" i="11"/>
  <c r="E45" i="11"/>
  <c r="E31" i="11"/>
  <c r="E30" i="11"/>
  <c r="F16" i="11"/>
  <c r="E16" i="11"/>
  <c r="F15" i="11"/>
  <c r="E15" i="11"/>
  <c r="E32" i="11"/>
  <c r="E33" i="11"/>
  <c r="F14" i="11"/>
  <c r="E14" i="11"/>
  <c r="F13" i="11"/>
  <c r="E13" i="11"/>
  <c r="F12" i="11"/>
  <c r="G12" i="11"/>
  <c r="G16" i="11"/>
  <c r="G32" i="11"/>
  <c r="G33" i="11"/>
  <c r="G30" i="11"/>
  <c r="G15" i="11"/>
  <c r="G45" i="11"/>
  <c r="G31" i="11"/>
  <c r="G14" i="11"/>
  <c r="G13" i="11"/>
  <c r="F82" i="1"/>
  <c r="F76" i="1"/>
  <c r="F65" i="1"/>
  <c r="B19" i="5"/>
  <c r="C19" i="5"/>
  <c r="B8" i="5"/>
  <c r="C8" i="5"/>
  <c r="C18" i="5"/>
  <c r="C17" i="5"/>
  <c r="C16" i="5"/>
  <c r="C15" i="5"/>
  <c r="C6" i="5"/>
  <c r="C7" i="5"/>
  <c r="C5" i="5"/>
  <c r="C4" i="5"/>
  <c r="G7" i="1"/>
  <c r="E49" i="1"/>
  <c r="E61" i="1"/>
  <c r="G61" i="1"/>
  <c r="AC92" i="1"/>
  <c r="AC79" i="1"/>
  <c r="AC85" i="1"/>
  <c r="AD85" i="1"/>
  <c r="AE85" i="1"/>
  <c r="AC86" i="1"/>
  <c r="AC77" i="1"/>
  <c r="AC76" i="1"/>
  <c r="H94" i="1"/>
  <c r="I94" i="1"/>
  <c r="AC94" i="1"/>
  <c r="AB46" i="1"/>
  <c r="AC46" i="1"/>
  <c r="AD46" i="1"/>
  <c r="AC80" i="1"/>
  <c r="AC65" i="1"/>
  <c r="AC74" i="1"/>
  <c r="H74" i="1"/>
  <c r="I74" i="1"/>
  <c r="AC73" i="1"/>
  <c r="AD73" i="1"/>
  <c r="H80" i="1"/>
  <c r="I80" i="1"/>
  <c r="H53" i="1"/>
  <c r="I53" i="1"/>
  <c r="H87" i="1"/>
  <c r="I87" i="1"/>
  <c r="AC87" i="1"/>
  <c r="H62" i="1"/>
  <c r="I62" i="1"/>
  <c r="AB53" i="1"/>
  <c r="AC53" i="1"/>
  <c r="AD53" i="1"/>
  <c r="E88" i="1"/>
  <c r="F88" i="1"/>
  <c r="L69" i="1"/>
  <c r="M69" i="1"/>
  <c r="N69" i="1"/>
  <c r="E97" i="1"/>
  <c r="G51" i="1"/>
  <c r="G96" i="1"/>
  <c r="L94" i="1"/>
  <c r="M94" i="1"/>
  <c r="N94" i="1"/>
  <c r="O94" i="1"/>
  <c r="X62" i="1"/>
  <c r="Y62" i="1"/>
  <c r="Z62" i="1"/>
  <c r="AA62" i="1"/>
  <c r="D97" i="1"/>
  <c r="E20" i="1"/>
  <c r="E68" i="1"/>
  <c r="E11" i="1"/>
  <c r="D78" i="1"/>
  <c r="G78" i="1"/>
  <c r="H92" i="1"/>
  <c r="I92" i="1"/>
  <c r="J92" i="1"/>
  <c r="K92" i="1"/>
  <c r="E84" i="1"/>
  <c r="H73" i="1"/>
  <c r="I73" i="1"/>
  <c r="F29" i="1"/>
  <c r="G44" i="1"/>
  <c r="F14" i="1"/>
  <c r="L85" i="1"/>
  <c r="M85" i="1"/>
  <c r="N85" i="1"/>
  <c r="F91" i="1"/>
  <c r="P89" i="1"/>
  <c r="Q89" i="1"/>
  <c r="R89" i="1"/>
  <c r="F35" i="1"/>
  <c r="F44" i="1"/>
  <c r="AC69" i="1"/>
  <c r="AD69" i="1"/>
  <c r="AE69" i="1"/>
  <c r="T73" i="1"/>
  <c r="U73" i="1"/>
  <c r="V73" i="1"/>
  <c r="AB58" i="1"/>
  <c r="AC58" i="1"/>
  <c r="AD58" i="1"/>
  <c r="G60" i="1"/>
  <c r="H90" i="1"/>
  <c r="I90" i="1"/>
  <c r="J90" i="1"/>
  <c r="K90" i="1"/>
  <c r="F17" i="1"/>
  <c r="G45" i="1"/>
  <c r="G32" i="1"/>
  <c r="L73" i="1"/>
  <c r="M73" i="1"/>
  <c r="N73" i="1"/>
  <c r="H58" i="1"/>
  <c r="I58" i="1"/>
  <c r="J58" i="1"/>
  <c r="L92" i="1"/>
  <c r="M92" i="1"/>
  <c r="N92" i="1"/>
  <c r="O92" i="1"/>
  <c r="G50" i="1"/>
  <c r="P92" i="1"/>
  <c r="Q92" i="1"/>
  <c r="R92" i="1"/>
  <c r="L76" i="1"/>
  <c r="M76" i="1"/>
  <c r="N76" i="1"/>
  <c r="AB61" i="1"/>
  <c r="T82" i="1"/>
  <c r="U82" i="1"/>
  <c r="V82" i="1"/>
  <c r="W82" i="1"/>
  <c r="F47" i="1"/>
  <c r="T80" i="1"/>
  <c r="U80" i="1"/>
  <c r="V80" i="1"/>
  <c r="W80" i="1"/>
  <c r="T92" i="1"/>
  <c r="U92" i="1"/>
  <c r="V92" i="1"/>
  <c r="G17" i="1"/>
  <c r="G8" i="1"/>
  <c r="F73" i="1"/>
  <c r="H46" i="1"/>
  <c r="I46" i="1"/>
  <c r="J46" i="1"/>
  <c r="G14" i="1"/>
  <c r="F41" i="1"/>
  <c r="E71" i="1"/>
  <c r="G35" i="1"/>
  <c r="G91" i="1"/>
  <c r="L82" i="1"/>
  <c r="M82" i="1"/>
  <c r="N82" i="1"/>
  <c r="O82" i="1"/>
  <c r="F61" i="1"/>
  <c r="L80" i="1"/>
  <c r="M80" i="1"/>
  <c r="N80" i="1"/>
  <c r="O80" i="1"/>
  <c r="T94" i="1"/>
  <c r="U94" i="1"/>
  <c r="V94" i="1"/>
  <c r="H76" i="1"/>
  <c r="I76" i="1"/>
  <c r="J76" i="1"/>
  <c r="K76" i="1"/>
  <c r="H89" i="1"/>
  <c r="I89" i="1"/>
  <c r="J89" i="1"/>
  <c r="K89" i="1"/>
  <c r="L52" i="1"/>
  <c r="M52" i="1"/>
  <c r="N52" i="1"/>
  <c r="O52" i="1"/>
  <c r="L59" i="1"/>
  <c r="M59" i="1"/>
  <c r="N59" i="1"/>
  <c r="T55" i="1"/>
  <c r="U55" i="1"/>
  <c r="V55" i="1"/>
  <c r="W55" i="1"/>
  <c r="F96" i="1"/>
  <c r="G95" i="1"/>
  <c r="H85" i="1"/>
  <c r="I85" i="1"/>
  <c r="H49" i="1"/>
  <c r="I49" i="1"/>
  <c r="J49" i="1"/>
  <c r="P73" i="1"/>
  <c r="Q73" i="1"/>
  <c r="R73" i="1"/>
  <c r="F26" i="1"/>
  <c r="F81" i="1"/>
  <c r="F32" i="1"/>
  <c r="F50" i="1"/>
  <c r="L46" i="1"/>
  <c r="M46" i="1"/>
  <c r="N46" i="1"/>
  <c r="O46" i="1"/>
  <c r="D64" i="1"/>
  <c r="P49" i="1"/>
  <c r="Q49" i="1"/>
  <c r="R49" i="1"/>
  <c r="G29" i="1"/>
  <c r="AB49" i="1"/>
  <c r="AC49" i="1"/>
  <c r="AD49" i="1"/>
  <c r="L62" i="1"/>
  <c r="M62" i="1"/>
  <c r="N62" i="1"/>
  <c r="T79" i="1"/>
  <c r="U79" i="1"/>
  <c r="L49" i="1"/>
  <c r="M49" i="1"/>
  <c r="N49" i="1"/>
  <c r="H69" i="1"/>
  <c r="I69" i="1"/>
  <c r="J69" i="1"/>
  <c r="H52" i="1"/>
  <c r="I52" i="1"/>
  <c r="J52" i="1"/>
  <c r="H59" i="1"/>
  <c r="I59" i="1"/>
  <c r="X70" i="1"/>
  <c r="Y70" i="1"/>
  <c r="Z70" i="1"/>
  <c r="G26" i="1"/>
  <c r="G58" i="1"/>
  <c r="T87" i="1"/>
  <c r="U87" i="1"/>
  <c r="P58" i="1"/>
  <c r="Q58" i="1"/>
  <c r="R58" i="1"/>
  <c r="H55" i="1"/>
  <c r="I55" i="1"/>
  <c r="F54" i="1"/>
  <c r="F58" i="1"/>
  <c r="P53" i="1"/>
  <c r="Q53" i="1"/>
  <c r="R53" i="1"/>
  <c r="S53" i="1"/>
  <c r="T76" i="1"/>
  <c r="U76" i="1"/>
  <c r="V76" i="1"/>
  <c r="AC82" i="1"/>
  <c r="L55" i="1"/>
  <c r="M55" i="1"/>
  <c r="H82" i="1"/>
  <c r="I82" i="1"/>
  <c r="H79" i="1"/>
  <c r="I79" i="1"/>
  <c r="J79" i="1"/>
  <c r="AC52" i="1"/>
  <c r="AD52" i="1"/>
  <c r="AE52" i="1"/>
  <c r="P46" i="1"/>
  <c r="Q46" i="1"/>
  <c r="R46" i="1"/>
  <c r="T54" i="1"/>
  <c r="U54" i="1"/>
  <c r="F8" i="1"/>
  <c r="L79" i="1"/>
  <c r="M79" i="1"/>
  <c r="N79" i="1"/>
  <c r="D100" i="1"/>
  <c r="P87" i="1"/>
  <c r="Q87" i="1"/>
  <c r="AC90" i="1"/>
  <c r="L87" i="1"/>
  <c r="M87" i="1"/>
  <c r="P90" i="1"/>
  <c r="Q90" i="1"/>
  <c r="T59" i="1"/>
  <c r="U59" i="1"/>
  <c r="E57" i="1"/>
  <c r="AC93" i="1"/>
  <c r="L93" i="1"/>
  <c r="M93" i="1"/>
  <c r="T93" i="1"/>
  <c r="U93" i="1"/>
  <c r="P93" i="1"/>
  <c r="Q93" i="1"/>
  <c r="H93" i="1"/>
  <c r="I93" i="1"/>
  <c r="G63" i="1"/>
  <c r="T85" i="1"/>
  <c r="U85" i="1"/>
  <c r="T77" i="1"/>
  <c r="U77" i="1"/>
  <c r="T86" i="1"/>
  <c r="U86" i="1"/>
  <c r="F38" i="1"/>
  <c r="G38" i="1"/>
  <c r="G99" i="1"/>
  <c r="G49" i="1"/>
  <c r="P66" i="1"/>
  <c r="Q66" i="1"/>
  <c r="R66" i="1"/>
  <c r="S66" i="1"/>
  <c r="X56" i="1"/>
  <c r="Y56" i="1"/>
  <c r="T56" i="1"/>
  <c r="U56" i="1"/>
  <c r="X49" i="1"/>
  <c r="Y49" i="1"/>
  <c r="Z49" i="1"/>
  <c r="F99" i="1"/>
  <c r="T65" i="1"/>
  <c r="U65" i="1"/>
  <c r="L65" i="1"/>
  <c r="M65" i="1"/>
  <c r="H65" i="1"/>
  <c r="I65" i="1"/>
  <c r="F49" i="1"/>
  <c r="P70" i="1"/>
  <c r="Q70" i="1"/>
  <c r="L90" i="1"/>
  <c r="M90" i="1"/>
  <c r="T90" i="1"/>
  <c r="U90" i="1"/>
  <c r="T52" i="1"/>
  <c r="U52" i="1"/>
  <c r="T61" i="1"/>
  <c r="U61" i="1"/>
  <c r="P61" i="1"/>
  <c r="Q61" i="1"/>
  <c r="P52" i="1"/>
  <c r="Q52" i="1"/>
  <c r="X52" i="1"/>
  <c r="Y52" i="1"/>
  <c r="T70" i="1"/>
  <c r="U70" i="1"/>
  <c r="L61" i="1"/>
  <c r="M61" i="1"/>
  <c r="H61" i="1"/>
  <c r="I61" i="1"/>
  <c r="X61" i="1"/>
  <c r="Y61" i="1"/>
  <c r="X58" i="1"/>
  <c r="Y58" i="1"/>
  <c r="T66" i="1"/>
  <c r="U66" i="1"/>
  <c r="X59" i="1"/>
  <c r="Y59" i="1"/>
  <c r="AB59" i="1"/>
  <c r="AC59" i="1"/>
  <c r="L70" i="1"/>
  <c r="M70" i="1"/>
  <c r="P62" i="1"/>
  <c r="Q62" i="1"/>
  <c r="G75" i="1"/>
  <c r="F75" i="1"/>
  <c r="G47" i="1"/>
  <c r="T89" i="1"/>
  <c r="U89" i="1"/>
  <c r="L89" i="1"/>
  <c r="M89" i="1"/>
  <c r="AB70" i="1"/>
  <c r="AC70" i="1"/>
  <c r="P59" i="1"/>
  <c r="Q59" i="1"/>
  <c r="X66" i="1"/>
  <c r="Y66" i="1"/>
  <c r="T49" i="1"/>
  <c r="U49" i="1"/>
  <c r="V49" i="1"/>
  <c r="T58" i="1"/>
  <c r="U58" i="1"/>
  <c r="L58" i="1"/>
  <c r="M58" i="1"/>
  <c r="L74" i="1"/>
  <c r="M74" i="1"/>
  <c r="T74" i="1"/>
  <c r="U74" i="1"/>
  <c r="G73" i="1"/>
  <c r="H70" i="1"/>
  <c r="I70" i="1"/>
  <c r="F63" i="1"/>
  <c r="T46" i="1"/>
  <c r="U46" i="1"/>
  <c r="X55" i="1"/>
  <c r="Y55" i="1"/>
  <c r="D72" i="1"/>
  <c r="AB55" i="1"/>
  <c r="AC55" i="1"/>
  <c r="G81" i="1"/>
  <c r="F45" i="1"/>
  <c r="F23" i="1"/>
  <c r="P55" i="1"/>
  <c r="Q55" i="1"/>
  <c r="X46" i="1"/>
  <c r="Y46" i="1"/>
  <c r="F60" i="1"/>
  <c r="T53" i="1"/>
  <c r="U53" i="1"/>
  <c r="T62" i="1"/>
  <c r="U62" i="1"/>
  <c r="X53" i="1"/>
  <c r="Y53" i="1"/>
  <c r="L86" i="1"/>
  <c r="M86" i="1"/>
  <c r="H86" i="1"/>
  <c r="I86" i="1"/>
  <c r="G54" i="1"/>
  <c r="AB62" i="1"/>
  <c r="AC62" i="1"/>
  <c r="L53" i="1"/>
  <c r="M53" i="1"/>
  <c r="F64" i="1"/>
  <c r="L77" i="1"/>
  <c r="M77" i="1"/>
  <c r="H77" i="1"/>
  <c r="I77" i="1"/>
  <c r="F51" i="1"/>
  <c r="AB81" i="1"/>
  <c r="AB96" i="1"/>
  <c r="AB95" i="1"/>
  <c r="AC95" i="1"/>
  <c r="P56" i="1"/>
  <c r="Q56" i="1"/>
  <c r="R56" i="1"/>
  <c r="S56" i="1"/>
  <c r="AB75" i="1"/>
  <c r="AC75" i="1"/>
  <c r="J73" i="1"/>
  <c r="K73" i="1"/>
  <c r="AC61" i="1"/>
  <c r="AD61" i="1"/>
  <c r="AE61" i="1"/>
  <c r="AE73" i="1"/>
  <c r="G88" i="1"/>
  <c r="AD92" i="1"/>
  <c r="AE92" i="1"/>
  <c r="AD82" i="1"/>
  <c r="AE82" i="1"/>
  <c r="AD74" i="1"/>
  <c r="AE74" i="1"/>
  <c r="J62" i="1"/>
  <c r="K62" i="1"/>
  <c r="J85" i="1"/>
  <c r="K85" i="1"/>
  <c r="L96" i="1"/>
  <c r="M96" i="1"/>
  <c r="N96" i="1"/>
  <c r="P63" i="1"/>
  <c r="Q63" i="1"/>
  <c r="R63" i="1"/>
  <c r="G97" i="1"/>
  <c r="F97" i="1"/>
  <c r="H83" i="1"/>
  <c r="I83" i="1"/>
  <c r="J83" i="1"/>
  <c r="K83" i="1"/>
  <c r="O85" i="1"/>
  <c r="H66" i="1"/>
  <c r="I66" i="1"/>
  <c r="J66" i="1"/>
  <c r="K66" i="1"/>
  <c r="AB56" i="1"/>
  <c r="AC56" i="1"/>
  <c r="AD56" i="1"/>
  <c r="AE56" i="1"/>
  <c r="H56" i="1"/>
  <c r="I56" i="1"/>
  <c r="J56" i="1"/>
  <c r="K56" i="1"/>
  <c r="L56" i="1"/>
  <c r="M56" i="1"/>
  <c r="N56" i="1"/>
  <c r="O56" i="1"/>
  <c r="AC83" i="1"/>
  <c r="AD83" i="1"/>
  <c r="AE83" i="1"/>
  <c r="L83" i="1"/>
  <c r="M83" i="1"/>
  <c r="N83" i="1"/>
  <c r="O83" i="1"/>
  <c r="AB66" i="1"/>
  <c r="AC66" i="1"/>
  <c r="AD66" i="1"/>
  <c r="AE66" i="1"/>
  <c r="T83" i="1"/>
  <c r="U83" i="1"/>
  <c r="V83" i="1"/>
  <c r="W83" i="1"/>
  <c r="D20" i="1"/>
  <c r="D84" i="1"/>
  <c r="D11" i="1"/>
  <c r="L66" i="1"/>
  <c r="M66" i="1"/>
  <c r="N66" i="1"/>
  <c r="O66" i="1"/>
  <c r="F78" i="1"/>
  <c r="F71" i="1"/>
  <c r="F72" i="1"/>
  <c r="E48" i="1"/>
  <c r="E98" i="1"/>
  <c r="S89" i="1"/>
  <c r="AE58" i="1"/>
  <c r="O69" i="1"/>
  <c r="H95" i="1"/>
  <c r="I95" i="1"/>
  <c r="J95" i="1"/>
  <c r="K95" i="1"/>
  <c r="AB63" i="1"/>
  <c r="AC63" i="1"/>
  <c r="W73" i="1"/>
  <c r="K79" i="1"/>
  <c r="H63" i="1"/>
  <c r="I63" i="1"/>
  <c r="J63" i="1"/>
  <c r="K63" i="1"/>
  <c r="T96" i="1"/>
  <c r="U96" i="1"/>
  <c r="V96" i="1"/>
  <c r="H88" i="1"/>
  <c r="I88" i="1"/>
  <c r="J88" i="1"/>
  <c r="O76" i="1"/>
  <c r="AE46" i="1"/>
  <c r="O59" i="1"/>
  <c r="P64" i="1"/>
  <c r="Q64" i="1"/>
  <c r="T64" i="1"/>
  <c r="U64" i="1"/>
  <c r="V64" i="1"/>
  <c r="W64" i="1"/>
  <c r="K49" i="1"/>
  <c r="T95" i="1"/>
  <c r="U95" i="1"/>
  <c r="V95" i="1"/>
  <c r="W95" i="1"/>
  <c r="AC81" i="1"/>
  <c r="X64" i="1"/>
  <c r="Y64" i="1"/>
  <c r="Z64" i="1"/>
  <c r="AA64" i="1"/>
  <c r="X54" i="1"/>
  <c r="Y54" i="1"/>
  <c r="Z54" i="1"/>
  <c r="L95" i="1"/>
  <c r="M95" i="1"/>
  <c r="N95" i="1"/>
  <c r="O95" i="1"/>
  <c r="H96" i="1"/>
  <c r="I96" i="1"/>
  <c r="J96" i="1"/>
  <c r="K96" i="1"/>
  <c r="AC96" i="1"/>
  <c r="AB64" i="1"/>
  <c r="AC64" i="1"/>
  <c r="H64" i="1"/>
  <c r="I64" i="1"/>
  <c r="J64" i="1"/>
  <c r="S92" i="1"/>
  <c r="G71" i="1"/>
  <c r="K46" i="1"/>
  <c r="L63" i="1"/>
  <c r="M63" i="1"/>
  <c r="N63" i="1"/>
  <c r="L64" i="1"/>
  <c r="M64" i="1"/>
  <c r="N64" i="1"/>
  <c r="O64" i="1"/>
  <c r="E72" i="1"/>
  <c r="G72" i="1"/>
  <c r="K69" i="1"/>
  <c r="S73" i="1"/>
  <c r="W92" i="1"/>
  <c r="P71" i="1"/>
  <c r="Q71" i="1"/>
  <c r="R71" i="1"/>
  <c r="X63" i="1"/>
  <c r="Y63" i="1"/>
  <c r="Z63" i="1"/>
  <c r="T63" i="1"/>
  <c r="U63" i="1"/>
  <c r="V63" i="1"/>
  <c r="O73" i="1"/>
  <c r="J59" i="1"/>
  <c r="K59" i="1"/>
  <c r="G64" i="1"/>
  <c r="O62" i="1"/>
  <c r="O79" i="1"/>
  <c r="K58" i="1"/>
  <c r="L72" i="1"/>
  <c r="M72" i="1"/>
  <c r="N72" i="1"/>
  <c r="T91" i="1"/>
  <c r="U91" i="1"/>
  <c r="V91" i="1"/>
  <c r="P72" i="1"/>
  <c r="Q72" i="1"/>
  <c r="R72" i="1"/>
  <c r="W94" i="1"/>
  <c r="T81" i="1"/>
  <c r="U81" i="1"/>
  <c r="V81" i="1"/>
  <c r="AD76" i="1"/>
  <c r="AE76" i="1"/>
  <c r="L54" i="1"/>
  <c r="M54" i="1"/>
  <c r="N54" i="1"/>
  <c r="O54" i="1"/>
  <c r="W76" i="1"/>
  <c r="AB72" i="1"/>
  <c r="AC72" i="1"/>
  <c r="AD72" i="1"/>
  <c r="V87" i="1"/>
  <c r="W87" i="1"/>
  <c r="T100" i="1"/>
  <c r="U100" i="1"/>
  <c r="V100" i="1"/>
  <c r="H72" i="1"/>
  <c r="I72" i="1"/>
  <c r="J72" i="1"/>
  <c r="AA70" i="1"/>
  <c r="AD79" i="1"/>
  <c r="AE79" i="1"/>
  <c r="S58" i="1"/>
  <c r="H81" i="1"/>
  <c r="I81" i="1"/>
  <c r="L99" i="1"/>
  <c r="M99" i="1"/>
  <c r="N99" i="1"/>
  <c r="L100" i="1"/>
  <c r="M100" i="1"/>
  <c r="N100" i="1"/>
  <c r="P99" i="1"/>
  <c r="Q99" i="1"/>
  <c r="T71" i="1"/>
  <c r="U71" i="1"/>
  <c r="V71" i="1"/>
  <c r="H71" i="1"/>
  <c r="I71" i="1"/>
  <c r="T75" i="1"/>
  <c r="U75" i="1"/>
  <c r="V75" i="1"/>
  <c r="W75" i="1"/>
  <c r="H75" i="1"/>
  <c r="I75" i="1"/>
  <c r="J75" i="1"/>
  <c r="L75" i="1"/>
  <c r="M75" i="1"/>
  <c r="N75" i="1"/>
  <c r="V79" i="1"/>
  <c r="W79" i="1"/>
  <c r="P54" i="1"/>
  <c r="Q54" i="1"/>
  <c r="R54" i="1"/>
  <c r="S54" i="1"/>
  <c r="T99" i="1"/>
  <c r="U99" i="1"/>
  <c r="V99" i="1"/>
  <c r="P100" i="1"/>
  <c r="Q100" i="1"/>
  <c r="R100" i="1"/>
  <c r="L60" i="1"/>
  <c r="M60" i="1"/>
  <c r="N60" i="1"/>
  <c r="O60" i="1"/>
  <c r="AB54" i="1"/>
  <c r="AC54" i="1"/>
  <c r="J82" i="1"/>
  <c r="K82" i="1"/>
  <c r="K52" i="1"/>
  <c r="T60" i="1"/>
  <c r="U60" i="1"/>
  <c r="V60" i="1"/>
  <c r="W60" i="1"/>
  <c r="H54" i="1"/>
  <c r="I54" i="1"/>
  <c r="J54" i="1"/>
  <c r="K54" i="1"/>
  <c r="S46" i="1"/>
  <c r="L91" i="1"/>
  <c r="M91" i="1"/>
  <c r="N91" i="1"/>
  <c r="O91" i="1"/>
  <c r="X71" i="1"/>
  <c r="Y71" i="1"/>
  <c r="Z71" i="1"/>
  <c r="T72" i="1"/>
  <c r="U72" i="1"/>
  <c r="L81" i="1"/>
  <c r="M81" i="1"/>
  <c r="N81" i="1"/>
  <c r="O81" i="1"/>
  <c r="N55" i="1"/>
  <c r="O55" i="1"/>
  <c r="J55" i="1"/>
  <c r="K55" i="1"/>
  <c r="N58" i="1"/>
  <c r="O58" i="1"/>
  <c r="R70" i="1"/>
  <c r="S70" i="1"/>
  <c r="J93" i="1"/>
  <c r="K93" i="1"/>
  <c r="N53" i="1"/>
  <c r="O53" i="1"/>
  <c r="Z55" i="1"/>
  <c r="AA55" i="1"/>
  <c r="V56" i="1"/>
  <c r="W56" i="1"/>
  <c r="AA49" i="1"/>
  <c r="R90" i="1"/>
  <c r="S90" i="1"/>
  <c r="AD62" i="1"/>
  <c r="AE62" i="1"/>
  <c r="Z53" i="1"/>
  <c r="AA53" i="1"/>
  <c r="V46" i="1"/>
  <c r="W46" i="1"/>
  <c r="AD65" i="1"/>
  <c r="AE65" i="1"/>
  <c r="P88" i="1"/>
  <c r="Q88" i="1"/>
  <c r="AB88" i="1"/>
  <c r="AC88" i="1"/>
  <c r="L88" i="1"/>
  <c r="M88" i="1"/>
  <c r="T88" i="1"/>
  <c r="U88" i="1"/>
  <c r="W49" i="1"/>
  <c r="N87" i="1"/>
  <c r="O87" i="1"/>
  <c r="J80" i="1"/>
  <c r="K80" i="1"/>
  <c r="Z66" i="1"/>
  <c r="AA66" i="1"/>
  <c r="Z56" i="1"/>
  <c r="AA56" i="1"/>
  <c r="N93" i="1"/>
  <c r="O93" i="1"/>
  <c r="V59" i="1"/>
  <c r="W59" i="1"/>
  <c r="AD90" i="1"/>
  <c r="G100" i="1"/>
  <c r="F100" i="1"/>
  <c r="V53" i="1"/>
  <c r="W53" i="1"/>
  <c r="Z46" i="1"/>
  <c r="AA46" i="1"/>
  <c r="J94" i="1"/>
  <c r="K94" i="1"/>
  <c r="N70" i="1"/>
  <c r="O70" i="1"/>
  <c r="Z52" i="1"/>
  <c r="AA52" i="1"/>
  <c r="V86" i="1"/>
  <c r="W86" i="1"/>
  <c r="AD93" i="1"/>
  <c r="AE93" i="1"/>
  <c r="H99" i="1"/>
  <c r="I99" i="1"/>
  <c r="R87" i="1"/>
  <c r="S87" i="1"/>
  <c r="P60" i="1"/>
  <c r="Q60" i="1"/>
  <c r="AB60" i="1"/>
  <c r="AC60" i="1"/>
  <c r="N77" i="1"/>
  <c r="O77" i="1"/>
  <c r="J70" i="1"/>
  <c r="K70" i="1"/>
  <c r="Z61" i="1"/>
  <c r="AA61" i="1"/>
  <c r="N65" i="1"/>
  <c r="O65" i="1"/>
  <c r="G57" i="1"/>
  <c r="F57" i="1"/>
  <c r="V58" i="1"/>
  <c r="W58" i="1"/>
  <c r="V89" i="1"/>
  <c r="W89" i="1"/>
  <c r="J61" i="1"/>
  <c r="K61" i="1"/>
  <c r="J53" i="1"/>
  <c r="K53" i="1"/>
  <c r="N61" i="1"/>
  <c r="O61" i="1"/>
  <c r="V70" i="1"/>
  <c r="W70" i="1"/>
  <c r="J86" i="1"/>
  <c r="K86" i="1"/>
  <c r="V74" i="1"/>
  <c r="W74" i="1"/>
  <c r="R59" i="1"/>
  <c r="S59" i="1"/>
  <c r="AD59" i="1"/>
  <c r="AE59" i="1"/>
  <c r="N86" i="1"/>
  <c r="O86" i="1"/>
  <c r="H100" i="1"/>
  <c r="I100" i="1"/>
  <c r="N74" i="1"/>
  <c r="O74" i="1"/>
  <c r="AD70" i="1"/>
  <c r="AE70" i="1"/>
  <c r="AD94" i="1"/>
  <c r="AE94" i="1"/>
  <c r="Z59" i="1"/>
  <c r="AA59" i="1"/>
  <c r="R61" i="1"/>
  <c r="S61" i="1"/>
  <c r="AD77" i="1"/>
  <c r="AE77" i="1"/>
  <c r="AE49" i="1"/>
  <c r="AB99" i="1"/>
  <c r="AC99" i="1"/>
  <c r="AD87" i="1"/>
  <c r="AE87" i="1"/>
  <c r="X72" i="1"/>
  <c r="Y72" i="1"/>
  <c r="AD80" i="1"/>
  <c r="AE80" i="1"/>
  <c r="N89" i="1"/>
  <c r="O89" i="1"/>
  <c r="V66" i="1"/>
  <c r="W66" i="1"/>
  <c r="V52" i="1"/>
  <c r="W52" i="1"/>
  <c r="AE53" i="1"/>
  <c r="Z58" i="1"/>
  <c r="AA58" i="1"/>
  <c r="V90" i="1"/>
  <c r="W90" i="1"/>
  <c r="V65" i="1"/>
  <c r="W65" i="1"/>
  <c r="R93" i="1"/>
  <c r="S93" i="1"/>
  <c r="N90" i="1"/>
  <c r="O90" i="1"/>
  <c r="V93" i="1"/>
  <c r="W93" i="1"/>
  <c r="V62" i="1"/>
  <c r="W62" i="1"/>
  <c r="V54" i="1"/>
  <c r="W54" i="1"/>
  <c r="R55" i="1"/>
  <c r="S55" i="1"/>
  <c r="R62" i="1"/>
  <c r="S62" i="1"/>
  <c r="R52" i="1"/>
  <c r="S52" i="1"/>
  <c r="V77" i="1"/>
  <c r="W77" i="1"/>
  <c r="S49" i="1"/>
  <c r="J87" i="1"/>
  <c r="K87" i="1"/>
  <c r="J77" i="1"/>
  <c r="K77" i="1"/>
  <c r="AD86" i="1"/>
  <c r="AE86" i="1"/>
  <c r="AB91" i="1"/>
  <c r="AC91" i="1"/>
  <c r="P91" i="1"/>
  <c r="Q91" i="1"/>
  <c r="AB100" i="1"/>
  <c r="AC100" i="1"/>
  <c r="AC89" i="1"/>
  <c r="L71" i="1"/>
  <c r="M71" i="1"/>
  <c r="H91" i="1"/>
  <c r="I91" i="1"/>
  <c r="AB71" i="1"/>
  <c r="AC71" i="1"/>
  <c r="AD55" i="1"/>
  <c r="AE55" i="1"/>
  <c r="J74" i="1"/>
  <c r="K74" i="1"/>
  <c r="V61" i="1"/>
  <c r="W61" i="1"/>
  <c r="J65" i="1"/>
  <c r="K65" i="1"/>
  <c r="V85" i="1"/>
  <c r="W85" i="1"/>
  <c r="O49" i="1"/>
  <c r="H60" i="1"/>
  <c r="I60" i="1"/>
  <c r="X60" i="1"/>
  <c r="Y60" i="1"/>
  <c r="O96" i="1"/>
  <c r="AD81" i="1"/>
  <c r="AE81" i="1"/>
  <c r="AD64" i="1"/>
  <c r="AE64" i="1"/>
  <c r="AD96" i="1"/>
  <c r="AE96" i="1"/>
  <c r="AD75" i="1"/>
  <c r="AE75" i="1"/>
  <c r="AD63" i="1"/>
  <c r="AE63" i="1"/>
  <c r="AD54" i="1"/>
  <c r="AE54" i="1"/>
  <c r="F11" i="1"/>
  <c r="S63" i="1"/>
  <c r="S71" i="1"/>
  <c r="W71" i="1"/>
  <c r="D98" i="1"/>
  <c r="G98" i="1"/>
  <c r="F84" i="1"/>
  <c r="G84" i="1"/>
  <c r="AA71" i="1"/>
  <c r="D68" i="1"/>
  <c r="G20" i="1"/>
  <c r="F20" i="1"/>
  <c r="E67" i="1"/>
  <c r="F48" i="1"/>
  <c r="G48" i="1"/>
  <c r="AB98" i="1"/>
  <c r="G11" i="1"/>
  <c r="O75" i="1"/>
  <c r="AA54" i="1"/>
  <c r="AD95" i="1"/>
  <c r="AE95" i="1"/>
  <c r="W96" i="1"/>
  <c r="R64" i="1"/>
  <c r="S64" i="1"/>
  <c r="O99" i="1"/>
  <c r="W63" i="1"/>
  <c r="AA63" i="1"/>
  <c r="O63" i="1"/>
  <c r="AE72" i="1"/>
  <c r="S72" i="1"/>
  <c r="W81" i="1"/>
  <c r="K75" i="1"/>
  <c r="J71" i="1"/>
  <c r="K71" i="1"/>
  <c r="W99" i="1"/>
  <c r="W91" i="1"/>
  <c r="R99" i="1"/>
  <c r="S99" i="1"/>
  <c r="K64" i="1"/>
  <c r="J81" i="1"/>
  <c r="K81" i="1"/>
  <c r="Z72" i="1"/>
  <c r="AA72" i="1"/>
  <c r="J100" i="1"/>
  <c r="K100" i="1"/>
  <c r="AD100" i="1"/>
  <c r="AE100" i="1"/>
  <c r="AD91" i="1"/>
  <c r="AE91" i="1"/>
  <c r="J99" i="1"/>
  <c r="K99" i="1"/>
  <c r="AD71" i="1"/>
  <c r="AE71" i="1"/>
  <c r="J91" i="1"/>
  <c r="K91" i="1"/>
  <c r="N71" i="1"/>
  <c r="O71" i="1"/>
  <c r="K72" i="1"/>
  <c r="AD60" i="1"/>
  <c r="AE60" i="1"/>
  <c r="AD89" i="1"/>
  <c r="AE89" i="1"/>
  <c r="V72" i="1"/>
  <c r="W72" i="1"/>
  <c r="AD99" i="1"/>
  <c r="AE99" i="1"/>
  <c r="R60" i="1"/>
  <c r="S60" i="1"/>
  <c r="V88" i="1"/>
  <c r="W88" i="1"/>
  <c r="Z60" i="1"/>
  <c r="AA60" i="1"/>
  <c r="AD88" i="1"/>
  <c r="AE88" i="1"/>
  <c r="J60" i="1"/>
  <c r="K60" i="1"/>
  <c r="O72" i="1"/>
  <c r="S100" i="1"/>
  <c r="K88" i="1"/>
  <c r="R88" i="1"/>
  <c r="S88" i="1"/>
  <c r="O100" i="1"/>
  <c r="W100" i="1"/>
  <c r="R91" i="1"/>
  <c r="S91" i="1"/>
  <c r="N88" i="1"/>
  <c r="O88" i="1"/>
  <c r="AB84" i="1"/>
  <c r="AB97" i="1"/>
  <c r="AB78" i="1"/>
  <c r="AC78" i="1"/>
  <c r="D101" i="1"/>
  <c r="L78" i="1"/>
  <c r="M78" i="1"/>
  <c r="T69" i="1"/>
  <c r="U69" i="1"/>
  <c r="V69" i="1"/>
  <c r="W69" i="1"/>
  <c r="H97" i="1"/>
  <c r="I97" i="1"/>
  <c r="J97" i="1"/>
  <c r="K97" i="1"/>
  <c r="T84" i="1"/>
  <c r="U84" i="1"/>
  <c r="V84" i="1"/>
  <c r="L97" i="1"/>
  <c r="M97" i="1"/>
  <c r="N97" i="1"/>
  <c r="O97" i="1"/>
  <c r="H78" i="1"/>
  <c r="I78" i="1"/>
  <c r="AC97" i="1"/>
  <c r="AD97" i="1"/>
  <c r="AE97" i="1"/>
  <c r="T78" i="1"/>
  <c r="U78" i="1"/>
  <c r="L84" i="1"/>
  <c r="M84" i="1"/>
  <c r="N84" i="1"/>
  <c r="AC84" i="1"/>
  <c r="AD84" i="1"/>
  <c r="H84" i="1"/>
  <c r="I84" i="1"/>
  <c r="J84" i="1"/>
  <c r="K84" i="1"/>
  <c r="L57" i="1"/>
  <c r="M57" i="1"/>
  <c r="T68" i="1"/>
  <c r="U68" i="1"/>
  <c r="V68" i="1"/>
  <c r="H68" i="1"/>
  <c r="I68" i="1"/>
  <c r="J68" i="1"/>
  <c r="T67" i="1"/>
  <c r="AB57" i="1"/>
  <c r="AC57" i="1"/>
  <c r="AB68" i="1"/>
  <c r="AC68" i="1"/>
  <c r="AD68" i="1"/>
  <c r="X67" i="1"/>
  <c r="L68" i="1"/>
  <c r="M68" i="1"/>
  <c r="N68" i="1"/>
  <c r="P68" i="1"/>
  <c r="Q68" i="1"/>
  <c r="R68" i="1"/>
  <c r="H57" i="1"/>
  <c r="I57" i="1"/>
  <c r="X68" i="1"/>
  <c r="Y68" i="1"/>
  <c r="X57" i="1"/>
  <c r="Y57" i="1"/>
  <c r="P57" i="1"/>
  <c r="Q57" i="1"/>
  <c r="T57" i="1"/>
  <c r="U57" i="1"/>
  <c r="H98" i="1"/>
  <c r="I98" i="1"/>
  <c r="L98" i="1"/>
  <c r="M98" i="1"/>
  <c r="N98" i="1"/>
  <c r="T97" i="1"/>
  <c r="U97" i="1"/>
  <c r="V97" i="1"/>
  <c r="W97" i="1"/>
  <c r="T98" i="1"/>
  <c r="U98" i="1"/>
  <c r="V98" i="1"/>
  <c r="AC98" i="1"/>
  <c r="AD98" i="1"/>
  <c r="D67" i="1"/>
  <c r="F98" i="1"/>
  <c r="G68" i="1"/>
  <c r="F68" i="1"/>
  <c r="H67" i="1"/>
  <c r="P67" i="1"/>
  <c r="L67" i="1"/>
  <c r="AB67" i="1"/>
  <c r="O84" i="1"/>
  <c r="W84" i="1"/>
  <c r="R57" i="1"/>
  <c r="S57" i="1"/>
  <c r="AD57" i="1"/>
  <c r="AE57" i="1"/>
  <c r="Z57" i="1"/>
  <c r="AA57" i="1"/>
  <c r="V78" i="1"/>
  <c r="W78" i="1"/>
  <c r="N78" i="1"/>
  <c r="O78" i="1"/>
  <c r="J57" i="1"/>
  <c r="K57" i="1"/>
  <c r="J78" i="1"/>
  <c r="K78" i="1"/>
  <c r="N57" i="1"/>
  <c r="O57" i="1"/>
  <c r="AD78" i="1"/>
  <c r="AE78" i="1"/>
  <c r="AE84" i="1"/>
  <c r="V57" i="1"/>
  <c r="W57" i="1"/>
  <c r="O98" i="1"/>
  <c r="M67" i="1"/>
  <c r="N67" i="1"/>
  <c r="Q67" i="1"/>
  <c r="R67" i="1"/>
  <c r="Z68" i="1"/>
  <c r="AA68" i="1"/>
  <c r="F67" i="1"/>
  <c r="Y67" i="1"/>
  <c r="Z67" i="1"/>
  <c r="U67" i="1"/>
  <c r="V67" i="1"/>
  <c r="I67" i="1"/>
  <c r="J67" i="1"/>
  <c r="W98" i="1"/>
  <c r="K68" i="1"/>
  <c r="S68" i="1"/>
  <c r="AE98" i="1"/>
  <c r="J98" i="1"/>
  <c r="K98" i="1"/>
  <c r="W68" i="1"/>
  <c r="G67" i="1"/>
  <c r="AC67" i="1"/>
  <c r="AD67" i="1"/>
  <c r="O68" i="1"/>
  <c r="AE68" i="1"/>
  <c r="W67" i="1"/>
  <c r="S67" i="1"/>
  <c r="AA67" i="1"/>
  <c r="O67" i="1"/>
  <c r="AE67" i="1"/>
  <c r="K67" i="1"/>
  <c r="AE90" i="1"/>
</calcChain>
</file>

<file path=xl/sharedStrings.xml><?xml version="1.0" encoding="utf-8"?>
<sst xmlns="http://schemas.openxmlformats.org/spreadsheetml/2006/main" count="336" uniqueCount="56">
  <si>
    <t>Run</t>
  </si>
  <si>
    <t>Rate</t>
  </si>
  <si>
    <t>Population</t>
  </si>
  <si>
    <t>Total</t>
  </si>
  <si>
    <t>Resistant</t>
  </si>
  <si>
    <t>Susceptible</t>
  </si>
  <si>
    <t>F1-8</t>
  </si>
  <si>
    <t>F1-9</t>
  </si>
  <si>
    <t>F1-13</t>
  </si>
  <si>
    <t>F2-9</t>
  </si>
  <si>
    <t>F2-13</t>
  </si>
  <si>
    <t>BC-8</t>
  </si>
  <si>
    <t>BC-9</t>
  </si>
  <si>
    <t>BC-13</t>
  </si>
  <si>
    <t>Exp. Freq. Surv</t>
  </si>
  <si>
    <t>Survival (obs.)</t>
  </si>
  <si>
    <t>Survival (exp.)</t>
  </si>
  <si>
    <t>Survival ratio</t>
  </si>
  <si>
    <t>P</t>
  </si>
  <si>
    <t>F1</t>
  </si>
  <si>
    <t>F2</t>
  </si>
  <si>
    <t>BC</t>
  </si>
  <si>
    <t>Dead</t>
  </si>
  <si>
    <t>R</t>
  </si>
  <si>
    <t>S</t>
  </si>
  <si>
    <t>Degree of dominance</t>
  </si>
  <si>
    <t>DEGREE</t>
  </si>
  <si>
    <t>F1-5</t>
  </si>
  <si>
    <t>F1-11</t>
  </si>
  <si>
    <t>Biomass</t>
  </si>
  <si>
    <t>Dead (exp.)</t>
  </si>
  <si>
    <t>(R-S)^2</t>
  </si>
  <si>
    <t>F1F2</t>
  </si>
  <si>
    <t>Number Genes</t>
  </si>
  <si>
    <t>Var</t>
  </si>
  <si>
    <t>A</t>
  </si>
  <si>
    <t>C</t>
  </si>
  <si>
    <t>2 loci 9-6-1</t>
  </si>
  <si>
    <t>3 loci 24-39-1</t>
  </si>
  <si>
    <t>Combined</t>
  </si>
  <si>
    <t>Both</t>
  </si>
  <si>
    <t>1 locus 1-2-1</t>
  </si>
  <si>
    <t>1 locus 1-1</t>
  </si>
  <si>
    <t>2 loci 5-10-1</t>
  </si>
  <si>
    <t>2 loci 3-1</t>
  </si>
  <si>
    <t>3 loci 56-8</t>
  </si>
  <si>
    <t>1 Locus 1-1</t>
  </si>
  <si>
    <t>2 loci 9-7</t>
  </si>
  <si>
    <t>2 loci 1 to 3</t>
  </si>
  <si>
    <t>2 locus 13-3</t>
  </si>
  <si>
    <t>Expected</t>
  </si>
  <si>
    <t>Obs</t>
  </si>
  <si>
    <t>Alive</t>
  </si>
  <si>
    <t>O-E</t>
  </si>
  <si>
    <t>(O-E)^2</t>
  </si>
  <si>
    <t>(O-E)^2/E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</si>
</sst>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5" borderId="0" xfId="0" applyFill="1"/>
    <xf numFmtId="164" fontId="0" fillId="0" borderId="0" xfId="0" applyNumberFormat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/>
    <xf numFmtId="0" fontId="3" fillId="8" borderId="0" xfId="0" applyFont="1" applyFill="1" applyAlignment="1"/>
    <xf numFmtId="0" fontId="1" fillId="7" borderId="0" xfId="0" applyFont="1" applyFill="1"/>
    <xf numFmtId="0" fontId="3" fillId="10" borderId="0" xfId="0" applyFont="1" applyFill="1" applyAlignment="1">
      <alignment horizontal="center"/>
    </xf>
    <xf numFmtId="0" fontId="2" fillId="6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12" borderId="0" xfId="0" applyFont="1" applyFill="1"/>
    <xf numFmtId="0" fontId="2" fillId="2" borderId="0" xfId="0" applyNumberFormat="1" applyFont="1" applyFill="1"/>
    <xf numFmtId="0" fontId="2" fillId="12" borderId="0" xfId="0" applyNumberFormat="1" applyFont="1" applyFill="1"/>
    <xf numFmtId="0" fontId="2" fillId="3" borderId="0" xfId="0" applyNumberFormat="1" applyFont="1" applyFill="1"/>
    <xf numFmtId="0" fontId="2" fillId="9" borderId="0" xfId="0" applyFont="1" applyFill="1"/>
    <xf numFmtId="0" fontId="3" fillId="10" borderId="0" xfId="0" applyFont="1" applyFill="1" applyAlignment="1"/>
    <xf numFmtId="0" fontId="3" fillId="10" borderId="0" xfId="0" applyFont="1" applyFill="1"/>
    <xf numFmtId="20" fontId="3" fillId="10" borderId="0" xfId="0" applyNumberFormat="1" applyFont="1" applyFill="1" applyAlignment="1">
      <alignment horizontal="left"/>
    </xf>
    <xf numFmtId="2" fontId="3" fillId="12" borderId="0" xfId="0" applyNumberFormat="1" applyFont="1" applyFill="1"/>
    <xf numFmtId="0" fontId="3" fillId="9" borderId="0" xfId="0" applyFont="1" applyFill="1" applyAlignment="1"/>
    <xf numFmtId="0" fontId="3" fillId="9" borderId="0" xfId="0" applyFont="1" applyFill="1"/>
    <xf numFmtId="0" fontId="1" fillId="4" borderId="0" xfId="0" applyFont="1" applyFill="1"/>
    <xf numFmtId="0" fontId="1" fillId="8" borderId="0" xfId="0" applyFont="1" applyFill="1"/>
    <xf numFmtId="16" fontId="3" fillId="8" borderId="0" xfId="0" applyNumberFormat="1" applyFont="1" applyFill="1" applyAlignment="1">
      <alignment horizontal="center"/>
    </xf>
    <xf numFmtId="0" fontId="0" fillId="12" borderId="0" xfId="0" applyFill="1" applyAlignment="1"/>
    <xf numFmtId="0" fontId="0" fillId="9" borderId="0" xfId="0" applyFill="1" applyAlignment="1"/>
    <xf numFmtId="0" fontId="4" fillId="9" borderId="0" xfId="0" applyFont="1" applyFill="1" applyAlignment="1"/>
    <xf numFmtId="0" fontId="4" fillId="9" borderId="0" xfId="0" applyFont="1" applyFill="1"/>
    <xf numFmtId="0" fontId="2" fillId="4" borderId="0" xfId="0" applyFont="1" applyFill="1"/>
    <xf numFmtId="0" fontId="5" fillId="12" borderId="0" xfId="0" applyFont="1" applyFill="1"/>
    <xf numFmtId="0" fontId="5" fillId="9" borderId="0" xfId="0" applyFont="1" applyFill="1"/>
    <xf numFmtId="0" fontId="3" fillId="14" borderId="0" xfId="0" applyFont="1" applyFill="1" applyAlignment="1"/>
    <xf numFmtId="0" fontId="0" fillId="14" borderId="0" xfId="0" applyFill="1"/>
    <xf numFmtId="0" fontId="2" fillId="14" borderId="0" xfId="0" applyNumberFormat="1" applyFont="1" applyFill="1"/>
    <xf numFmtId="0" fontId="1" fillId="14" borderId="0" xfId="0" applyNumberFormat="1" applyFont="1" applyFill="1"/>
    <xf numFmtId="0" fontId="3" fillId="4" borderId="0" xfId="0" applyFont="1" applyFill="1" applyAlignment="1"/>
    <xf numFmtId="0" fontId="3" fillId="4" borderId="0" xfId="0" applyFont="1" applyFill="1"/>
    <xf numFmtId="2" fontId="3" fillId="4" borderId="0" xfId="0" applyNumberFormat="1" applyFont="1" applyFill="1"/>
    <xf numFmtId="0" fontId="0" fillId="4" borderId="0" xfId="0" applyFill="1"/>
    <xf numFmtId="0" fontId="2" fillId="4" borderId="0" xfId="0" applyNumberFormat="1" applyFont="1" applyFill="1"/>
    <xf numFmtId="0" fontId="1" fillId="4" borderId="0" xfId="0" applyNumberFormat="1" applyFont="1" applyFill="1"/>
    <xf numFmtId="0" fontId="1" fillId="5" borderId="0" xfId="0" applyNumberFormat="1" applyFont="1" applyFill="1"/>
    <xf numFmtId="0" fontId="2" fillId="6" borderId="0" xfId="0" applyNumberFormat="1" applyFont="1" applyFill="1"/>
    <xf numFmtId="0" fontId="1" fillId="14" borderId="0" xfId="0" applyFont="1" applyFill="1"/>
    <xf numFmtId="0" fontId="1" fillId="5" borderId="0" xfId="0" applyFont="1" applyFill="1"/>
    <xf numFmtId="0" fontId="5" fillId="4" borderId="0" xfId="0" applyFont="1" applyFill="1" applyAlignment="1"/>
    <xf numFmtId="0" fontId="5" fillId="4" borderId="0" xfId="0" applyFont="1" applyFill="1"/>
    <xf numFmtId="2" fontId="5" fillId="4" borderId="0" xfId="0" applyNumberFormat="1" applyFont="1" applyFill="1"/>
    <xf numFmtId="0" fontId="2" fillId="14" borderId="0" xfId="0" applyFont="1" applyFill="1"/>
    <xf numFmtId="0" fontId="0" fillId="14" borderId="0" xfId="0" applyFont="1" applyFill="1"/>
    <xf numFmtId="0" fontId="0" fillId="12" borderId="0" xfId="0" applyFont="1" applyFill="1"/>
    <xf numFmtId="0" fontId="0" fillId="12" borderId="0" xfId="0" applyNumberFormat="1" applyFont="1" applyFill="1"/>
    <xf numFmtId="0" fontId="0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102"/>
  <sheetViews>
    <sheetView tabSelected="1" workbookViewId="0">
      <pane xSplit="7" topLeftCell="N1" activePane="topRight" state="frozen"/>
      <selection pane="topRight" activeCell="E80" sqref="E80"/>
    </sheetView>
  </sheetViews>
  <sheetFormatPr baseColWidth="10" defaultColWidth="8.83203125" defaultRowHeight="15" x14ac:dyDescent="0.2"/>
  <cols>
    <col min="1" max="1" width="10.1640625" bestFit="1" customWidth="1"/>
    <col min="2" max="2" width="7.33203125" bestFit="1" customWidth="1"/>
    <col min="3" max="3" width="13.33203125" customWidth="1"/>
    <col min="4" max="4" width="7.6640625" bestFit="1" customWidth="1"/>
    <col min="5" max="5" width="16" bestFit="1" customWidth="1"/>
    <col min="6" max="6" width="7.83203125" bestFit="1" customWidth="1"/>
    <col min="7" max="7" width="14.83203125" bestFit="1" customWidth="1"/>
    <col min="8" max="8" width="18.6640625" bestFit="1" customWidth="1"/>
    <col min="9" max="11" width="15.1640625" customWidth="1"/>
    <col min="12" max="12" width="18.6640625" bestFit="1" customWidth="1"/>
    <col min="13" max="15" width="15.1640625" customWidth="1"/>
    <col min="16" max="16" width="18.6640625" bestFit="1" customWidth="1"/>
    <col min="17" max="27" width="15.1640625" customWidth="1"/>
    <col min="28" max="28" width="18.6640625" bestFit="1" customWidth="1"/>
    <col min="29" max="31" width="15.1640625" customWidth="1"/>
  </cols>
  <sheetData>
    <row r="1" spans="1:3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15</v>
      </c>
      <c r="F1" s="9" t="s">
        <v>22</v>
      </c>
      <c r="G1" s="9" t="s">
        <v>17</v>
      </c>
      <c r="H1" s="8" t="s">
        <v>14</v>
      </c>
      <c r="I1" s="8" t="s">
        <v>16</v>
      </c>
      <c r="J1" s="8" t="s">
        <v>30</v>
      </c>
      <c r="K1" s="8" t="s">
        <v>18</v>
      </c>
      <c r="L1" s="8" t="s">
        <v>14</v>
      </c>
      <c r="M1" s="8" t="s">
        <v>16</v>
      </c>
      <c r="N1" s="8" t="s">
        <v>30</v>
      </c>
      <c r="O1" s="8" t="s">
        <v>18</v>
      </c>
      <c r="P1" s="8" t="s">
        <v>14</v>
      </c>
      <c r="Q1" s="8" t="s">
        <v>16</v>
      </c>
      <c r="R1" s="8" t="s">
        <v>30</v>
      </c>
      <c r="S1" s="8" t="s">
        <v>18</v>
      </c>
      <c r="T1" s="8" t="s">
        <v>14</v>
      </c>
      <c r="U1" s="8" t="s">
        <v>16</v>
      </c>
      <c r="V1" s="8" t="s">
        <v>30</v>
      </c>
      <c r="W1" s="8" t="s">
        <v>18</v>
      </c>
      <c r="X1" s="8" t="s">
        <v>14</v>
      </c>
      <c r="Y1" s="8" t="s">
        <v>16</v>
      </c>
      <c r="Z1" s="8" t="s">
        <v>30</v>
      </c>
      <c r="AA1" s="8" t="s">
        <v>18</v>
      </c>
      <c r="AB1" s="8" t="s">
        <v>14</v>
      </c>
      <c r="AC1" s="8" t="s">
        <v>16</v>
      </c>
      <c r="AD1" s="8" t="s">
        <v>30</v>
      </c>
      <c r="AE1" s="8" t="s">
        <v>18</v>
      </c>
    </row>
    <row r="2" spans="1:31" ht="16" hidden="1" x14ac:dyDescent="0.2">
      <c r="A2" s="11">
        <v>1</v>
      </c>
      <c r="B2" s="11">
        <v>26.25</v>
      </c>
      <c r="C2" s="11" t="s">
        <v>4</v>
      </c>
      <c r="D2" s="4">
        <v>10</v>
      </c>
      <c r="E2" s="4">
        <v>10</v>
      </c>
      <c r="F2" s="4">
        <f t="shared" ref="F2:F3" si="0">D2-E2</f>
        <v>0</v>
      </c>
      <c r="G2" s="4">
        <f t="shared" ref="G2:G33" si="1">E2/D2</f>
        <v>1</v>
      </c>
      <c r="H2" s="13" t="s">
        <v>20</v>
      </c>
      <c r="I2" s="17" t="s">
        <v>41</v>
      </c>
      <c r="J2" s="17"/>
      <c r="K2" s="17"/>
      <c r="L2" s="30" t="s">
        <v>20</v>
      </c>
      <c r="M2" s="30" t="s">
        <v>43</v>
      </c>
      <c r="N2" s="30"/>
      <c r="O2" s="30"/>
      <c r="P2" s="16" t="s">
        <v>20</v>
      </c>
      <c r="Q2" s="16" t="s">
        <v>37</v>
      </c>
      <c r="R2" s="16"/>
      <c r="S2" s="16"/>
      <c r="T2" s="50" t="s">
        <v>20</v>
      </c>
      <c r="U2" s="50" t="s">
        <v>47</v>
      </c>
      <c r="V2" s="50"/>
      <c r="W2" s="50"/>
      <c r="X2" s="46" t="s">
        <v>20</v>
      </c>
      <c r="Y2" s="46" t="s">
        <v>49</v>
      </c>
      <c r="Z2" s="46"/>
      <c r="AA2" s="46"/>
      <c r="AB2" s="34" t="s">
        <v>20</v>
      </c>
      <c r="AC2" s="34" t="s">
        <v>38</v>
      </c>
      <c r="AD2" s="34"/>
      <c r="AE2" s="34"/>
    </row>
    <row r="3" spans="1:31" ht="16" hidden="1" x14ac:dyDescent="0.2">
      <c r="A3" s="11">
        <v>2</v>
      </c>
      <c r="B3" s="11">
        <v>26.25</v>
      </c>
      <c r="C3" s="11" t="s">
        <v>4</v>
      </c>
      <c r="D3" s="4">
        <v>16</v>
      </c>
      <c r="E3" s="4">
        <v>16</v>
      </c>
      <c r="F3" s="4">
        <f t="shared" si="0"/>
        <v>0</v>
      </c>
      <c r="G3" s="4">
        <f t="shared" si="1"/>
        <v>1</v>
      </c>
      <c r="H3" s="13" t="s">
        <v>21</v>
      </c>
      <c r="I3" s="13" t="s">
        <v>46</v>
      </c>
      <c r="J3" s="5"/>
      <c r="K3" s="5"/>
      <c r="L3" s="31" t="s">
        <v>21</v>
      </c>
      <c r="M3" s="32" t="s">
        <v>44</v>
      </c>
      <c r="N3" s="7"/>
      <c r="O3" s="7"/>
      <c r="P3" s="15"/>
      <c r="Q3" s="33"/>
      <c r="R3" s="10"/>
      <c r="S3" s="10"/>
      <c r="T3" s="51" t="s">
        <v>21</v>
      </c>
      <c r="U3" s="52" t="s">
        <v>48</v>
      </c>
      <c r="V3" s="53"/>
      <c r="W3" s="53"/>
      <c r="X3" s="47"/>
      <c r="Y3" s="47"/>
      <c r="Z3" s="47"/>
      <c r="AA3" s="47"/>
      <c r="AB3" s="35" t="s">
        <v>21</v>
      </c>
      <c r="AC3" s="35" t="s">
        <v>45</v>
      </c>
      <c r="AD3" s="6"/>
      <c r="AE3" s="6"/>
    </row>
    <row r="4" spans="1:31" ht="16" hidden="1" x14ac:dyDescent="0.2">
      <c r="A4" s="11">
        <v>1</v>
      </c>
      <c r="B4" s="11">
        <v>105</v>
      </c>
      <c r="C4" s="11" t="s">
        <v>4</v>
      </c>
      <c r="D4" s="4">
        <v>8</v>
      </c>
      <c r="E4" s="4">
        <v>8</v>
      </c>
      <c r="F4" s="4">
        <f>D4-E4</f>
        <v>0</v>
      </c>
      <c r="G4" s="4">
        <f t="shared" si="1"/>
        <v>1</v>
      </c>
      <c r="H4" s="17" t="s">
        <v>20</v>
      </c>
      <c r="I4" s="17" t="s">
        <v>41</v>
      </c>
      <c r="J4" s="17"/>
      <c r="K4" s="17"/>
      <c r="L4" s="30" t="s">
        <v>20</v>
      </c>
      <c r="M4" s="30" t="s">
        <v>43</v>
      </c>
      <c r="N4" s="30"/>
      <c r="O4" s="30"/>
      <c r="P4" s="16" t="s">
        <v>20</v>
      </c>
      <c r="Q4" s="16" t="s">
        <v>37</v>
      </c>
      <c r="R4" s="16"/>
      <c r="S4" s="16"/>
      <c r="T4" s="50" t="s">
        <v>20</v>
      </c>
      <c r="U4" s="50" t="s">
        <v>47</v>
      </c>
      <c r="V4" s="53"/>
      <c r="W4" s="53"/>
      <c r="X4" s="46" t="s">
        <v>20</v>
      </c>
      <c r="Y4" s="46" t="s">
        <v>49</v>
      </c>
      <c r="Z4" s="47"/>
      <c r="AA4" s="47"/>
      <c r="AB4" s="34" t="s">
        <v>20</v>
      </c>
      <c r="AC4" s="34" t="s">
        <v>38</v>
      </c>
      <c r="AD4" s="34"/>
      <c r="AE4" s="34"/>
    </row>
    <row r="5" spans="1:31" ht="16" hidden="1" x14ac:dyDescent="0.2">
      <c r="A5" s="11">
        <v>2</v>
      </c>
      <c r="B5" s="11">
        <v>105</v>
      </c>
      <c r="C5" s="11" t="s">
        <v>4</v>
      </c>
      <c r="D5" s="4">
        <v>17</v>
      </c>
      <c r="E5" s="4">
        <v>17</v>
      </c>
      <c r="F5" s="4">
        <f>D5-E5</f>
        <v>0</v>
      </c>
      <c r="G5" s="4">
        <f t="shared" si="1"/>
        <v>1</v>
      </c>
      <c r="H5" s="13" t="s">
        <v>21</v>
      </c>
      <c r="I5" s="13" t="s">
        <v>42</v>
      </c>
      <c r="J5" s="5"/>
      <c r="K5" s="5"/>
      <c r="L5" s="31" t="s">
        <v>21</v>
      </c>
      <c r="M5" s="31" t="s">
        <v>44</v>
      </c>
      <c r="N5" s="7"/>
      <c r="O5" s="7"/>
      <c r="P5" s="44" t="s">
        <v>21</v>
      </c>
      <c r="Q5" s="44" t="s">
        <v>44</v>
      </c>
      <c r="R5" s="10"/>
      <c r="S5" s="10"/>
      <c r="T5" s="51" t="s">
        <v>21</v>
      </c>
      <c r="U5" s="52" t="s">
        <v>48</v>
      </c>
      <c r="V5" s="53"/>
      <c r="W5" s="53"/>
      <c r="X5" s="47"/>
      <c r="Y5" s="47"/>
      <c r="Z5" s="47"/>
      <c r="AA5" s="47"/>
      <c r="AB5" s="45" t="s">
        <v>21</v>
      </c>
      <c r="AC5" s="45" t="s">
        <v>45</v>
      </c>
      <c r="AD5" s="6"/>
      <c r="AE5" s="6"/>
    </row>
    <row r="6" spans="1:31" ht="16" x14ac:dyDescent="0.2">
      <c r="A6" s="11">
        <v>1</v>
      </c>
      <c r="B6" s="11">
        <v>420</v>
      </c>
      <c r="C6" s="11" t="s">
        <v>4</v>
      </c>
      <c r="D6" s="4">
        <v>8</v>
      </c>
      <c r="E6" s="4">
        <v>8</v>
      </c>
      <c r="F6" s="4">
        <f>D6-E6</f>
        <v>0</v>
      </c>
      <c r="G6" s="4">
        <f t="shared" si="1"/>
        <v>1</v>
      </c>
      <c r="H6" s="12" t="s">
        <v>20</v>
      </c>
      <c r="I6" s="12" t="s">
        <v>41</v>
      </c>
      <c r="J6" s="17"/>
      <c r="K6" s="17"/>
      <c r="L6" s="19" t="s">
        <v>20</v>
      </c>
      <c r="M6" s="19" t="s">
        <v>43</v>
      </c>
      <c r="N6" s="30"/>
      <c r="O6" s="30"/>
      <c r="P6" s="14" t="s">
        <v>20</v>
      </c>
      <c r="Q6" s="14" t="s">
        <v>37</v>
      </c>
      <c r="R6" s="39"/>
      <c r="S6" s="39"/>
      <c r="T6" s="60" t="s">
        <v>20</v>
      </c>
      <c r="U6" s="60" t="s">
        <v>47</v>
      </c>
      <c r="V6" s="36"/>
      <c r="W6" s="36"/>
      <c r="X6" s="46" t="s">
        <v>20</v>
      </c>
      <c r="Y6" s="46" t="s">
        <v>49</v>
      </c>
      <c r="Z6" s="47"/>
      <c r="AA6" s="47"/>
      <c r="AB6" s="41" t="s">
        <v>20</v>
      </c>
      <c r="AC6" s="41" t="s">
        <v>38</v>
      </c>
      <c r="AD6" s="40"/>
      <c r="AE6" s="40"/>
    </row>
    <row r="7" spans="1:31" ht="16" x14ac:dyDescent="0.2">
      <c r="A7" s="11">
        <v>2</v>
      </c>
      <c r="B7" s="11">
        <v>420</v>
      </c>
      <c r="C7" s="11" t="s">
        <v>4</v>
      </c>
      <c r="D7" s="4">
        <v>16</v>
      </c>
      <c r="E7" s="4">
        <v>16</v>
      </c>
      <c r="F7" s="4">
        <f>D7-E7</f>
        <v>0</v>
      </c>
      <c r="G7" s="4">
        <f t="shared" si="1"/>
        <v>1</v>
      </c>
      <c r="H7" s="12" t="s">
        <v>21</v>
      </c>
      <c r="I7" s="38" t="s">
        <v>42</v>
      </c>
      <c r="J7" s="5"/>
      <c r="K7" s="5"/>
      <c r="L7" s="19" t="s">
        <v>21</v>
      </c>
      <c r="M7" s="19" t="s">
        <v>44</v>
      </c>
      <c r="N7" s="7"/>
      <c r="O7" s="7"/>
      <c r="P7" s="14" t="s">
        <v>21</v>
      </c>
      <c r="Q7" s="14" t="s">
        <v>44</v>
      </c>
      <c r="R7" s="10"/>
      <c r="S7" s="10"/>
      <c r="T7" s="61" t="s">
        <v>21</v>
      </c>
      <c r="U7" s="62" t="s">
        <v>48</v>
      </c>
      <c r="V7" s="36"/>
      <c r="W7" s="36"/>
      <c r="X7" s="47"/>
      <c r="Y7" s="47"/>
      <c r="Z7" s="47"/>
      <c r="AA7" s="47"/>
      <c r="AB7" s="42" t="s">
        <v>21</v>
      </c>
      <c r="AC7" s="42" t="s">
        <v>45</v>
      </c>
      <c r="AD7" s="6"/>
      <c r="AE7" s="6"/>
    </row>
    <row r="8" spans="1:31" hidden="1" x14ac:dyDescent="0.2">
      <c r="A8" s="1" t="s">
        <v>39</v>
      </c>
      <c r="B8" s="1">
        <v>26.25</v>
      </c>
      <c r="C8" s="1" t="s">
        <v>4</v>
      </c>
      <c r="D8" s="1">
        <f>SUM(D2,D3)</f>
        <v>26</v>
      </c>
      <c r="E8" s="1">
        <f>SUM(E2,E3)</f>
        <v>26</v>
      </c>
      <c r="F8" s="1">
        <f>SUM(F2,F3)</f>
        <v>0</v>
      </c>
      <c r="G8" s="1">
        <f t="shared" si="1"/>
        <v>1</v>
      </c>
      <c r="H8" s="5"/>
      <c r="I8" s="5"/>
      <c r="J8" s="5"/>
      <c r="K8" s="5"/>
      <c r="L8" s="7"/>
      <c r="M8" s="7"/>
      <c r="N8" s="7"/>
      <c r="O8" s="7"/>
      <c r="P8" s="10"/>
      <c r="Q8" s="10"/>
      <c r="R8" s="10"/>
      <c r="S8" s="10"/>
      <c r="T8" s="53"/>
      <c r="U8" s="53"/>
      <c r="V8" s="53"/>
      <c r="W8" s="53"/>
      <c r="X8" s="47"/>
      <c r="Y8" s="47"/>
      <c r="Z8" s="47"/>
      <c r="AA8" s="47"/>
      <c r="AB8" s="6"/>
      <c r="AC8" s="6"/>
      <c r="AD8" s="6"/>
      <c r="AE8" s="6"/>
    </row>
    <row r="9" spans="1:31" hidden="1" x14ac:dyDescent="0.2">
      <c r="A9" s="11">
        <v>1</v>
      </c>
      <c r="B9" s="11">
        <v>26.25</v>
      </c>
      <c r="C9" s="11" t="s">
        <v>5</v>
      </c>
      <c r="D9" s="4">
        <v>8</v>
      </c>
      <c r="E9" s="4">
        <v>6</v>
      </c>
      <c r="F9" s="4">
        <f t="shared" ref="F9:F16" si="2">D9-E9</f>
        <v>2</v>
      </c>
      <c r="G9" s="4">
        <f t="shared" si="1"/>
        <v>0.75</v>
      </c>
      <c r="H9" s="5"/>
      <c r="I9" s="5"/>
      <c r="J9" s="5"/>
      <c r="K9" s="5"/>
      <c r="L9" s="7"/>
      <c r="M9" s="7"/>
      <c r="N9" s="7"/>
      <c r="O9" s="7"/>
      <c r="P9" s="10"/>
      <c r="Q9" s="10"/>
      <c r="R9" s="10"/>
      <c r="S9" s="10"/>
      <c r="T9" s="53"/>
      <c r="U9" s="53"/>
      <c r="V9" s="53"/>
      <c r="W9" s="53"/>
      <c r="X9" s="47"/>
      <c r="Y9" s="47"/>
      <c r="Z9" s="47"/>
      <c r="AA9" s="47"/>
      <c r="AB9" s="6"/>
      <c r="AC9" s="6"/>
      <c r="AD9" s="6"/>
      <c r="AE9" s="6"/>
    </row>
    <row r="10" spans="1:31" ht="16" hidden="1" x14ac:dyDescent="0.2">
      <c r="A10" s="11">
        <v>2</v>
      </c>
      <c r="B10" s="11">
        <v>26.25</v>
      </c>
      <c r="C10" s="11" t="s">
        <v>5</v>
      </c>
      <c r="D10" s="4">
        <v>14</v>
      </c>
      <c r="E10" s="4">
        <v>11</v>
      </c>
      <c r="F10" s="4">
        <f t="shared" si="2"/>
        <v>3</v>
      </c>
      <c r="G10" s="4">
        <f t="shared" si="1"/>
        <v>0.7857142857142857</v>
      </c>
      <c r="H10" s="5"/>
      <c r="I10" s="5"/>
      <c r="J10" s="5"/>
      <c r="K10" s="5"/>
      <c r="L10" s="7"/>
      <c r="M10" s="31"/>
      <c r="N10" s="7"/>
      <c r="O10" s="7"/>
      <c r="P10" s="10"/>
      <c r="Q10" s="10"/>
      <c r="R10" s="10"/>
      <c r="S10" s="10"/>
      <c r="T10" s="53"/>
      <c r="U10" s="53"/>
      <c r="V10" s="53"/>
      <c r="W10" s="53"/>
      <c r="X10" s="47"/>
      <c r="Y10" s="47"/>
      <c r="Z10" s="47"/>
      <c r="AA10" s="47"/>
      <c r="AB10" s="6"/>
      <c r="AC10" s="6"/>
      <c r="AD10" s="6"/>
      <c r="AE10" s="6"/>
    </row>
    <row r="11" spans="1:31" ht="16" hidden="1" x14ac:dyDescent="0.2">
      <c r="A11" s="1" t="s">
        <v>39</v>
      </c>
      <c r="B11" s="1">
        <v>105</v>
      </c>
      <c r="C11" s="1" t="s">
        <v>4</v>
      </c>
      <c r="D11" s="1">
        <f>SUM(D4,D5)</f>
        <v>25</v>
      </c>
      <c r="E11" s="1">
        <f>SUM(E4,E5)</f>
        <v>25</v>
      </c>
      <c r="F11" s="1">
        <f t="shared" si="2"/>
        <v>0</v>
      </c>
      <c r="G11" s="1">
        <f t="shared" si="1"/>
        <v>1</v>
      </c>
      <c r="H11" s="5"/>
      <c r="I11" s="5"/>
      <c r="J11" s="5"/>
      <c r="K11" s="5"/>
      <c r="L11" s="7"/>
      <c r="M11" s="31"/>
      <c r="N11" s="7"/>
      <c r="O11" s="7"/>
      <c r="P11" s="10"/>
      <c r="Q11" s="10"/>
      <c r="R11" s="10"/>
      <c r="S11" s="10"/>
      <c r="T11" s="53"/>
      <c r="U11" s="53"/>
      <c r="V11" s="53"/>
      <c r="W11" s="53"/>
      <c r="X11" s="47"/>
      <c r="Y11" s="47"/>
      <c r="Z11" s="47"/>
      <c r="AA11" s="47"/>
      <c r="AB11" s="6"/>
      <c r="AC11" s="6"/>
      <c r="AD11" s="6"/>
      <c r="AE11" s="6"/>
    </row>
    <row r="12" spans="1:31" hidden="1" x14ac:dyDescent="0.2">
      <c r="A12" s="11">
        <v>1</v>
      </c>
      <c r="B12" s="11">
        <v>105</v>
      </c>
      <c r="C12" s="11" t="s">
        <v>5</v>
      </c>
      <c r="D12" s="4">
        <v>8</v>
      </c>
      <c r="E12" s="4">
        <v>0</v>
      </c>
      <c r="F12" s="4">
        <f t="shared" si="2"/>
        <v>8</v>
      </c>
      <c r="G12" s="4">
        <f t="shared" si="1"/>
        <v>0</v>
      </c>
      <c r="H12" s="5"/>
      <c r="I12" s="5"/>
      <c r="J12" s="5"/>
      <c r="K12" s="5"/>
      <c r="L12" s="7"/>
      <c r="M12" s="7"/>
      <c r="N12" s="7"/>
      <c r="O12" s="7"/>
      <c r="P12" s="10"/>
      <c r="Q12" s="10"/>
      <c r="R12" s="10"/>
      <c r="S12" s="10"/>
      <c r="T12" s="53"/>
      <c r="U12" s="53"/>
      <c r="V12" s="53"/>
      <c r="W12" s="53"/>
      <c r="X12" s="47"/>
      <c r="Y12" s="47"/>
      <c r="Z12" s="47"/>
      <c r="AA12" s="47"/>
      <c r="AB12" s="6"/>
      <c r="AC12" s="6"/>
      <c r="AD12" s="6"/>
      <c r="AE12" s="6"/>
    </row>
    <row r="13" spans="1:31" hidden="1" x14ac:dyDescent="0.2">
      <c r="A13" s="11">
        <v>2</v>
      </c>
      <c r="B13" s="11">
        <v>105</v>
      </c>
      <c r="C13" s="11" t="s">
        <v>5</v>
      </c>
      <c r="D13" s="4">
        <v>13</v>
      </c>
      <c r="E13" s="4">
        <v>0</v>
      </c>
      <c r="F13" s="4">
        <f t="shared" si="2"/>
        <v>13</v>
      </c>
      <c r="G13" s="4">
        <f t="shared" si="1"/>
        <v>0</v>
      </c>
      <c r="H13" s="5"/>
      <c r="I13" s="5"/>
      <c r="J13" s="5"/>
      <c r="K13" s="5"/>
      <c r="L13" s="7"/>
      <c r="M13" s="7"/>
      <c r="N13" s="7"/>
      <c r="O13" s="7"/>
      <c r="P13" s="10"/>
      <c r="Q13" s="10"/>
      <c r="R13" s="10"/>
      <c r="S13" s="10"/>
      <c r="T13" s="53"/>
      <c r="U13" s="53"/>
      <c r="V13" s="53"/>
      <c r="W13" s="53"/>
      <c r="X13" s="47"/>
      <c r="Y13" s="47"/>
      <c r="Z13" s="47"/>
      <c r="AA13" s="47"/>
      <c r="AB13" s="6"/>
      <c r="AC13" s="6"/>
      <c r="AD13" s="6"/>
      <c r="AE13" s="6"/>
    </row>
    <row r="14" spans="1:31" x14ac:dyDescent="0.2">
      <c r="A14" s="1" t="s">
        <v>39</v>
      </c>
      <c r="B14" s="1">
        <v>420</v>
      </c>
      <c r="C14" s="1" t="s">
        <v>4</v>
      </c>
      <c r="D14" s="1">
        <f>SUM(D6,D7)</f>
        <v>24</v>
      </c>
      <c r="E14" s="1">
        <f>SUM(E6,E7)</f>
        <v>24</v>
      </c>
      <c r="F14" s="1">
        <f t="shared" si="2"/>
        <v>0</v>
      </c>
      <c r="G14" s="1">
        <f t="shared" si="1"/>
        <v>1</v>
      </c>
      <c r="H14" s="5"/>
      <c r="I14" s="5"/>
      <c r="J14" s="5"/>
      <c r="K14" s="5"/>
      <c r="L14" s="7"/>
      <c r="M14" s="7"/>
      <c r="N14" s="7"/>
      <c r="O14" s="7"/>
      <c r="P14" s="10"/>
      <c r="Q14" s="10"/>
      <c r="R14" s="10"/>
      <c r="S14" s="10"/>
      <c r="T14" s="36"/>
      <c r="U14" s="36"/>
      <c r="V14" s="36"/>
      <c r="W14" s="36"/>
      <c r="X14" s="47"/>
      <c r="Y14" s="47"/>
      <c r="Z14" s="47"/>
      <c r="AA14" s="47"/>
      <c r="AB14" s="6"/>
      <c r="AC14" s="6"/>
      <c r="AD14" s="6"/>
      <c r="AE14" s="6"/>
    </row>
    <row r="15" spans="1:31" x14ac:dyDescent="0.2">
      <c r="A15" s="11">
        <v>1</v>
      </c>
      <c r="B15" s="11">
        <v>420</v>
      </c>
      <c r="C15" s="11" t="s">
        <v>5</v>
      </c>
      <c r="D15" s="4">
        <v>8</v>
      </c>
      <c r="E15" s="4">
        <v>0</v>
      </c>
      <c r="F15" s="4">
        <f t="shared" si="2"/>
        <v>8</v>
      </c>
      <c r="G15" s="4">
        <f t="shared" si="1"/>
        <v>0</v>
      </c>
      <c r="H15" s="5"/>
      <c r="I15" s="5"/>
      <c r="J15" s="5"/>
      <c r="K15" s="5"/>
      <c r="L15" s="7"/>
      <c r="M15" s="7"/>
      <c r="N15" s="7"/>
      <c r="O15" s="7"/>
      <c r="P15" s="10"/>
      <c r="Q15" s="10"/>
      <c r="R15" s="10"/>
      <c r="S15" s="10"/>
      <c r="T15" s="36"/>
      <c r="U15" s="36"/>
      <c r="V15" s="36"/>
      <c r="W15" s="36"/>
      <c r="X15" s="47"/>
      <c r="Y15" s="47"/>
      <c r="Z15" s="47"/>
      <c r="AA15" s="47"/>
      <c r="AB15" s="6"/>
      <c r="AC15" s="6"/>
      <c r="AD15" s="6"/>
      <c r="AE15" s="6"/>
    </row>
    <row r="16" spans="1:31" x14ac:dyDescent="0.2">
      <c r="A16" s="11">
        <v>2</v>
      </c>
      <c r="B16" s="11">
        <v>420</v>
      </c>
      <c r="C16" s="11" t="s">
        <v>5</v>
      </c>
      <c r="D16" s="4">
        <v>15</v>
      </c>
      <c r="E16" s="4">
        <v>0</v>
      </c>
      <c r="F16" s="4">
        <f t="shared" si="2"/>
        <v>15</v>
      </c>
      <c r="G16" s="4">
        <f t="shared" si="1"/>
        <v>0</v>
      </c>
      <c r="H16" s="5"/>
      <c r="I16" s="5"/>
      <c r="J16" s="5"/>
      <c r="K16" s="5"/>
      <c r="L16" s="7"/>
      <c r="M16" s="7"/>
      <c r="N16" s="7"/>
      <c r="O16" s="7"/>
      <c r="P16" s="10"/>
      <c r="Q16" s="10"/>
      <c r="R16" s="10"/>
      <c r="S16" s="10"/>
      <c r="T16" s="36"/>
      <c r="U16" s="36"/>
      <c r="V16" s="36"/>
      <c r="W16" s="36"/>
      <c r="X16" s="47"/>
      <c r="Y16" s="47"/>
      <c r="Z16" s="47"/>
      <c r="AA16" s="47"/>
      <c r="AB16" s="6"/>
      <c r="AC16" s="6"/>
      <c r="AD16" s="6"/>
      <c r="AE16" s="6"/>
    </row>
    <row r="17" spans="1:31" hidden="1" x14ac:dyDescent="0.2">
      <c r="A17" s="1" t="s">
        <v>39</v>
      </c>
      <c r="B17" s="1">
        <v>26.25</v>
      </c>
      <c r="C17" s="1" t="s">
        <v>5</v>
      </c>
      <c r="D17" s="1">
        <f>SUM(D9,D10)</f>
        <v>22</v>
      </c>
      <c r="E17" s="1">
        <f>SUM(E9,E10)</f>
        <v>17</v>
      </c>
      <c r="F17" s="1">
        <f>SUM(F9,F10)</f>
        <v>5</v>
      </c>
      <c r="G17" s="1">
        <f t="shared" si="1"/>
        <v>0.77272727272727271</v>
      </c>
      <c r="H17" s="5"/>
      <c r="I17" s="5"/>
      <c r="J17" s="5"/>
      <c r="K17" s="5"/>
      <c r="L17" s="7"/>
      <c r="M17" s="7"/>
      <c r="N17" s="7"/>
      <c r="O17" s="7"/>
      <c r="P17" s="10"/>
      <c r="Q17" s="10"/>
      <c r="R17" s="10"/>
      <c r="S17" s="10"/>
      <c r="T17" s="53"/>
      <c r="U17" s="53"/>
      <c r="V17" s="53"/>
      <c r="W17" s="53"/>
      <c r="X17" s="47"/>
      <c r="Y17" s="47"/>
      <c r="Z17" s="47"/>
      <c r="AA17" s="47"/>
      <c r="AB17" s="6"/>
      <c r="AC17" s="6"/>
      <c r="AD17" s="6"/>
      <c r="AE17" s="6"/>
    </row>
    <row r="18" spans="1:31" hidden="1" x14ac:dyDescent="0.2">
      <c r="A18" s="11">
        <v>1</v>
      </c>
      <c r="B18" s="11">
        <v>26.25</v>
      </c>
      <c r="C18" s="11" t="s">
        <v>6</v>
      </c>
      <c r="D18" s="4">
        <v>13</v>
      </c>
      <c r="E18" s="4">
        <v>13</v>
      </c>
      <c r="F18" s="4">
        <f t="shared" ref="F18:F44" si="3">D18-E18</f>
        <v>0</v>
      </c>
      <c r="G18" s="4">
        <f t="shared" si="1"/>
        <v>1</v>
      </c>
      <c r="H18" s="5"/>
      <c r="I18" s="5"/>
      <c r="J18" s="5"/>
      <c r="K18" s="5"/>
      <c r="L18" s="7"/>
      <c r="M18" s="7"/>
      <c r="N18" s="7"/>
      <c r="O18" s="7"/>
      <c r="P18" s="10"/>
      <c r="Q18" s="10"/>
      <c r="R18" s="10"/>
      <c r="S18" s="10"/>
      <c r="T18" s="53"/>
      <c r="U18" s="53"/>
      <c r="V18" s="53"/>
      <c r="W18" s="54"/>
      <c r="X18" s="48"/>
      <c r="Y18" s="48"/>
      <c r="Z18" s="48"/>
      <c r="AA18" s="48"/>
      <c r="AB18" s="6"/>
      <c r="AC18" s="6"/>
      <c r="AD18" s="6"/>
      <c r="AE18" s="6"/>
    </row>
    <row r="19" spans="1:31" hidden="1" x14ac:dyDescent="0.2">
      <c r="A19" s="11">
        <v>2</v>
      </c>
      <c r="B19" s="11">
        <v>26.25</v>
      </c>
      <c r="C19" s="11" t="s">
        <v>6</v>
      </c>
      <c r="D19" s="4">
        <v>24</v>
      </c>
      <c r="E19" s="4">
        <v>24</v>
      </c>
      <c r="F19" s="4">
        <f t="shared" si="3"/>
        <v>0</v>
      </c>
      <c r="G19" s="4">
        <f t="shared" si="1"/>
        <v>1</v>
      </c>
      <c r="H19" s="5"/>
      <c r="I19" s="5"/>
      <c r="J19" s="5"/>
      <c r="K19" s="5"/>
      <c r="L19" s="7"/>
      <c r="M19" s="7"/>
      <c r="N19" s="7"/>
      <c r="O19" s="7"/>
      <c r="P19" s="10"/>
      <c r="Q19" s="10"/>
      <c r="R19" s="10"/>
      <c r="S19" s="10"/>
      <c r="T19" s="53"/>
      <c r="U19" s="53"/>
      <c r="V19" s="53"/>
      <c r="W19" s="55"/>
      <c r="X19" s="49"/>
      <c r="Y19" s="49"/>
      <c r="Z19" s="49"/>
      <c r="AA19" s="49"/>
      <c r="AB19" s="6"/>
      <c r="AC19" s="6"/>
      <c r="AD19" s="6"/>
      <c r="AE19" s="6"/>
    </row>
    <row r="20" spans="1:31" hidden="1" x14ac:dyDescent="0.2">
      <c r="A20" s="1" t="s">
        <v>39</v>
      </c>
      <c r="B20" s="1">
        <v>105</v>
      </c>
      <c r="C20" s="1" t="s">
        <v>5</v>
      </c>
      <c r="D20" s="1">
        <f>SUM(D12,D13)</f>
        <v>21</v>
      </c>
      <c r="E20" s="1">
        <f>SUM(E12,E13)</f>
        <v>0</v>
      </c>
      <c r="F20" s="1">
        <f t="shared" si="3"/>
        <v>21</v>
      </c>
      <c r="G20" s="1">
        <f t="shared" si="1"/>
        <v>0</v>
      </c>
      <c r="H20" s="5"/>
      <c r="I20" s="5"/>
      <c r="J20" s="5"/>
      <c r="K20" s="5"/>
      <c r="L20" s="7"/>
      <c r="M20" s="7"/>
      <c r="N20" s="7"/>
      <c r="O20" s="7"/>
      <c r="P20" s="10"/>
      <c r="Q20" s="10"/>
      <c r="R20" s="10"/>
      <c r="S20" s="10"/>
      <c r="T20" s="43"/>
      <c r="U20" s="43"/>
      <c r="V20" s="43"/>
      <c r="W20" s="54"/>
      <c r="X20" s="48"/>
      <c r="Y20" s="48"/>
      <c r="Z20" s="48"/>
      <c r="AA20" s="48"/>
      <c r="AB20" s="6"/>
      <c r="AC20" s="6"/>
      <c r="AD20" s="6"/>
      <c r="AE20" s="6"/>
    </row>
    <row r="21" spans="1:31" hidden="1" x14ac:dyDescent="0.2">
      <c r="A21" s="11">
        <v>1</v>
      </c>
      <c r="B21" s="11">
        <v>105</v>
      </c>
      <c r="C21" s="11" t="s">
        <v>6</v>
      </c>
      <c r="D21" s="4">
        <v>24</v>
      </c>
      <c r="E21" s="4">
        <v>19</v>
      </c>
      <c r="F21" s="4">
        <f t="shared" si="3"/>
        <v>5</v>
      </c>
      <c r="G21" s="4">
        <f t="shared" si="1"/>
        <v>0.79166666666666663</v>
      </c>
      <c r="H21" s="5"/>
      <c r="I21" s="5"/>
      <c r="J21" s="5"/>
      <c r="K21" s="5"/>
      <c r="L21" s="7"/>
      <c r="M21" s="7"/>
      <c r="N21" s="7"/>
      <c r="O21" s="7"/>
      <c r="P21" s="10"/>
      <c r="Q21" s="10"/>
      <c r="R21" s="10"/>
      <c r="S21" s="10"/>
      <c r="T21" s="53"/>
      <c r="U21" s="53"/>
      <c r="V21" s="53"/>
      <c r="W21" s="54"/>
      <c r="X21" s="48"/>
      <c r="Y21" s="48"/>
      <c r="Z21" s="48"/>
      <c r="AA21" s="48"/>
      <c r="AB21" s="6"/>
      <c r="AC21" s="6"/>
      <c r="AD21" s="6"/>
      <c r="AE21" s="6"/>
    </row>
    <row r="22" spans="1:31" hidden="1" x14ac:dyDescent="0.2">
      <c r="A22" s="11">
        <v>2</v>
      </c>
      <c r="B22" s="11">
        <v>105</v>
      </c>
      <c r="C22" s="11" t="s">
        <v>6</v>
      </c>
      <c r="D22" s="4">
        <v>24</v>
      </c>
      <c r="E22" s="4">
        <v>13</v>
      </c>
      <c r="F22" s="4">
        <f t="shared" si="3"/>
        <v>11</v>
      </c>
      <c r="G22" s="4">
        <f t="shared" si="1"/>
        <v>0.54166666666666663</v>
      </c>
      <c r="H22" s="5"/>
      <c r="I22" s="5"/>
      <c r="J22" s="5"/>
      <c r="K22" s="5"/>
      <c r="L22" s="7"/>
      <c r="M22" s="7"/>
      <c r="N22" s="7"/>
      <c r="O22" s="7"/>
      <c r="P22" s="10"/>
      <c r="Q22" s="10"/>
      <c r="R22" s="10"/>
      <c r="S22" s="10"/>
      <c r="T22" s="53"/>
      <c r="U22" s="53"/>
      <c r="V22" s="53"/>
      <c r="W22" s="55"/>
      <c r="X22" s="49"/>
      <c r="Y22" s="49"/>
      <c r="Z22" s="49"/>
      <c r="AA22" s="49"/>
      <c r="AB22" s="6"/>
      <c r="AC22" s="6"/>
      <c r="AD22" s="6"/>
      <c r="AE22" s="6"/>
    </row>
    <row r="23" spans="1:31" x14ac:dyDescent="0.2">
      <c r="A23" s="1" t="s">
        <v>39</v>
      </c>
      <c r="B23" s="1">
        <v>420</v>
      </c>
      <c r="C23" s="1" t="s">
        <v>5</v>
      </c>
      <c r="D23" s="1">
        <f>SUM(D15,D16)</f>
        <v>23</v>
      </c>
      <c r="E23" s="1">
        <f>SUM(E15,E16)</f>
        <v>0</v>
      </c>
      <c r="F23" s="1">
        <f t="shared" si="3"/>
        <v>23</v>
      </c>
      <c r="G23" s="1">
        <f t="shared" si="1"/>
        <v>0</v>
      </c>
      <c r="H23" s="5"/>
      <c r="I23" s="5"/>
      <c r="J23" s="5"/>
      <c r="K23" s="5"/>
      <c r="L23" s="7"/>
      <c r="M23" s="7"/>
      <c r="N23" s="7"/>
      <c r="O23" s="7"/>
      <c r="P23" s="10"/>
      <c r="Q23" s="10"/>
      <c r="R23" s="10"/>
      <c r="S23" s="10"/>
      <c r="T23" s="36"/>
      <c r="U23" s="36"/>
      <c r="V23" s="36"/>
      <c r="W23" s="55"/>
      <c r="X23" s="48"/>
      <c r="Y23" s="48"/>
      <c r="Z23" s="48"/>
      <c r="AA23" s="48"/>
      <c r="AB23" s="6"/>
      <c r="AC23" s="6"/>
      <c r="AD23" s="6"/>
      <c r="AE23" s="6"/>
    </row>
    <row r="24" spans="1:31" x14ac:dyDescent="0.2">
      <c r="A24" s="11">
        <v>1</v>
      </c>
      <c r="B24" s="11">
        <v>420</v>
      </c>
      <c r="C24" s="11" t="s">
        <v>6</v>
      </c>
      <c r="D24" s="4">
        <v>13</v>
      </c>
      <c r="E24" s="4">
        <v>1</v>
      </c>
      <c r="F24" s="4">
        <f t="shared" si="3"/>
        <v>12</v>
      </c>
      <c r="G24" s="4">
        <f t="shared" si="1"/>
        <v>7.6923076923076927E-2</v>
      </c>
      <c r="H24" s="5"/>
      <c r="I24" s="5"/>
      <c r="J24" s="5"/>
      <c r="K24" s="5"/>
      <c r="L24" s="7"/>
      <c r="M24" s="7"/>
      <c r="N24" s="7"/>
      <c r="O24" s="7"/>
      <c r="P24" s="10"/>
      <c r="Q24" s="10"/>
      <c r="R24" s="10"/>
      <c r="S24" s="10"/>
      <c r="T24" s="36"/>
      <c r="U24" s="36"/>
      <c r="V24" s="36"/>
      <c r="W24" s="55"/>
      <c r="X24" s="48"/>
      <c r="Y24" s="48"/>
      <c r="Z24" s="48"/>
      <c r="AA24" s="48"/>
      <c r="AB24" s="6"/>
      <c r="AC24" s="6"/>
      <c r="AD24" s="6"/>
      <c r="AE24" s="6"/>
    </row>
    <row r="25" spans="1:31" x14ac:dyDescent="0.2">
      <c r="A25" s="11">
        <v>2</v>
      </c>
      <c r="B25" s="11">
        <v>420</v>
      </c>
      <c r="C25" s="11" t="s">
        <v>6</v>
      </c>
      <c r="D25" s="4">
        <v>24</v>
      </c>
      <c r="E25" s="4">
        <v>1</v>
      </c>
      <c r="F25" s="4">
        <f t="shared" si="3"/>
        <v>23</v>
      </c>
      <c r="G25" s="4">
        <f t="shared" si="1"/>
        <v>4.1666666666666664E-2</v>
      </c>
      <c r="H25" s="5"/>
      <c r="I25" s="5"/>
      <c r="J25" s="5"/>
      <c r="K25" s="5"/>
      <c r="L25" s="7"/>
      <c r="M25" s="7"/>
      <c r="N25" s="7"/>
      <c r="O25" s="7"/>
      <c r="P25" s="10"/>
      <c r="Q25" s="10"/>
      <c r="R25" s="10"/>
      <c r="S25" s="10"/>
      <c r="T25" s="36"/>
      <c r="U25" s="36"/>
      <c r="V25" s="36"/>
      <c r="W25" s="55"/>
      <c r="X25" s="48"/>
      <c r="Y25" s="48"/>
      <c r="Z25" s="48"/>
      <c r="AA25" s="48"/>
      <c r="AB25" s="6"/>
      <c r="AC25" s="6"/>
      <c r="AD25" s="6"/>
      <c r="AE25" s="6"/>
    </row>
    <row r="26" spans="1:31" hidden="1" x14ac:dyDescent="0.2">
      <c r="A26" s="20" t="s">
        <v>40</v>
      </c>
      <c r="B26" s="20">
        <v>26.25</v>
      </c>
      <c r="C26" s="20" t="s">
        <v>6</v>
      </c>
      <c r="D26" s="20">
        <f>SUM(D18,D19)</f>
        <v>37</v>
      </c>
      <c r="E26" s="20">
        <f>SUM(E18,E19)</f>
        <v>37</v>
      </c>
      <c r="F26" s="20">
        <f t="shared" si="3"/>
        <v>0</v>
      </c>
      <c r="G26" s="20">
        <f t="shared" si="1"/>
        <v>1</v>
      </c>
      <c r="H26" s="5"/>
      <c r="I26" s="5"/>
      <c r="J26" s="5"/>
      <c r="K26" s="5"/>
      <c r="L26" s="7"/>
      <c r="M26" s="7"/>
      <c r="N26" s="7"/>
      <c r="O26" s="7"/>
      <c r="P26" s="10"/>
      <c r="Q26" s="10"/>
      <c r="R26" s="10"/>
      <c r="S26" s="10"/>
      <c r="T26" s="53"/>
      <c r="U26" s="53"/>
      <c r="V26" s="53"/>
      <c r="W26" s="55"/>
      <c r="X26" s="49"/>
      <c r="Y26" s="49"/>
      <c r="Z26" s="49"/>
      <c r="AA26" s="49"/>
      <c r="AB26" s="6"/>
      <c r="AC26" s="6"/>
      <c r="AD26" s="6"/>
      <c r="AE26" s="6"/>
    </row>
    <row r="27" spans="1:31" hidden="1" x14ac:dyDescent="0.2">
      <c r="A27" s="11">
        <v>1</v>
      </c>
      <c r="B27" s="11">
        <v>26.25</v>
      </c>
      <c r="C27" s="11" t="s">
        <v>7</v>
      </c>
      <c r="D27" s="4">
        <v>9</v>
      </c>
      <c r="E27" s="4">
        <v>9</v>
      </c>
      <c r="F27" s="4">
        <f t="shared" si="3"/>
        <v>0</v>
      </c>
      <c r="G27" s="4">
        <f t="shared" si="1"/>
        <v>1</v>
      </c>
      <c r="H27" s="5"/>
      <c r="I27" s="5"/>
      <c r="J27" s="5"/>
      <c r="K27" s="5"/>
      <c r="L27" s="7"/>
      <c r="M27" s="7"/>
      <c r="N27" s="7"/>
      <c r="O27" s="7"/>
      <c r="P27" s="10"/>
      <c r="Q27" s="10"/>
      <c r="R27" s="10"/>
      <c r="S27" s="10"/>
      <c r="T27" s="43"/>
      <c r="U27" s="43"/>
      <c r="V27" s="43"/>
      <c r="W27" s="54"/>
      <c r="X27" s="48"/>
      <c r="Y27" s="48"/>
      <c r="Z27" s="48"/>
      <c r="AA27" s="48"/>
      <c r="AB27" s="6"/>
      <c r="AC27" s="6"/>
      <c r="AD27" s="6"/>
      <c r="AE27" s="6"/>
    </row>
    <row r="28" spans="1:31" hidden="1" x14ac:dyDescent="0.2">
      <c r="A28" s="11">
        <v>2</v>
      </c>
      <c r="B28" s="11">
        <v>26.25</v>
      </c>
      <c r="C28" s="11" t="s">
        <v>7</v>
      </c>
      <c r="D28" s="4">
        <v>14</v>
      </c>
      <c r="E28" s="4">
        <v>14</v>
      </c>
      <c r="F28" s="4">
        <f t="shared" si="3"/>
        <v>0</v>
      </c>
      <c r="G28" s="4">
        <f t="shared" si="1"/>
        <v>1</v>
      </c>
      <c r="H28" s="5"/>
      <c r="I28" s="5"/>
      <c r="J28" s="5"/>
      <c r="K28" s="5"/>
      <c r="L28" s="7"/>
      <c r="M28" s="7"/>
      <c r="N28" s="7"/>
      <c r="O28" s="7"/>
      <c r="P28" s="10"/>
      <c r="Q28" s="10"/>
      <c r="R28" s="10"/>
      <c r="S28" s="10"/>
      <c r="T28" s="53"/>
      <c r="U28" s="53"/>
      <c r="V28" s="53"/>
      <c r="W28" s="54"/>
      <c r="X28" s="48"/>
      <c r="Y28" s="48"/>
      <c r="Z28" s="48"/>
      <c r="AA28" s="48"/>
      <c r="AB28" s="6"/>
      <c r="AC28" s="6"/>
      <c r="AD28" s="6"/>
      <c r="AE28" s="6"/>
    </row>
    <row r="29" spans="1:31" hidden="1" x14ac:dyDescent="0.2">
      <c r="A29" s="20" t="s">
        <v>40</v>
      </c>
      <c r="B29" s="20">
        <v>26.25</v>
      </c>
      <c r="C29" s="20" t="s">
        <v>7</v>
      </c>
      <c r="D29" s="20">
        <f>SUM(D27,D28)</f>
        <v>23</v>
      </c>
      <c r="E29" s="20">
        <f>SUM(E27,E28)</f>
        <v>23</v>
      </c>
      <c r="F29" s="20">
        <f t="shared" si="3"/>
        <v>0</v>
      </c>
      <c r="G29" s="20">
        <f t="shared" si="1"/>
        <v>1</v>
      </c>
      <c r="H29" s="5"/>
      <c r="I29" s="5"/>
      <c r="J29" s="5"/>
      <c r="K29" s="5"/>
      <c r="L29" s="7"/>
      <c r="M29" s="7"/>
      <c r="N29" s="7"/>
      <c r="O29" s="7"/>
      <c r="P29" s="10"/>
      <c r="Q29" s="10"/>
      <c r="R29" s="10"/>
      <c r="S29" s="10"/>
      <c r="T29" s="53"/>
      <c r="U29" s="53"/>
      <c r="V29" s="53"/>
      <c r="W29" s="55"/>
      <c r="X29" s="49"/>
      <c r="Y29" s="49"/>
      <c r="Z29" s="49"/>
      <c r="AA29" s="49"/>
      <c r="AB29" s="6"/>
      <c r="AC29" s="6"/>
      <c r="AD29" s="6"/>
      <c r="AE29" s="6"/>
    </row>
    <row r="30" spans="1:31" hidden="1" x14ac:dyDescent="0.2">
      <c r="A30" s="11">
        <v>1</v>
      </c>
      <c r="B30" s="11">
        <v>26.25</v>
      </c>
      <c r="C30" s="11" t="s">
        <v>8</v>
      </c>
      <c r="D30" s="4">
        <v>8</v>
      </c>
      <c r="E30" s="4">
        <v>8</v>
      </c>
      <c r="F30" s="4">
        <f t="shared" si="3"/>
        <v>0</v>
      </c>
      <c r="G30" s="4">
        <f t="shared" si="1"/>
        <v>1</v>
      </c>
      <c r="H30" s="5"/>
      <c r="I30" s="5"/>
      <c r="J30" s="5"/>
      <c r="K30" s="5"/>
      <c r="L30" s="7"/>
      <c r="M30" s="7"/>
      <c r="N30" s="7"/>
      <c r="O30" s="7"/>
      <c r="P30" s="10"/>
      <c r="Q30" s="10"/>
      <c r="R30" s="10"/>
      <c r="S30" s="10"/>
      <c r="T30" s="43"/>
      <c r="U30" s="43"/>
      <c r="V30" s="43"/>
      <c r="W30" s="54"/>
      <c r="X30" s="48"/>
      <c r="Y30" s="48"/>
      <c r="Z30" s="48"/>
      <c r="AA30" s="48"/>
      <c r="AB30" s="6"/>
      <c r="AC30" s="6"/>
      <c r="AD30" s="6"/>
      <c r="AE30" s="6"/>
    </row>
    <row r="31" spans="1:31" hidden="1" x14ac:dyDescent="0.2">
      <c r="A31" s="11">
        <v>2</v>
      </c>
      <c r="B31" s="11">
        <v>26.25</v>
      </c>
      <c r="C31" s="11" t="s">
        <v>8</v>
      </c>
      <c r="D31" s="4">
        <v>24</v>
      </c>
      <c r="E31" s="4">
        <v>24</v>
      </c>
      <c r="F31" s="4">
        <f t="shared" si="3"/>
        <v>0</v>
      </c>
      <c r="G31" s="4">
        <f t="shared" si="1"/>
        <v>1</v>
      </c>
      <c r="H31" s="5"/>
      <c r="I31" s="5"/>
      <c r="J31" s="5"/>
      <c r="K31" s="5"/>
      <c r="L31" s="7"/>
      <c r="M31" s="7"/>
      <c r="N31" s="7"/>
      <c r="O31" s="7"/>
      <c r="P31" s="10"/>
      <c r="Q31" s="10"/>
      <c r="R31" s="10"/>
      <c r="S31" s="10"/>
      <c r="T31" s="53"/>
      <c r="U31" s="53"/>
      <c r="V31" s="53"/>
      <c r="W31" s="54"/>
      <c r="X31" s="48"/>
      <c r="Y31" s="48"/>
      <c r="Z31" s="48"/>
      <c r="AA31" s="48"/>
      <c r="AB31" s="6"/>
      <c r="AC31" s="6"/>
      <c r="AD31" s="6"/>
      <c r="AE31" s="6"/>
    </row>
    <row r="32" spans="1:31" hidden="1" x14ac:dyDescent="0.2">
      <c r="A32" s="20" t="s">
        <v>40</v>
      </c>
      <c r="B32" s="20">
        <v>105</v>
      </c>
      <c r="C32" s="20" t="s">
        <v>6</v>
      </c>
      <c r="D32" s="20">
        <f>SUM(D21,D22)</f>
        <v>48</v>
      </c>
      <c r="E32" s="20">
        <f>SUM(E21,E22)</f>
        <v>32</v>
      </c>
      <c r="F32" s="20">
        <f t="shared" si="3"/>
        <v>16</v>
      </c>
      <c r="G32" s="20">
        <f t="shared" si="1"/>
        <v>0.66666666666666663</v>
      </c>
      <c r="H32" s="5"/>
      <c r="I32" s="5"/>
      <c r="J32" s="5"/>
      <c r="K32" s="5"/>
      <c r="L32" s="7"/>
      <c r="M32" s="7"/>
      <c r="N32" s="7"/>
      <c r="O32" s="7"/>
      <c r="P32" s="10"/>
      <c r="Q32" s="10"/>
      <c r="R32" s="10"/>
      <c r="S32" s="10"/>
      <c r="T32" s="53"/>
      <c r="U32" s="53"/>
      <c r="V32" s="53"/>
      <c r="W32" s="55"/>
      <c r="X32" s="49"/>
      <c r="Y32" s="49"/>
      <c r="Z32" s="49"/>
      <c r="AA32" s="49"/>
      <c r="AB32" s="6"/>
      <c r="AC32" s="6"/>
      <c r="AD32" s="6"/>
      <c r="AE32" s="6"/>
    </row>
    <row r="33" spans="1:31" hidden="1" x14ac:dyDescent="0.2">
      <c r="A33" s="11">
        <v>1</v>
      </c>
      <c r="B33" s="11">
        <v>105</v>
      </c>
      <c r="C33" s="11" t="s">
        <v>7</v>
      </c>
      <c r="D33" s="4">
        <v>14</v>
      </c>
      <c r="E33" s="4">
        <v>14</v>
      </c>
      <c r="F33" s="4">
        <f t="shared" si="3"/>
        <v>0</v>
      </c>
      <c r="G33" s="4">
        <f t="shared" si="1"/>
        <v>1</v>
      </c>
      <c r="H33" s="5"/>
      <c r="I33" s="5"/>
      <c r="J33" s="5"/>
      <c r="K33" s="5"/>
      <c r="L33" s="7"/>
      <c r="M33" s="7"/>
      <c r="N33" s="7"/>
      <c r="O33" s="7"/>
      <c r="P33" s="10"/>
      <c r="Q33" s="10"/>
      <c r="R33" s="10"/>
      <c r="S33" s="10"/>
      <c r="T33" s="43"/>
      <c r="U33" s="43"/>
      <c r="V33" s="43"/>
      <c r="W33" s="54"/>
      <c r="X33" s="48"/>
      <c r="Y33" s="48"/>
      <c r="Z33" s="48"/>
      <c r="AA33" s="48"/>
      <c r="AB33" s="6"/>
      <c r="AC33" s="6"/>
      <c r="AD33" s="6"/>
      <c r="AE33" s="6"/>
    </row>
    <row r="34" spans="1:31" hidden="1" x14ac:dyDescent="0.2">
      <c r="A34" s="11">
        <v>2</v>
      </c>
      <c r="B34" s="11">
        <v>105</v>
      </c>
      <c r="C34" s="11" t="s">
        <v>7</v>
      </c>
      <c r="D34" s="4">
        <v>10</v>
      </c>
      <c r="E34" s="4">
        <v>10</v>
      </c>
      <c r="F34" s="4">
        <f t="shared" si="3"/>
        <v>0</v>
      </c>
      <c r="G34" s="4">
        <f t="shared" ref="G34:G65" si="4">E34/D34</f>
        <v>1</v>
      </c>
      <c r="H34" s="5"/>
      <c r="I34" s="5"/>
      <c r="J34" s="5"/>
      <c r="K34" s="5"/>
      <c r="L34" s="7"/>
      <c r="M34" s="7"/>
      <c r="N34" s="7"/>
      <c r="O34" s="7"/>
      <c r="P34" s="10"/>
      <c r="Q34" s="10"/>
      <c r="R34" s="10"/>
      <c r="S34" s="10"/>
      <c r="T34" s="53"/>
      <c r="U34" s="53"/>
      <c r="V34" s="53"/>
      <c r="W34" s="54"/>
      <c r="X34" s="48"/>
      <c r="Y34" s="48"/>
      <c r="Z34" s="48"/>
      <c r="AA34" s="48"/>
      <c r="AB34" s="6"/>
      <c r="AC34" s="6"/>
      <c r="AD34" s="6"/>
      <c r="AE34" s="6"/>
    </row>
    <row r="35" spans="1:31" hidden="1" x14ac:dyDescent="0.2">
      <c r="A35" s="20" t="s">
        <v>40</v>
      </c>
      <c r="B35" s="20">
        <v>105</v>
      </c>
      <c r="C35" s="20" t="s">
        <v>7</v>
      </c>
      <c r="D35" s="20">
        <f>SUM(D33,D34)</f>
        <v>24</v>
      </c>
      <c r="E35" s="20">
        <f>SUM(E33,E34)</f>
        <v>24</v>
      </c>
      <c r="F35" s="20">
        <f t="shared" si="3"/>
        <v>0</v>
      </c>
      <c r="G35" s="20">
        <f t="shared" si="4"/>
        <v>1</v>
      </c>
      <c r="H35" s="5"/>
      <c r="I35" s="5"/>
      <c r="J35" s="5"/>
      <c r="K35" s="5"/>
      <c r="L35" s="7"/>
      <c r="M35" s="7"/>
      <c r="N35" s="7"/>
      <c r="O35" s="7"/>
      <c r="P35" s="10"/>
      <c r="Q35" s="10"/>
      <c r="R35" s="10"/>
      <c r="S35" s="10"/>
      <c r="T35" s="53"/>
      <c r="U35" s="53"/>
      <c r="V35" s="53"/>
      <c r="W35" s="53"/>
      <c r="X35" s="47"/>
      <c r="Y35" s="47"/>
      <c r="Z35" s="47"/>
      <c r="AA35" s="47"/>
      <c r="AB35" s="6"/>
      <c r="AC35" s="6"/>
      <c r="AD35" s="6"/>
      <c r="AE35" s="6"/>
    </row>
    <row r="36" spans="1:31" hidden="1" x14ac:dyDescent="0.2">
      <c r="A36" s="11">
        <v>1</v>
      </c>
      <c r="B36" s="11">
        <v>105</v>
      </c>
      <c r="C36" s="11" t="s">
        <v>8</v>
      </c>
      <c r="D36" s="4">
        <v>13</v>
      </c>
      <c r="E36" s="4">
        <v>13</v>
      </c>
      <c r="F36" s="4">
        <f t="shared" si="3"/>
        <v>0</v>
      </c>
      <c r="G36" s="4">
        <f t="shared" si="4"/>
        <v>1</v>
      </c>
      <c r="H36" s="5"/>
      <c r="I36" s="5"/>
      <c r="J36" s="5"/>
      <c r="K36" s="5"/>
      <c r="L36" s="7"/>
      <c r="M36" s="7"/>
      <c r="N36" s="7"/>
      <c r="O36" s="7"/>
      <c r="P36" s="10"/>
      <c r="Q36" s="10"/>
      <c r="R36" s="10"/>
      <c r="S36" s="10"/>
      <c r="T36" s="53"/>
      <c r="U36" s="53"/>
      <c r="V36" s="53"/>
      <c r="W36" s="53"/>
      <c r="X36" s="47"/>
      <c r="Y36" s="47"/>
      <c r="Z36" s="47"/>
      <c r="AA36" s="47"/>
      <c r="AB36" s="6"/>
      <c r="AC36" s="6"/>
      <c r="AD36" s="6"/>
      <c r="AE36" s="6"/>
    </row>
    <row r="37" spans="1:31" hidden="1" x14ac:dyDescent="0.2">
      <c r="A37" s="11">
        <v>2</v>
      </c>
      <c r="B37" s="11">
        <v>105</v>
      </c>
      <c r="C37" s="11" t="s">
        <v>8</v>
      </c>
      <c r="D37" s="4">
        <v>24</v>
      </c>
      <c r="E37" s="4">
        <v>23</v>
      </c>
      <c r="F37" s="4">
        <f t="shared" si="3"/>
        <v>1</v>
      </c>
      <c r="G37" s="4">
        <f t="shared" si="4"/>
        <v>0.95833333333333337</v>
      </c>
      <c r="H37" s="5"/>
      <c r="I37" s="5"/>
      <c r="J37" s="5"/>
      <c r="K37" s="5"/>
      <c r="L37" s="7"/>
      <c r="M37" s="7"/>
      <c r="N37" s="7"/>
      <c r="O37" s="7"/>
      <c r="P37" s="10"/>
      <c r="Q37" s="10"/>
      <c r="R37" s="10"/>
      <c r="S37" s="10"/>
      <c r="T37" s="53"/>
      <c r="U37" s="53"/>
      <c r="V37" s="53"/>
      <c r="W37" s="53"/>
      <c r="X37" s="47"/>
      <c r="Y37" s="47"/>
      <c r="Z37" s="47"/>
      <c r="AA37" s="47"/>
      <c r="AB37" s="6"/>
      <c r="AC37" s="6"/>
      <c r="AD37" s="6"/>
      <c r="AE37" s="6"/>
    </row>
    <row r="38" spans="1:31" x14ac:dyDescent="0.2">
      <c r="A38" s="20" t="s">
        <v>40</v>
      </c>
      <c r="B38" s="20">
        <v>420</v>
      </c>
      <c r="C38" s="20" t="s">
        <v>6</v>
      </c>
      <c r="D38" s="20">
        <f>SUM(D24,D25)</f>
        <v>37</v>
      </c>
      <c r="E38" s="20">
        <f>SUM(E24,E25)</f>
        <v>2</v>
      </c>
      <c r="F38" s="20">
        <f t="shared" si="3"/>
        <v>35</v>
      </c>
      <c r="G38" s="20">
        <f t="shared" si="4"/>
        <v>5.4054054054054057E-2</v>
      </c>
      <c r="H38" s="5"/>
      <c r="I38" s="5"/>
      <c r="J38" s="5"/>
      <c r="K38" s="5"/>
      <c r="L38" s="7"/>
      <c r="M38" s="7"/>
      <c r="N38" s="7"/>
      <c r="O38" s="7"/>
      <c r="P38" s="10"/>
      <c r="Q38" s="10"/>
      <c r="R38" s="10"/>
      <c r="S38" s="10"/>
      <c r="T38" s="36"/>
      <c r="U38" s="36"/>
      <c r="V38" s="36"/>
      <c r="W38" s="36"/>
      <c r="X38" s="47"/>
      <c r="Y38" s="47"/>
      <c r="Z38" s="47"/>
      <c r="AA38" s="47"/>
      <c r="AB38" s="6"/>
      <c r="AC38" s="6"/>
      <c r="AD38" s="6"/>
      <c r="AE38" s="6"/>
    </row>
    <row r="39" spans="1:31" x14ac:dyDescent="0.2">
      <c r="A39" s="11">
        <v>1</v>
      </c>
      <c r="B39" s="11">
        <v>420</v>
      </c>
      <c r="C39" s="11" t="s">
        <v>7</v>
      </c>
      <c r="D39" s="18">
        <v>9</v>
      </c>
      <c r="E39" s="18">
        <v>3</v>
      </c>
      <c r="F39" s="4">
        <f t="shared" si="3"/>
        <v>6</v>
      </c>
      <c r="G39" s="4">
        <f t="shared" si="4"/>
        <v>0.33333333333333331</v>
      </c>
      <c r="H39" s="5"/>
      <c r="I39" s="5"/>
      <c r="J39" s="5"/>
      <c r="K39" s="5"/>
      <c r="L39" s="7"/>
      <c r="M39" s="7"/>
      <c r="N39" s="7"/>
      <c r="O39" s="7"/>
      <c r="P39" s="10"/>
      <c r="Q39" s="10"/>
      <c r="R39" s="10"/>
      <c r="S39" s="10"/>
      <c r="T39" s="36"/>
      <c r="U39" s="36"/>
      <c r="V39" s="36"/>
      <c r="W39" s="36"/>
      <c r="X39" s="47"/>
      <c r="Y39" s="47"/>
      <c r="Z39" s="47"/>
      <c r="AA39" s="47"/>
      <c r="AB39" s="6"/>
      <c r="AC39" s="6"/>
      <c r="AD39" s="6"/>
      <c r="AE39" s="6"/>
    </row>
    <row r="40" spans="1:31" x14ac:dyDescent="0.2">
      <c r="A40" s="11">
        <v>2</v>
      </c>
      <c r="B40" s="11">
        <v>420</v>
      </c>
      <c r="C40" s="11" t="s">
        <v>7</v>
      </c>
      <c r="D40" s="4">
        <v>9</v>
      </c>
      <c r="E40" s="4">
        <v>4</v>
      </c>
      <c r="F40" s="4">
        <f t="shared" si="3"/>
        <v>5</v>
      </c>
      <c r="G40" s="4">
        <f t="shared" si="4"/>
        <v>0.44444444444444442</v>
      </c>
      <c r="H40" s="5"/>
      <c r="I40" s="5"/>
      <c r="J40" s="5"/>
      <c r="K40" s="5"/>
      <c r="L40" s="7"/>
      <c r="M40" s="7"/>
      <c r="N40" s="7"/>
      <c r="O40" s="7"/>
      <c r="P40" s="10"/>
      <c r="Q40" s="10"/>
      <c r="R40" s="10"/>
      <c r="S40" s="10"/>
      <c r="T40" s="36"/>
      <c r="U40" s="36"/>
      <c r="V40" s="36"/>
      <c r="W40" s="36"/>
      <c r="X40" s="47"/>
      <c r="Y40" s="47"/>
      <c r="Z40" s="47"/>
      <c r="AA40" s="47"/>
      <c r="AB40" s="6"/>
      <c r="AC40" s="6"/>
      <c r="AD40" s="6"/>
      <c r="AE40" s="6"/>
    </row>
    <row r="41" spans="1:31" x14ac:dyDescent="0.2">
      <c r="A41" s="20" t="s">
        <v>40</v>
      </c>
      <c r="B41" s="20">
        <v>420</v>
      </c>
      <c r="C41" s="20" t="s">
        <v>7</v>
      </c>
      <c r="D41" s="20">
        <f>SUM(D39,D40)</f>
        <v>18</v>
      </c>
      <c r="E41" s="20">
        <f>SUM(E39,E40)</f>
        <v>7</v>
      </c>
      <c r="F41" s="20">
        <f t="shared" si="3"/>
        <v>11</v>
      </c>
      <c r="G41" s="20">
        <f t="shared" si="4"/>
        <v>0.3888888888888889</v>
      </c>
      <c r="H41" s="5"/>
      <c r="I41" s="5"/>
      <c r="J41" s="5"/>
      <c r="K41" s="5"/>
      <c r="L41" s="7"/>
      <c r="M41" s="7"/>
      <c r="N41" s="7"/>
      <c r="O41" s="7"/>
      <c r="P41" s="10"/>
      <c r="Q41" s="10"/>
      <c r="R41" s="10"/>
      <c r="S41" s="10"/>
      <c r="T41" s="36"/>
      <c r="U41" s="36"/>
      <c r="V41" s="36"/>
      <c r="W41" s="36"/>
      <c r="X41" s="47"/>
      <c r="Y41" s="47"/>
      <c r="Z41" s="47"/>
      <c r="AA41" s="47"/>
      <c r="AB41" s="6"/>
      <c r="AC41" s="6"/>
      <c r="AD41" s="6"/>
      <c r="AE41" s="6"/>
    </row>
    <row r="42" spans="1:31" x14ac:dyDescent="0.2">
      <c r="A42" s="11">
        <v>1</v>
      </c>
      <c r="B42" s="11">
        <v>420</v>
      </c>
      <c r="C42" s="11" t="s">
        <v>8</v>
      </c>
      <c r="D42" s="4">
        <v>12</v>
      </c>
      <c r="E42" s="4">
        <v>9</v>
      </c>
      <c r="F42" s="4">
        <f t="shared" si="3"/>
        <v>3</v>
      </c>
      <c r="G42" s="4">
        <f t="shared" si="4"/>
        <v>0.75</v>
      </c>
      <c r="H42" s="5"/>
      <c r="I42" s="5"/>
      <c r="J42" s="5"/>
      <c r="K42" s="5"/>
      <c r="L42" s="7"/>
      <c r="M42" s="7"/>
      <c r="N42" s="7"/>
      <c r="O42" s="7"/>
      <c r="P42" s="10"/>
      <c r="Q42" s="10"/>
      <c r="R42" s="10"/>
      <c r="S42" s="10"/>
      <c r="T42" s="36"/>
      <c r="U42" s="36"/>
      <c r="V42" s="36"/>
      <c r="W42" s="36"/>
      <c r="X42" s="47"/>
      <c r="Y42" s="47"/>
      <c r="Z42" s="47"/>
      <c r="AA42" s="47"/>
      <c r="AB42" s="6"/>
      <c r="AC42" s="6"/>
      <c r="AD42" s="6"/>
      <c r="AE42" s="6"/>
    </row>
    <row r="43" spans="1:31" x14ac:dyDescent="0.2">
      <c r="A43" s="11">
        <v>2</v>
      </c>
      <c r="B43" s="11">
        <v>420</v>
      </c>
      <c r="C43" s="11" t="s">
        <v>8</v>
      </c>
      <c r="D43" s="4">
        <v>24</v>
      </c>
      <c r="E43" s="4">
        <v>22</v>
      </c>
      <c r="F43" s="4">
        <f t="shared" si="3"/>
        <v>2</v>
      </c>
      <c r="G43" s="4">
        <f t="shared" si="4"/>
        <v>0.91666666666666663</v>
      </c>
      <c r="H43" s="5"/>
      <c r="I43" s="5"/>
      <c r="J43" s="5"/>
      <c r="K43" s="5"/>
      <c r="L43" s="7"/>
      <c r="M43" s="7"/>
      <c r="N43" s="7"/>
      <c r="O43" s="7"/>
      <c r="P43" s="10"/>
      <c r="Q43" s="10"/>
      <c r="R43" s="10"/>
      <c r="S43" s="10"/>
      <c r="T43" s="36"/>
      <c r="U43" s="36"/>
      <c r="V43" s="36"/>
      <c r="W43" s="36"/>
      <c r="X43" s="47"/>
      <c r="Y43" s="47"/>
      <c r="Z43" s="47"/>
      <c r="AA43" s="47"/>
      <c r="AB43" s="6"/>
      <c r="AC43" s="6"/>
      <c r="AD43" s="6"/>
      <c r="AE43" s="6"/>
    </row>
    <row r="44" spans="1:31" hidden="1" x14ac:dyDescent="0.2">
      <c r="A44" s="20" t="s">
        <v>40</v>
      </c>
      <c r="B44" s="20">
        <v>26.25</v>
      </c>
      <c r="C44" s="20" t="s">
        <v>8</v>
      </c>
      <c r="D44" s="20">
        <f>SUM(D30,D31)</f>
        <v>32</v>
      </c>
      <c r="E44" s="20">
        <f>SUM(E30,E31)</f>
        <v>32</v>
      </c>
      <c r="F44" s="20">
        <f t="shared" si="3"/>
        <v>0</v>
      </c>
      <c r="G44" s="20">
        <f t="shared" si="4"/>
        <v>1</v>
      </c>
      <c r="H44" s="5"/>
      <c r="I44" s="5"/>
      <c r="J44" s="5"/>
      <c r="K44" s="5"/>
      <c r="L44" s="7"/>
      <c r="M44" s="7"/>
      <c r="N44" s="7"/>
      <c r="O44" s="7"/>
      <c r="P44" s="10"/>
      <c r="Q44" s="10"/>
      <c r="R44" s="10"/>
      <c r="S44" s="10"/>
      <c r="T44" s="53"/>
      <c r="U44" s="53"/>
      <c r="V44" s="53"/>
      <c r="W44" s="53"/>
      <c r="X44" s="47"/>
      <c r="Y44" s="47"/>
      <c r="Z44" s="47"/>
      <c r="AA44" s="47"/>
      <c r="AB44" s="6"/>
      <c r="AC44" s="6"/>
      <c r="AD44" s="6"/>
      <c r="AE44" s="6"/>
    </row>
    <row r="45" spans="1:31" hidden="1" x14ac:dyDescent="0.2">
      <c r="A45" s="1" t="s">
        <v>39</v>
      </c>
      <c r="B45" s="1">
        <v>26.25</v>
      </c>
      <c r="C45" s="1" t="s">
        <v>19</v>
      </c>
      <c r="D45" s="1">
        <f>SUM(D18,D19,D27,D28,D30,D31)</f>
        <v>92</v>
      </c>
      <c r="E45" s="1">
        <f>SUM(E18,E19,E27,E28,E30,E31)</f>
        <v>92</v>
      </c>
      <c r="F45" s="1">
        <f>SUM(F18,F19,F27,F28,F30,F31)</f>
        <v>0</v>
      </c>
      <c r="G45" s="1">
        <f t="shared" si="4"/>
        <v>1</v>
      </c>
      <c r="H45" s="5"/>
      <c r="I45" s="5"/>
      <c r="J45" s="5"/>
      <c r="K45" s="5"/>
      <c r="L45" s="7"/>
      <c r="M45" s="7"/>
      <c r="N45" s="7"/>
      <c r="O45" s="7"/>
      <c r="P45" s="10"/>
      <c r="Q45" s="10"/>
      <c r="R45" s="10"/>
      <c r="S45" s="10"/>
      <c r="T45" s="53"/>
      <c r="U45" s="53"/>
      <c r="V45" s="53"/>
      <c r="W45" s="53"/>
      <c r="X45" s="47"/>
      <c r="Y45" s="47"/>
      <c r="Z45" s="47"/>
      <c r="AA45" s="47"/>
      <c r="AB45" s="6"/>
      <c r="AC45" s="6"/>
      <c r="AD45" s="6"/>
      <c r="AE45" s="6"/>
    </row>
    <row r="46" spans="1:31" hidden="1" x14ac:dyDescent="0.2">
      <c r="A46" s="11">
        <v>1</v>
      </c>
      <c r="B46" s="11">
        <v>26.25</v>
      </c>
      <c r="C46" s="11" t="s">
        <v>9</v>
      </c>
      <c r="D46" s="4">
        <v>75</v>
      </c>
      <c r="E46" s="4">
        <v>65</v>
      </c>
      <c r="F46" s="4">
        <f t="shared" ref="F46:F52" si="5">D46-E46</f>
        <v>10</v>
      </c>
      <c r="G46" s="4">
        <f t="shared" si="4"/>
        <v>0.8666666666666667</v>
      </c>
      <c r="H46" s="5">
        <f>0.25*G2+0.5*G27+0.25*G9</f>
        <v>0.9375</v>
      </c>
      <c r="I46" s="5">
        <f>D46*H46</f>
        <v>70.3125</v>
      </c>
      <c r="J46" s="5">
        <f>D46-I46</f>
        <v>4.6875</v>
      </c>
      <c r="K46" s="23">
        <f>_xlfn.CHISQ.TEST(E46:F46,I46:J46)</f>
        <v>1.1270104849283232E-2</v>
      </c>
      <c r="L46" s="7">
        <f>0.3125*G2+0.625*G27+0.0625*G9</f>
        <v>0.984375</v>
      </c>
      <c r="M46" s="7">
        <f>D46*L46</f>
        <v>73.828125</v>
      </c>
      <c r="N46" s="7">
        <f>D46-M46</f>
        <v>1.171875</v>
      </c>
      <c r="O46" s="23">
        <f>_xlfn.CHISQ.TEST(E46:F46,M46:N46)</f>
        <v>2.0428431190384635E-16</v>
      </c>
      <c r="P46" s="10">
        <f>0.5625*G2+0.375*G27+0.0625*G9</f>
        <v>0.984375</v>
      </c>
      <c r="Q46" s="10">
        <f>D46*P46</f>
        <v>73.828125</v>
      </c>
      <c r="R46" s="10">
        <f>D46-Q46</f>
        <v>1.171875</v>
      </c>
      <c r="S46" s="26">
        <f>_xlfn.CHISQ.TEST(E46:F46,Q46:R46)</f>
        <v>2.0428431190384635E-16</v>
      </c>
      <c r="T46" s="55">
        <f>0.5625*G2+0.4375*G9</f>
        <v>0.890625</v>
      </c>
      <c r="U46" s="55">
        <f>D46*T46</f>
        <v>66.796875</v>
      </c>
      <c r="V46" s="55">
        <f>D46-U46</f>
        <v>8.203125</v>
      </c>
      <c r="W46" s="28">
        <f>_xlfn.CHISQ.TEST(E46:F46,U46:V46)</f>
        <v>0.50618845947753954</v>
      </c>
      <c r="X46" s="49">
        <f>0.8125*G2+0.1875*G9</f>
        <v>0.953125</v>
      </c>
      <c r="Y46" s="49">
        <f>D46*X46</f>
        <v>71.484375</v>
      </c>
      <c r="Z46" s="49">
        <f>D46-Y46</f>
        <v>3.515625</v>
      </c>
      <c r="AA46" s="26">
        <f>_xlfn.CHISQ.TEST(E46:F46,Y46:Z46)</f>
        <v>3.9657336810228682E-4</v>
      </c>
      <c r="AB46" s="6">
        <f>0.375*G2+0.609375*G27+0.015625*G9</f>
        <v>0.99609375</v>
      </c>
      <c r="AC46" s="6">
        <f>D46*AB46</f>
        <v>74.70703125</v>
      </c>
      <c r="AD46" s="6">
        <f>D46-AC46</f>
        <v>0.29296875</v>
      </c>
      <c r="AE46" s="23">
        <f>_xlfn.CHISQ.TEST(E46:F46,AC46:AD46)</f>
        <v>3.40354982040497E-72</v>
      </c>
    </row>
    <row r="47" spans="1:31" hidden="1" x14ac:dyDescent="0.2">
      <c r="A47" s="20" t="s">
        <v>40</v>
      </c>
      <c r="B47" s="20">
        <v>105</v>
      </c>
      <c r="C47" s="20" t="s">
        <v>8</v>
      </c>
      <c r="D47" s="20">
        <f>SUM(D36,D37)</f>
        <v>37</v>
      </c>
      <c r="E47" s="20">
        <f>SUM(E36,E37)</f>
        <v>36</v>
      </c>
      <c r="F47" s="20">
        <f t="shared" si="5"/>
        <v>1</v>
      </c>
      <c r="G47" s="20">
        <f t="shared" si="4"/>
        <v>0.97297297297297303</v>
      </c>
      <c r="H47" s="5"/>
      <c r="I47" s="5"/>
      <c r="J47" s="5"/>
      <c r="K47" s="21"/>
      <c r="L47" s="7"/>
      <c r="M47" s="7"/>
      <c r="N47" s="7"/>
      <c r="O47" s="22"/>
      <c r="P47" s="10"/>
      <c r="Q47" s="10"/>
      <c r="R47" s="10"/>
      <c r="S47" s="27"/>
      <c r="T47" s="54"/>
      <c r="U47" s="54"/>
      <c r="V47" s="54"/>
      <c r="W47" s="54"/>
      <c r="X47" s="47"/>
      <c r="Y47" s="49"/>
      <c r="Z47" s="49"/>
      <c r="AA47" s="49"/>
      <c r="AB47" s="6"/>
      <c r="AC47" s="6"/>
      <c r="AD47" s="6"/>
      <c r="AE47" s="29"/>
    </row>
    <row r="48" spans="1:31" hidden="1" x14ac:dyDescent="0.2">
      <c r="A48" s="1" t="s">
        <v>39</v>
      </c>
      <c r="B48" s="1">
        <v>105</v>
      </c>
      <c r="C48" s="1" t="s">
        <v>19</v>
      </c>
      <c r="D48" s="1">
        <f>SUM(D21,D22,D33,D34,D36,D37)</f>
        <v>109</v>
      </c>
      <c r="E48" s="1">
        <f>SUM(E21,E22,E33,E34,E36,E37)</f>
        <v>92</v>
      </c>
      <c r="F48" s="1">
        <f t="shared" si="5"/>
        <v>17</v>
      </c>
      <c r="G48" s="1">
        <f t="shared" si="4"/>
        <v>0.84403669724770647</v>
      </c>
      <c r="H48" s="5"/>
      <c r="I48" s="5"/>
      <c r="J48" s="5"/>
      <c r="K48" s="21"/>
      <c r="L48" s="7"/>
      <c r="M48" s="7"/>
      <c r="N48" s="7"/>
      <c r="O48" s="22"/>
      <c r="P48" s="10"/>
      <c r="Q48" s="10"/>
      <c r="R48" s="10"/>
      <c r="S48" s="27"/>
      <c r="T48" s="54"/>
      <c r="U48" s="54"/>
      <c r="V48" s="54"/>
      <c r="W48" s="54"/>
      <c r="X48" s="49"/>
      <c r="Y48" s="49"/>
      <c r="Z48" s="49"/>
      <c r="AA48" s="49"/>
      <c r="AB48" s="6"/>
      <c r="AC48" s="6"/>
      <c r="AD48" s="6"/>
      <c r="AE48" s="29"/>
    </row>
    <row r="49" spans="1:31" hidden="1" x14ac:dyDescent="0.2">
      <c r="A49" s="11">
        <v>1</v>
      </c>
      <c r="B49" s="11">
        <v>105</v>
      </c>
      <c r="C49" s="11" t="s">
        <v>9</v>
      </c>
      <c r="D49" s="4">
        <v>96</v>
      </c>
      <c r="E49" s="4">
        <f>D49-16</f>
        <v>80</v>
      </c>
      <c r="F49" s="4">
        <f t="shared" si="5"/>
        <v>16</v>
      </c>
      <c r="G49" s="4">
        <f t="shared" si="4"/>
        <v>0.83333333333333337</v>
      </c>
      <c r="H49" s="5">
        <f>0.25*G4+0.5*G33+0.25*G12</f>
        <v>0.75</v>
      </c>
      <c r="I49" s="5">
        <f>D49*H49</f>
        <v>72</v>
      </c>
      <c r="J49" s="5">
        <f>D49-I49</f>
        <v>24</v>
      </c>
      <c r="K49" s="24">
        <f>_xlfn.CHISQ.TEST(E49:F49,I49:J49)</f>
        <v>5.9346438791919871E-2</v>
      </c>
      <c r="L49" s="7">
        <f>0.3125*G4+0.625*G33+0.0625*G12</f>
        <v>0.9375</v>
      </c>
      <c r="M49" s="7">
        <f>D49*L49</f>
        <v>90</v>
      </c>
      <c r="N49" s="7">
        <f>D49-M49</f>
        <v>6</v>
      </c>
      <c r="O49" s="23">
        <f>_xlfn.CHISQ.TEST(E49:F49,M49:N49)</f>
        <v>2.4826606338804644E-5</v>
      </c>
      <c r="P49" s="10">
        <f>0.5625*G4+0.375*G33+0.0625*G12</f>
        <v>0.9375</v>
      </c>
      <c r="Q49" s="10">
        <f>D49*P49</f>
        <v>90</v>
      </c>
      <c r="R49" s="10">
        <f>D49-Q49</f>
        <v>6</v>
      </c>
      <c r="S49" s="23">
        <f>_xlfn.CHISQ.TEST(E49:F49,Q49:R49)</f>
        <v>2.4826606338804644E-5</v>
      </c>
      <c r="T49" s="36">
        <f>0.5625*G4+0.4375*G12</f>
        <v>0.5625</v>
      </c>
      <c r="U49" s="36">
        <f>D49*T49</f>
        <v>54</v>
      </c>
      <c r="V49" s="36">
        <f>D49-U49</f>
        <v>42</v>
      </c>
      <c r="W49" s="23">
        <f>_xlfn.CHISQ.TEST(E49:F49,U49:V49)</f>
        <v>8.835226745081596E-8</v>
      </c>
      <c r="X49" s="49">
        <f>0.8125*G5+0.1875*G13</f>
        <v>0.8125</v>
      </c>
      <c r="Y49" s="58">
        <f>D49*X49</f>
        <v>78</v>
      </c>
      <c r="Z49" s="58">
        <f>D49-Y49</f>
        <v>18</v>
      </c>
      <c r="AA49" s="24">
        <f>_xlfn.CHISQ.TEST(E49:F49,Y49:Z49)</f>
        <v>0.60099070406092037</v>
      </c>
      <c r="AB49" s="6">
        <f>0.375*G4+0.609375*G34+0.015625*G12</f>
        <v>0.984375</v>
      </c>
      <c r="AC49" s="6">
        <f>D49*AB49</f>
        <v>94.5</v>
      </c>
      <c r="AD49" s="6">
        <f>D49-AC49</f>
        <v>1.5</v>
      </c>
      <c r="AE49" s="23">
        <f>_xlfn.CHISQ.TEST(E49:F49,AC49:AD49)</f>
        <v>7.9849265995268088E-33</v>
      </c>
    </row>
    <row r="50" spans="1:31" x14ac:dyDescent="0.2">
      <c r="A50" s="20" t="s">
        <v>40</v>
      </c>
      <c r="B50" s="20">
        <v>420</v>
      </c>
      <c r="C50" s="20" t="s">
        <v>8</v>
      </c>
      <c r="D50" s="20">
        <f>SUM(D42,D43)</f>
        <v>36</v>
      </c>
      <c r="E50" s="20">
        <f>SUM(E42,E43)</f>
        <v>31</v>
      </c>
      <c r="F50" s="20">
        <f t="shared" si="5"/>
        <v>5</v>
      </c>
      <c r="G50" s="20">
        <f t="shared" si="4"/>
        <v>0.86111111111111116</v>
      </c>
      <c r="H50" s="5"/>
      <c r="I50" s="5"/>
      <c r="J50" s="5"/>
      <c r="K50" s="37"/>
      <c r="L50" s="7"/>
      <c r="M50" s="7"/>
      <c r="N50" s="7"/>
      <c r="O50" s="22"/>
      <c r="P50" s="10"/>
      <c r="Q50" s="10"/>
      <c r="R50" s="10"/>
      <c r="S50" s="25"/>
      <c r="T50" s="36"/>
      <c r="U50" s="36"/>
      <c r="V50" s="36"/>
      <c r="W50" s="36"/>
      <c r="X50" s="63"/>
      <c r="Y50" s="63"/>
      <c r="Z50" s="63"/>
      <c r="AA50" s="63"/>
      <c r="AB50" s="6"/>
      <c r="AC50" s="6"/>
      <c r="AD50" s="6"/>
      <c r="AE50" s="29"/>
    </row>
    <row r="51" spans="1:31" x14ac:dyDescent="0.2">
      <c r="A51" s="1" t="s">
        <v>39</v>
      </c>
      <c r="B51" s="1">
        <v>420</v>
      </c>
      <c r="C51" s="1" t="s">
        <v>19</v>
      </c>
      <c r="D51" s="1">
        <f>SUM(D24,D25,D39,D40,D42,D43)</f>
        <v>91</v>
      </c>
      <c r="E51" s="1">
        <f>SUM(E42,E43)</f>
        <v>31</v>
      </c>
      <c r="F51" s="1">
        <f t="shared" si="5"/>
        <v>60</v>
      </c>
      <c r="G51" s="1">
        <f t="shared" si="4"/>
        <v>0.34065934065934067</v>
      </c>
      <c r="H51" s="5"/>
      <c r="I51" s="5"/>
      <c r="J51" s="5"/>
      <c r="K51" s="37"/>
      <c r="L51" s="7"/>
      <c r="M51" s="7"/>
      <c r="N51" s="7"/>
      <c r="O51" s="22"/>
      <c r="P51" s="10"/>
      <c r="Q51" s="10"/>
      <c r="R51" s="10"/>
      <c r="S51" s="25"/>
      <c r="T51" s="36"/>
      <c r="U51" s="36"/>
      <c r="V51" s="36"/>
      <c r="W51" s="36"/>
      <c r="X51" s="63"/>
      <c r="Y51" s="63"/>
      <c r="Z51" s="63"/>
      <c r="AA51" s="63"/>
      <c r="AB51" s="6"/>
      <c r="AC51" s="6"/>
      <c r="AD51" s="6"/>
      <c r="AE51" s="29"/>
    </row>
    <row r="52" spans="1:31" x14ac:dyDescent="0.2">
      <c r="A52" s="11">
        <v>1</v>
      </c>
      <c r="B52" s="11">
        <v>420</v>
      </c>
      <c r="C52" s="11" t="s">
        <v>9</v>
      </c>
      <c r="D52" s="4">
        <v>91</v>
      </c>
      <c r="E52" s="4">
        <v>86</v>
      </c>
      <c r="F52" s="4">
        <f t="shared" si="5"/>
        <v>5</v>
      </c>
      <c r="G52" s="4">
        <f t="shared" si="4"/>
        <v>0.94505494505494503</v>
      </c>
      <c r="H52" s="5">
        <f>0.25*G6+0.5*G39+0.25*G15</f>
        <v>0.41666666666666663</v>
      </c>
      <c r="I52" s="5">
        <f t="shared" ref="I52:I98" si="6">D52*H52</f>
        <v>37.916666666666664</v>
      </c>
      <c r="J52" s="5">
        <f t="shared" ref="J52:J98" si="7">D52-I52</f>
        <v>53.083333333333336</v>
      </c>
      <c r="K52" s="23">
        <f t="shared" ref="K52:K98" si="8">_xlfn.CHISQ.TEST(E52:F52,I52:J52)</f>
        <v>1.5480798204119619E-24</v>
      </c>
      <c r="L52" s="7">
        <f>0.3125*G6+0.625*G39+0.0625*G15</f>
        <v>0.52083333333333326</v>
      </c>
      <c r="M52" s="7">
        <f t="shared" ref="M52:M98" si="9">D52*L52</f>
        <v>47.395833333333329</v>
      </c>
      <c r="N52" s="7">
        <f t="shared" ref="N52:N84" si="10">D52-M52</f>
        <v>43.604166666666671</v>
      </c>
      <c r="O52" s="23">
        <f t="shared" ref="O52:O98" si="11">_xlfn.CHISQ.TEST(E52:F52,M52:N52)</f>
        <v>5.465849809776857E-16</v>
      </c>
      <c r="P52" s="10">
        <f>0.5625*G6+0.375*G39+0.0625*G15</f>
        <v>0.6875</v>
      </c>
      <c r="Q52" s="10">
        <f t="shared" ref="Q52:Q64" si="12">D52*P52</f>
        <v>62.5625</v>
      </c>
      <c r="R52" s="10">
        <f t="shared" ref="R52:R64" si="13">D52-Q52</f>
        <v>28.4375</v>
      </c>
      <c r="S52" s="23">
        <f t="shared" ref="S52:S64" si="14">_xlfn.CHISQ.TEST(E52:F52,Q52:R52)</f>
        <v>1.1539035906772346E-7</v>
      </c>
      <c r="T52" s="36">
        <f>0.5625*G6+G15*0.4375</f>
        <v>0.5625</v>
      </c>
      <c r="U52" s="36">
        <f t="shared" ref="U52:U98" si="15">D52*T52</f>
        <v>51.1875</v>
      </c>
      <c r="V52" s="36">
        <f t="shared" ref="V52:V98" si="16">D52-U52</f>
        <v>39.8125</v>
      </c>
      <c r="W52" s="23">
        <f t="shared" ref="W52:W98" si="17">_xlfn.CHISQ.TEST(E52:F52,U52:V52)</f>
        <v>1.8896293579280283E-13</v>
      </c>
      <c r="X52" s="64">
        <f>G6*0.8125+G15*0.1875</f>
        <v>0.8125</v>
      </c>
      <c r="Y52" s="64">
        <f t="shared" ref="Y52:Y64" si="18">D52*X52</f>
        <v>73.9375</v>
      </c>
      <c r="Z52" s="64">
        <f t="shared" ref="Z52:Z64" si="19">D52-Y52</f>
        <v>17.0625</v>
      </c>
      <c r="AA52" s="23">
        <f>_xlfn.CHISQ.TEST(E52:F52,Y52:Z52)</f>
        <v>1.1965704194438903E-3</v>
      </c>
      <c r="AB52" s="6">
        <f>0.375*G6+0.609375*G39+0.25*G15</f>
        <v>0.578125</v>
      </c>
      <c r="AC52" s="6">
        <f t="shared" ref="AC52:AC72" si="20">D52*AB52</f>
        <v>52.609375</v>
      </c>
      <c r="AD52" s="6">
        <f t="shared" ref="AD52:AD98" si="21">D52-AC52</f>
        <v>38.390625</v>
      </c>
      <c r="AE52" s="23">
        <f t="shared" ref="AE52:AE87" si="22">_xlfn.CHISQ.TEST(E52:F52,AC52:AD52)</f>
        <v>1.3642741862395666E-12</v>
      </c>
    </row>
    <row r="53" spans="1:31" hidden="1" x14ac:dyDescent="0.2">
      <c r="A53" s="11">
        <v>2</v>
      </c>
      <c r="B53" s="11">
        <v>26.25</v>
      </c>
      <c r="C53" s="11" t="s">
        <v>9</v>
      </c>
      <c r="D53" s="4">
        <v>97</v>
      </c>
      <c r="E53" s="4">
        <v>97</v>
      </c>
      <c r="F53" s="4">
        <v>0</v>
      </c>
      <c r="G53" s="4">
        <f t="shared" si="4"/>
        <v>1</v>
      </c>
      <c r="H53" s="5">
        <f>0.25*G3+0.5*G28+0.25*G10</f>
        <v>0.9464285714285714</v>
      </c>
      <c r="I53" s="5">
        <f t="shared" si="6"/>
        <v>91.803571428571431</v>
      </c>
      <c r="J53" s="5">
        <f t="shared" si="7"/>
        <v>5.1964285714285694</v>
      </c>
      <c r="K53" s="23">
        <f>_xlfn.CHISQ.TEST(E53:F53,I53:J53)</f>
        <v>1.9119352074756193E-2</v>
      </c>
      <c r="L53" s="7">
        <f>0.3125*G3+0.625*G28+0.0625*G10</f>
        <v>0.9866071428571429</v>
      </c>
      <c r="M53" s="7">
        <f t="shared" si="9"/>
        <v>95.700892857142861</v>
      </c>
      <c r="N53" s="7">
        <f t="shared" si="10"/>
        <v>1.2991071428571388</v>
      </c>
      <c r="O53" s="24">
        <f t="shared" si="11"/>
        <v>0.25117758321975714</v>
      </c>
      <c r="P53" s="10">
        <f>0.5625*G3+0.375*G28+0.0625*G10</f>
        <v>0.9866071428571429</v>
      </c>
      <c r="Q53" s="10">
        <f t="shared" si="12"/>
        <v>95.700892857142861</v>
      </c>
      <c r="R53" s="10">
        <f t="shared" si="13"/>
        <v>1.2991071428571388</v>
      </c>
      <c r="S53" s="28">
        <f t="shared" si="14"/>
        <v>0.25117758321975714</v>
      </c>
      <c r="T53" s="55">
        <f>0.5625*G3+0.4375*G10</f>
        <v>0.90625</v>
      </c>
      <c r="U53" s="55">
        <f t="shared" si="15"/>
        <v>87.90625</v>
      </c>
      <c r="V53" s="55">
        <f t="shared" si="16"/>
        <v>9.09375</v>
      </c>
      <c r="W53" s="28">
        <f t="shared" si="17"/>
        <v>1.53636682646959E-3</v>
      </c>
      <c r="X53" s="49">
        <f>0.8125*G3+0.1875*G10</f>
        <v>0.9598214285714286</v>
      </c>
      <c r="Y53" s="49">
        <f t="shared" si="18"/>
        <v>93.102678571428569</v>
      </c>
      <c r="Z53" s="49">
        <f t="shared" si="19"/>
        <v>3.8973214285714306</v>
      </c>
      <c r="AA53" s="28">
        <f t="shared" ref="AA53:AA64" si="23">_xlfn.CHISQ.TEST(E53:F53,Y53:Z53)</f>
        <v>4.3898406590811158E-2</v>
      </c>
      <c r="AB53" s="6">
        <f>0.375*G3+0.609375*G28+0.015625*G10</f>
        <v>0.9966517857142857</v>
      </c>
      <c r="AC53" s="6">
        <f>D53*AB53</f>
        <v>96.675223214285708</v>
      </c>
      <c r="AD53" s="6">
        <f>D53-AC53</f>
        <v>0.3247767857142918</v>
      </c>
      <c r="AE53" s="24">
        <f t="shared" si="22"/>
        <v>0.56810243170802355</v>
      </c>
    </row>
    <row r="54" spans="1:31" hidden="1" x14ac:dyDescent="0.2">
      <c r="A54" s="20" t="s">
        <v>40</v>
      </c>
      <c r="B54" s="20">
        <v>26.25</v>
      </c>
      <c r="C54" s="20" t="s">
        <v>9</v>
      </c>
      <c r="D54" s="20">
        <f>SUM(D46,D53)</f>
        <v>172</v>
      </c>
      <c r="E54" s="20">
        <f>SUM(E46,E53)</f>
        <v>162</v>
      </c>
      <c r="F54" s="20">
        <f t="shared" ref="F54:F61" si="24">D54-E54</f>
        <v>10</v>
      </c>
      <c r="G54" s="20">
        <f t="shared" si="4"/>
        <v>0.94186046511627908</v>
      </c>
      <c r="H54" s="20">
        <f>0.25*G8+0.5*G29+0.25*G17</f>
        <v>0.94318181818181812</v>
      </c>
      <c r="I54" s="20">
        <f t="shared" si="6"/>
        <v>162.22727272727272</v>
      </c>
      <c r="J54" s="20">
        <f t="shared" si="7"/>
        <v>9.7727272727272805</v>
      </c>
      <c r="K54" s="24">
        <f t="shared" si="8"/>
        <v>0.94032721333040792</v>
      </c>
      <c r="L54" s="20">
        <f>0.3125*G8+0.625*G29+0.0625*G17</f>
        <v>0.98579545454545459</v>
      </c>
      <c r="M54" s="20">
        <f t="shared" si="9"/>
        <v>169.55681818181819</v>
      </c>
      <c r="N54" s="20">
        <f t="shared" si="10"/>
        <v>2.443181818181813</v>
      </c>
      <c r="O54" s="23">
        <f t="shared" si="11"/>
        <v>1.1198701992925411E-6</v>
      </c>
      <c r="P54" s="20">
        <f>0.5625*G8+0.375*G29+0.0625*G17</f>
        <v>0.98579545454545459</v>
      </c>
      <c r="Q54" s="20">
        <f t="shared" si="12"/>
        <v>169.55681818181819</v>
      </c>
      <c r="R54" s="20">
        <f t="shared" si="13"/>
        <v>2.443181818181813</v>
      </c>
      <c r="S54" s="26">
        <f t="shared" si="14"/>
        <v>1.1198701992925411E-6</v>
      </c>
      <c r="T54" s="57">
        <f>0.5625*G2+0.4375*G9</f>
        <v>0.890625</v>
      </c>
      <c r="U54" s="57">
        <f t="shared" si="15"/>
        <v>153.1875</v>
      </c>
      <c r="V54" s="57">
        <f t="shared" si="16"/>
        <v>18.8125</v>
      </c>
      <c r="W54" s="28">
        <f t="shared" si="17"/>
        <v>3.1324755782527469E-2</v>
      </c>
      <c r="X54" s="57">
        <f>0.8125*G8+0.1875*G17</f>
        <v>0.95738636363636365</v>
      </c>
      <c r="Y54" s="57">
        <f t="shared" si="18"/>
        <v>164.67045454545456</v>
      </c>
      <c r="Z54" s="57">
        <f t="shared" si="19"/>
        <v>7.329545454545439</v>
      </c>
      <c r="AA54" s="26">
        <f t="shared" si="23"/>
        <v>0.3134070867090456</v>
      </c>
      <c r="AB54" s="20">
        <f>0.375*G8+0.609375*G29+0.015625*G17</f>
        <v>0.99644886363636365</v>
      </c>
      <c r="AC54" s="20">
        <f t="shared" si="20"/>
        <v>171.38920454545456</v>
      </c>
      <c r="AD54" s="20">
        <f t="shared" si="21"/>
        <v>0.61079545454543904</v>
      </c>
      <c r="AE54" s="23">
        <f t="shared" si="22"/>
        <v>2.3206452862738328E-33</v>
      </c>
    </row>
    <row r="55" spans="1:31" hidden="1" x14ac:dyDescent="0.2">
      <c r="A55" s="11">
        <v>1</v>
      </c>
      <c r="B55" s="11">
        <v>26.25</v>
      </c>
      <c r="C55" s="11" t="s">
        <v>10</v>
      </c>
      <c r="D55" s="4">
        <v>98</v>
      </c>
      <c r="E55" s="4">
        <v>98</v>
      </c>
      <c r="F55" s="4">
        <f t="shared" si="24"/>
        <v>0</v>
      </c>
      <c r="G55" s="4">
        <f t="shared" si="4"/>
        <v>1</v>
      </c>
      <c r="H55" s="5">
        <f>0.25*G2+0.5*G30+0.25*G9</f>
        <v>0.9375</v>
      </c>
      <c r="I55" s="5">
        <f t="shared" si="6"/>
        <v>91.875</v>
      </c>
      <c r="J55" s="5">
        <f t="shared" si="7"/>
        <v>6.125</v>
      </c>
      <c r="K55" s="23">
        <f t="shared" si="8"/>
        <v>1.0587137334056944E-2</v>
      </c>
      <c r="L55" s="7">
        <f>0.3125*G2+0.625*G30+0.0625*G9</f>
        <v>0.984375</v>
      </c>
      <c r="M55" s="7">
        <f t="shared" si="9"/>
        <v>96.46875</v>
      </c>
      <c r="N55" s="7">
        <f t="shared" si="10"/>
        <v>1.53125</v>
      </c>
      <c r="O55" s="24">
        <f t="shared" si="11"/>
        <v>0.21231716077296495</v>
      </c>
      <c r="P55" s="10">
        <f>0.5625*G2+0.375*G30+0.0625*G9</f>
        <v>0.984375</v>
      </c>
      <c r="Q55" s="10">
        <f t="shared" si="12"/>
        <v>96.46875</v>
      </c>
      <c r="R55" s="10">
        <f t="shared" si="13"/>
        <v>1.53125</v>
      </c>
      <c r="S55" s="28">
        <f t="shared" si="14"/>
        <v>0.21231716077296495</v>
      </c>
      <c r="T55" s="55">
        <f>0.5625*G2+0.4375*G9</f>
        <v>0.890625</v>
      </c>
      <c r="U55" s="55">
        <f t="shared" si="15"/>
        <v>87.28125</v>
      </c>
      <c r="V55" s="55">
        <f t="shared" si="16"/>
        <v>10.71875</v>
      </c>
      <c r="W55" s="26">
        <f t="shared" si="17"/>
        <v>5.2208377368773455E-4</v>
      </c>
      <c r="X55" s="49">
        <f>0.8125*G2+0.1875*G9</f>
        <v>0.953125</v>
      </c>
      <c r="Y55" s="49">
        <f t="shared" si="18"/>
        <v>93.40625</v>
      </c>
      <c r="Z55" s="49">
        <f t="shared" si="19"/>
        <v>4.59375</v>
      </c>
      <c r="AA55" s="26">
        <f t="shared" si="23"/>
        <v>2.8136696832513547E-2</v>
      </c>
      <c r="AB55" s="6">
        <f>0.375*G2+0.609375*G18+0.015625*G9</f>
        <v>0.99609375</v>
      </c>
      <c r="AC55" s="6">
        <f t="shared" si="20"/>
        <v>97.6171875</v>
      </c>
      <c r="AD55" s="6">
        <f t="shared" si="21"/>
        <v>0.3828125</v>
      </c>
      <c r="AE55" s="24">
        <f t="shared" si="22"/>
        <v>0.53530359724630072</v>
      </c>
    </row>
    <row r="56" spans="1:31" hidden="1" x14ac:dyDescent="0.2">
      <c r="A56" s="11">
        <v>2</v>
      </c>
      <c r="B56" s="11">
        <v>105</v>
      </c>
      <c r="C56" s="11" t="s">
        <v>9</v>
      </c>
      <c r="D56" s="4">
        <v>88</v>
      </c>
      <c r="E56" s="4">
        <v>85</v>
      </c>
      <c r="F56" s="4">
        <f t="shared" si="24"/>
        <v>3</v>
      </c>
      <c r="G56" s="4">
        <f t="shared" si="4"/>
        <v>0.96590909090909094</v>
      </c>
      <c r="H56" s="5">
        <f>0.25*G5+0.5*G34+0.25*G13</f>
        <v>0.75</v>
      </c>
      <c r="I56" s="5">
        <f t="shared" si="6"/>
        <v>66</v>
      </c>
      <c r="J56" s="5">
        <f t="shared" si="7"/>
        <v>22</v>
      </c>
      <c r="K56" s="23">
        <f t="shared" si="8"/>
        <v>2.9042662272079507E-6</v>
      </c>
      <c r="L56" s="7">
        <f>0.3125*G5+0.625*G34+0.0625*G13</f>
        <v>0.9375</v>
      </c>
      <c r="M56" s="7">
        <f t="shared" si="9"/>
        <v>82.5</v>
      </c>
      <c r="N56" s="7">
        <f t="shared" si="10"/>
        <v>5.5</v>
      </c>
      <c r="O56" s="24">
        <f t="shared" si="11"/>
        <v>0.27091242780280078</v>
      </c>
      <c r="P56" s="10">
        <f>0.5625*G5+0.375*G34+0.0625*G13</f>
        <v>0.9375</v>
      </c>
      <c r="Q56" s="10">
        <f t="shared" si="12"/>
        <v>82.5</v>
      </c>
      <c r="R56" s="10">
        <f t="shared" si="13"/>
        <v>5.5</v>
      </c>
      <c r="S56" s="24">
        <f t="shared" si="14"/>
        <v>0.27091242780280078</v>
      </c>
      <c r="T56" s="36">
        <f>0.5625*G5+0.4375*G13</f>
        <v>0.5625</v>
      </c>
      <c r="U56" s="36">
        <f t="shared" si="15"/>
        <v>49.5</v>
      </c>
      <c r="V56" s="36">
        <f t="shared" si="16"/>
        <v>38.5</v>
      </c>
      <c r="W56" s="23">
        <f t="shared" si="17"/>
        <v>2.3757933619003133E-14</v>
      </c>
      <c r="X56" s="49">
        <f>0.8125*G5+0.1875*G13</f>
        <v>0.8125</v>
      </c>
      <c r="Y56" s="58">
        <f t="shared" si="18"/>
        <v>71.5</v>
      </c>
      <c r="Z56" s="58">
        <f t="shared" si="19"/>
        <v>16.5</v>
      </c>
      <c r="AA56" s="23">
        <f t="shared" si="23"/>
        <v>2.2686058889529969E-4</v>
      </c>
      <c r="AB56" s="6">
        <f>0.375*G5+0.609375*G34+0.015625*G13</f>
        <v>0.984375</v>
      </c>
      <c r="AC56" s="6">
        <f t="shared" si="20"/>
        <v>86.625</v>
      </c>
      <c r="AD56" s="6">
        <f t="shared" si="21"/>
        <v>1.375</v>
      </c>
      <c r="AE56" s="24">
        <f t="shared" si="22"/>
        <v>0.16248581342938756</v>
      </c>
    </row>
    <row r="57" spans="1:31" hidden="1" x14ac:dyDescent="0.2">
      <c r="A57" s="20" t="s">
        <v>40</v>
      </c>
      <c r="B57" s="20">
        <v>105</v>
      </c>
      <c r="C57" s="20" t="s">
        <v>9</v>
      </c>
      <c r="D57" s="20">
        <f>SUM(D49,D56)</f>
        <v>184</v>
      </c>
      <c r="E57" s="20">
        <f>SUM(E49,E56)</f>
        <v>165</v>
      </c>
      <c r="F57" s="20">
        <f t="shared" si="24"/>
        <v>19</v>
      </c>
      <c r="G57" s="20">
        <f t="shared" si="4"/>
        <v>0.89673913043478259</v>
      </c>
      <c r="H57" s="20">
        <f>0.25*G11+0.5*G35+0.25*G20</f>
        <v>0.75</v>
      </c>
      <c r="I57" s="20">
        <f t="shared" si="6"/>
        <v>138</v>
      </c>
      <c r="J57" s="20">
        <f t="shared" si="7"/>
        <v>46</v>
      </c>
      <c r="K57" s="23">
        <f t="shared" si="8"/>
        <v>4.2905940420323002E-6</v>
      </c>
      <c r="L57" s="20">
        <f>0.3125*G11+0.625*G35+0.0625*G20</f>
        <v>0.9375</v>
      </c>
      <c r="M57" s="20">
        <f t="shared" si="9"/>
        <v>172.5</v>
      </c>
      <c r="N57" s="20">
        <f t="shared" si="10"/>
        <v>11.5</v>
      </c>
      <c r="O57" s="23">
        <f t="shared" si="11"/>
        <v>2.2362072853272508E-2</v>
      </c>
      <c r="P57" s="20">
        <f>0.5625*G11+0.375*G35+0.0625*G20</f>
        <v>0.9375</v>
      </c>
      <c r="Q57" s="20">
        <f t="shared" si="12"/>
        <v>172.5</v>
      </c>
      <c r="R57" s="20">
        <f t="shared" si="13"/>
        <v>11.5</v>
      </c>
      <c r="S57" s="23">
        <f t="shared" si="14"/>
        <v>2.2362072853272508E-2</v>
      </c>
      <c r="T57" s="20">
        <f>0.5625*G11+0.4375*G20</f>
        <v>0.5625</v>
      </c>
      <c r="U57" s="20">
        <f t="shared" si="15"/>
        <v>103.5</v>
      </c>
      <c r="V57" s="20">
        <f t="shared" si="16"/>
        <v>80.5</v>
      </c>
      <c r="W57" s="23">
        <f t="shared" si="17"/>
        <v>6.2821448143147662E-20</v>
      </c>
      <c r="X57" s="57">
        <f>0.8125*G11+0.1875*G20</f>
        <v>0.8125</v>
      </c>
      <c r="Y57" s="20">
        <f t="shared" si="18"/>
        <v>149.5</v>
      </c>
      <c r="Z57" s="20">
        <f t="shared" si="19"/>
        <v>34.5</v>
      </c>
      <c r="AA57" s="24">
        <f t="shared" si="23"/>
        <v>3.4159861787682495E-3</v>
      </c>
      <c r="AB57" s="20">
        <f>0.375*G11+0.609375*G35+0.015625*G20</f>
        <v>0.984375</v>
      </c>
      <c r="AC57" s="20">
        <f t="shared" si="20"/>
        <v>181.125</v>
      </c>
      <c r="AD57" s="20">
        <f t="shared" si="21"/>
        <v>2.875</v>
      </c>
      <c r="AE57" s="23">
        <f t="shared" si="22"/>
        <v>9.2291866176791363E-22</v>
      </c>
    </row>
    <row r="58" spans="1:31" hidden="1" x14ac:dyDescent="0.2">
      <c r="A58" s="11">
        <v>1</v>
      </c>
      <c r="B58" s="11">
        <v>105</v>
      </c>
      <c r="C58" s="11" t="s">
        <v>10</v>
      </c>
      <c r="D58" s="4">
        <v>98</v>
      </c>
      <c r="E58" s="4">
        <f>D58-11</f>
        <v>87</v>
      </c>
      <c r="F58" s="4">
        <f t="shared" si="24"/>
        <v>11</v>
      </c>
      <c r="G58" s="4">
        <f t="shared" si="4"/>
        <v>0.88775510204081631</v>
      </c>
      <c r="H58" s="5">
        <f>0.25*G4+0.5*G36+0.25*G12</f>
        <v>0.75</v>
      </c>
      <c r="I58" s="5">
        <f t="shared" si="6"/>
        <v>73.5</v>
      </c>
      <c r="J58" s="5">
        <f t="shared" si="7"/>
        <v>24.5</v>
      </c>
      <c r="K58" s="23">
        <f t="shared" si="8"/>
        <v>1.6363747347894757E-3</v>
      </c>
      <c r="L58" s="7">
        <f>0.3125*G4+0.625*G36+0.0625*G12</f>
        <v>0.9375</v>
      </c>
      <c r="M58" s="7">
        <f t="shared" si="9"/>
        <v>91.875</v>
      </c>
      <c r="N58" s="7">
        <f t="shared" si="10"/>
        <v>6.125</v>
      </c>
      <c r="O58" s="36">
        <f t="shared" si="11"/>
        <v>4.1911476232336299E-2</v>
      </c>
      <c r="P58" s="10">
        <f>0.5625*G4+0.375*G36+0.0625*G12</f>
        <v>0.9375</v>
      </c>
      <c r="Q58" s="10">
        <f t="shared" si="12"/>
        <v>91.875</v>
      </c>
      <c r="R58" s="10">
        <f t="shared" si="13"/>
        <v>6.125</v>
      </c>
      <c r="S58" s="36">
        <f t="shared" si="14"/>
        <v>4.1911476232336299E-2</v>
      </c>
      <c r="T58" s="36">
        <f>0.5625*G4+0.4375*G12</f>
        <v>0.5625</v>
      </c>
      <c r="U58" s="36">
        <f t="shared" si="15"/>
        <v>55.125</v>
      </c>
      <c r="V58" s="36">
        <f t="shared" si="16"/>
        <v>42.875</v>
      </c>
      <c r="W58" s="23">
        <f t="shared" si="17"/>
        <v>8.5478079713949869E-11</v>
      </c>
      <c r="X58" s="49">
        <f>0.8125*G4+0.1875*G13</f>
        <v>0.8125</v>
      </c>
      <c r="Y58" s="58">
        <f t="shared" si="18"/>
        <v>79.625</v>
      </c>
      <c r="Z58" s="58">
        <f t="shared" si="19"/>
        <v>18.375</v>
      </c>
      <c r="AA58" s="24">
        <f t="shared" si="23"/>
        <v>5.6301374744416099E-2</v>
      </c>
      <c r="AB58" s="6">
        <f>0.375*G4+0.609375*G36+0.015625*G12</f>
        <v>0.984375</v>
      </c>
      <c r="AC58" s="6">
        <f t="shared" si="20"/>
        <v>96.46875</v>
      </c>
      <c r="AD58" s="6">
        <f t="shared" si="21"/>
        <v>1.53125</v>
      </c>
      <c r="AE58" s="23">
        <f t="shared" si="22"/>
        <v>1.2347744728075881E-14</v>
      </c>
    </row>
    <row r="59" spans="1:31" x14ac:dyDescent="0.2">
      <c r="A59" s="11">
        <v>2</v>
      </c>
      <c r="B59" s="11">
        <v>420</v>
      </c>
      <c r="C59" s="11" t="s">
        <v>9</v>
      </c>
      <c r="D59" s="4">
        <v>56</v>
      </c>
      <c r="E59" s="4">
        <v>56</v>
      </c>
      <c r="F59" s="4">
        <f t="shared" si="24"/>
        <v>0</v>
      </c>
      <c r="G59" s="4">
        <f t="shared" si="4"/>
        <v>1</v>
      </c>
      <c r="H59" s="5">
        <f>0.25*G7+0.5*G40+0.25*G16</f>
        <v>0.47222222222222221</v>
      </c>
      <c r="I59" s="5">
        <f t="shared" si="6"/>
        <v>26.444444444444443</v>
      </c>
      <c r="J59" s="5">
        <f t="shared" si="7"/>
        <v>29.555555555555557</v>
      </c>
      <c r="K59" s="23">
        <f t="shared" si="8"/>
        <v>2.5477081987929155E-15</v>
      </c>
      <c r="L59" s="7">
        <f>0.3125*G7+0.625*G40+0.0625*G16</f>
        <v>0.59027777777777779</v>
      </c>
      <c r="M59" s="7">
        <f t="shared" si="9"/>
        <v>33.055555555555557</v>
      </c>
      <c r="N59" s="7">
        <f t="shared" si="10"/>
        <v>22.944444444444443</v>
      </c>
      <c r="O59" s="23">
        <f t="shared" si="11"/>
        <v>4.5285247036036484E-10</v>
      </c>
      <c r="P59" s="10">
        <f>0.5625*G7+0.375*G40+0.0625*G16</f>
        <v>0.72916666666666663</v>
      </c>
      <c r="Q59" s="10">
        <f t="shared" si="12"/>
        <v>40.833333333333329</v>
      </c>
      <c r="R59" s="10">
        <f t="shared" si="13"/>
        <v>15.166666666666671</v>
      </c>
      <c r="S59" s="23">
        <f t="shared" si="14"/>
        <v>5.0982963734372929E-6</v>
      </c>
      <c r="T59" s="36">
        <f>0.5625*G7+G22*G16</f>
        <v>0.5625</v>
      </c>
      <c r="U59" s="36">
        <f t="shared" si="15"/>
        <v>31.5</v>
      </c>
      <c r="V59" s="36">
        <f t="shared" si="16"/>
        <v>24.5</v>
      </c>
      <c r="W59" s="23">
        <f t="shared" si="17"/>
        <v>4.1209263529187621E-11</v>
      </c>
      <c r="X59" s="64">
        <f>G7*0.8125+G22*G16</f>
        <v>0.8125</v>
      </c>
      <c r="Y59" s="64">
        <f t="shared" si="18"/>
        <v>45.5</v>
      </c>
      <c r="Z59" s="64">
        <f t="shared" si="19"/>
        <v>10.5</v>
      </c>
      <c r="AA59" s="23">
        <f t="shared" si="23"/>
        <v>3.2455591913687715E-4</v>
      </c>
      <c r="AB59" s="6">
        <f>0.375*G7+0.609375*G40+0.25*G16</f>
        <v>0.64583333333333326</v>
      </c>
      <c r="AC59" s="6">
        <f>D59*AB59</f>
        <v>36.166666666666664</v>
      </c>
      <c r="AD59" s="6">
        <f t="shared" si="21"/>
        <v>19.833333333333336</v>
      </c>
      <c r="AE59" s="23">
        <f t="shared" si="22"/>
        <v>2.996667596394977E-8</v>
      </c>
    </row>
    <row r="60" spans="1:31" x14ac:dyDescent="0.2">
      <c r="A60" s="20" t="s">
        <v>40</v>
      </c>
      <c r="B60" s="20">
        <v>420</v>
      </c>
      <c r="C60" s="20" t="s">
        <v>9</v>
      </c>
      <c r="D60" s="20">
        <f>SUM(D52,D59)</f>
        <v>147</v>
      </c>
      <c r="E60" s="20">
        <f>SUM(E52,E59)</f>
        <v>142</v>
      </c>
      <c r="F60" s="20">
        <f t="shared" si="24"/>
        <v>5</v>
      </c>
      <c r="G60" s="20">
        <f t="shared" si="4"/>
        <v>0.96598639455782309</v>
      </c>
      <c r="H60" s="20">
        <f>0.25*G14+0.5*G41+0.25*G23</f>
        <v>0.44444444444444442</v>
      </c>
      <c r="I60" s="20">
        <f t="shared" si="6"/>
        <v>65.333333333333329</v>
      </c>
      <c r="J60" s="20">
        <f t="shared" si="7"/>
        <v>81.666666666666671</v>
      </c>
      <c r="K60" s="23">
        <f t="shared" si="8"/>
        <v>4.2664305526196063E-37</v>
      </c>
      <c r="L60" s="20">
        <f>0.3125*G14+0.625*G41+0.0625*G23</f>
        <v>0.55555555555555558</v>
      </c>
      <c r="M60" s="20">
        <f t="shared" si="9"/>
        <v>81.666666666666671</v>
      </c>
      <c r="N60" s="20">
        <f t="shared" si="10"/>
        <v>65.333333333333329</v>
      </c>
      <c r="O60" s="23">
        <f t="shared" si="11"/>
        <v>1.3172115906352868E-23</v>
      </c>
      <c r="P60" s="20">
        <f>0.5625*G41+0.375*G14+0.0625*G23</f>
        <v>0.59375</v>
      </c>
      <c r="Q60" s="20">
        <f t="shared" si="12"/>
        <v>87.28125</v>
      </c>
      <c r="R60" s="20">
        <f t="shared" si="13"/>
        <v>59.71875</v>
      </c>
      <c r="S60" s="23">
        <f t="shared" si="14"/>
        <v>3.956726888006376E-20</v>
      </c>
      <c r="T60" s="20">
        <f>0.5625*G14+G23*0.4375</f>
        <v>0.5625</v>
      </c>
      <c r="U60" s="20">
        <f t="shared" si="15"/>
        <v>82.6875</v>
      </c>
      <c r="V60" s="20">
        <f t="shared" si="16"/>
        <v>64.3125</v>
      </c>
      <c r="W60" s="23">
        <f t="shared" si="17"/>
        <v>6.1208228651115832E-23</v>
      </c>
      <c r="X60" s="20">
        <f>G14*0.8125+G23*0.1875</f>
        <v>0.8125</v>
      </c>
      <c r="Y60" s="20">
        <f t="shared" si="18"/>
        <v>119.4375</v>
      </c>
      <c r="Z60" s="20">
        <f t="shared" si="19"/>
        <v>27.5625</v>
      </c>
      <c r="AA60" s="23">
        <f t="shared" si="23"/>
        <v>1.8626678273553562E-6</v>
      </c>
      <c r="AB60" s="20">
        <f>0.375*G14+0.609375*G41+0.25*G23</f>
        <v>0.61197916666666663</v>
      </c>
      <c r="AC60" s="20">
        <f t="shared" si="20"/>
        <v>89.9609375</v>
      </c>
      <c r="AD60" s="20">
        <f t="shared" si="21"/>
        <v>57.0390625</v>
      </c>
      <c r="AE60" s="23">
        <f t="shared" si="22"/>
        <v>1.274526080964101E-18</v>
      </c>
    </row>
    <row r="61" spans="1:31" x14ac:dyDescent="0.2">
      <c r="A61" s="11">
        <v>1</v>
      </c>
      <c r="B61" s="11">
        <v>420</v>
      </c>
      <c r="C61" s="11" t="s">
        <v>10</v>
      </c>
      <c r="D61" s="4">
        <v>96</v>
      </c>
      <c r="E61" s="4">
        <f>D61-40</f>
        <v>56</v>
      </c>
      <c r="F61" s="4">
        <f t="shared" si="24"/>
        <v>40</v>
      </c>
      <c r="G61" s="4">
        <f t="shared" si="4"/>
        <v>0.58333333333333337</v>
      </c>
      <c r="H61" s="5">
        <f>0.25*G6+0.5*G42+0.25*G15</f>
        <v>0.625</v>
      </c>
      <c r="I61" s="5">
        <f t="shared" si="6"/>
        <v>60</v>
      </c>
      <c r="J61" s="5">
        <f t="shared" si="7"/>
        <v>36</v>
      </c>
      <c r="K61" s="24">
        <f t="shared" si="8"/>
        <v>0.39907519654823725</v>
      </c>
      <c r="L61" s="7">
        <f>0.3125*G6+0.625*G42+0.0625*G15</f>
        <v>0.78125</v>
      </c>
      <c r="M61" s="7">
        <f t="shared" si="9"/>
        <v>75</v>
      </c>
      <c r="N61" s="7">
        <f t="shared" si="10"/>
        <v>21</v>
      </c>
      <c r="O61" s="23">
        <f t="shared" si="11"/>
        <v>2.7210983856113795E-6</v>
      </c>
      <c r="P61" s="10">
        <f>0.5625*G6+0.375*G42+0.0625*G15</f>
        <v>0.84375</v>
      </c>
      <c r="Q61" s="10">
        <f t="shared" si="12"/>
        <v>81</v>
      </c>
      <c r="R61" s="10">
        <f t="shared" si="13"/>
        <v>15</v>
      </c>
      <c r="S61" s="23">
        <f t="shared" si="14"/>
        <v>2.1059292159051848E-12</v>
      </c>
      <c r="T61" s="36">
        <f>0.5625*G6+G15*0.4375</f>
        <v>0.5625</v>
      </c>
      <c r="U61" s="36">
        <f t="shared" si="15"/>
        <v>54</v>
      </c>
      <c r="V61" s="36">
        <f t="shared" si="16"/>
        <v>42</v>
      </c>
      <c r="W61" s="24">
        <f t="shared" si="17"/>
        <v>0.68072382934095033</v>
      </c>
      <c r="X61" s="64">
        <f>G6*0.8125+G16*0.1875</f>
        <v>0.8125</v>
      </c>
      <c r="Y61" s="64">
        <f t="shared" si="18"/>
        <v>78</v>
      </c>
      <c r="Z61" s="64">
        <f t="shared" si="19"/>
        <v>18</v>
      </c>
      <c r="AA61" s="23">
        <f t="shared" si="23"/>
        <v>8.7808497939717388E-9</v>
      </c>
      <c r="AB61" s="6">
        <f>0.375*G6+0.609375*G42+0.25*G15</f>
        <v>0.83203125</v>
      </c>
      <c r="AC61" s="6">
        <f>D61*AB61</f>
        <v>79.875</v>
      </c>
      <c r="AD61" s="6">
        <f t="shared" si="21"/>
        <v>16.125</v>
      </c>
      <c r="AE61" s="23">
        <f t="shared" si="22"/>
        <v>7.1184430189456599E-11</v>
      </c>
    </row>
    <row r="62" spans="1:31" hidden="1" x14ac:dyDescent="0.2">
      <c r="A62" s="11">
        <v>2</v>
      </c>
      <c r="B62" s="11">
        <v>26.25</v>
      </c>
      <c r="C62" s="11" t="s">
        <v>10</v>
      </c>
      <c r="D62" s="4">
        <v>98</v>
      </c>
      <c r="E62" s="4">
        <v>98</v>
      </c>
      <c r="F62" s="4">
        <v>0</v>
      </c>
      <c r="G62" s="4">
        <f t="shared" si="4"/>
        <v>1</v>
      </c>
      <c r="H62" s="5">
        <f>0.25*G3+0.5*G31+0.25*G10</f>
        <v>0.9464285714285714</v>
      </c>
      <c r="I62" s="5">
        <f t="shared" si="6"/>
        <v>92.75</v>
      </c>
      <c r="J62" s="5">
        <f t="shared" si="7"/>
        <v>5.25</v>
      </c>
      <c r="K62" s="23">
        <f>_xlfn.CHISQ.TEST(E62:F62,I62:J62)</f>
        <v>1.8510594073660069E-2</v>
      </c>
      <c r="L62" s="7">
        <f>0.3125*G3+0.625*G31+0.0625*G10</f>
        <v>0.9866071428571429</v>
      </c>
      <c r="M62" s="7">
        <f t="shared" si="9"/>
        <v>96.6875</v>
      </c>
      <c r="N62" s="7">
        <f t="shared" si="10"/>
        <v>1.3125</v>
      </c>
      <c r="O62" s="24">
        <f t="shared" si="11"/>
        <v>0.24874887686356068</v>
      </c>
      <c r="P62" s="10">
        <f>0.5625*G3+0.375*G31+0.0625*G10</f>
        <v>0.9866071428571429</v>
      </c>
      <c r="Q62" s="10">
        <f>D62*P62</f>
        <v>96.6875</v>
      </c>
      <c r="R62" s="10">
        <f t="shared" si="13"/>
        <v>1.3125</v>
      </c>
      <c r="S62" s="28">
        <f t="shared" si="14"/>
        <v>0.24874887686356068</v>
      </c>
      <c r="T62" s="55">
        <f>0.5625*G3+0.4375*G10</f>
        <v>0.90625</v>
      </c>
      <c r="U62" s="55">
        <f t="shared" si="15"/>
        <v>88.8125</v>
      </c>
      <c r="V62" s="55">
        <f t="shared" si="16"/>
        <v>9.1875</v>
      </c>
      <c r="W62" s="28">
        <f t="shared" si="17"/>
        <v>1.4524909974143569E-3</v>
      </c>
      <c r="X62" s="49">
        <f>0.8125*G2+0.1875*G10</f>
        <v>0.9598214285714286</v>
      </c>
      <c r="Y62" s="49">
        <f t="shared" si="18"/>
        <v>94.0625</v>
      </c>
      <c r="Z62" s="49">
        <f t="shared" si="19"/>
        <v>3.9375</v>
      </c>
      <c r="AA62" s="28">
        <f t="shared" si="23"/>
        <v>4.282427056460171E-2</v>
      </c>
      <c r="AB62" s="6">
        <f>0.375*G3+0.609375*G28+0.015625*G10</f>
        <v>0.9966517857142857</v>
      </c>
      <c r="AC62" s="6">
        <f t="shared" si="20"/>
        <v>97.671875</v>
      </c>
      <c r="AD62" s="6">
        <f t="shared" si="21"/>
        <v>0.328125</v>
      </c>
      <c r="AE62" s="24">
        <f t="shared" si="22"/>
        <v>0.56611442250557631</v>
      </c>
    </row>
    <row r="63" spans="1:31" hidden="1" x14ac:dyDescent="0.2">
      <c r="A63" s="20" t="s">
        <v>40</v>
      </c>
      <c r="B63" s="20">
        <v>26.25</v>
      </c>
      <c r="C63" s="20" t="s">
        <v>10</v>
      </c>
      <c r="D63" s="20">
        <f>SUM(D55,D62)</f>
        <v>196</v>
      </c>
      <c r="E63" s="20">
        <f>SUM(E55,E62)</f>
        <v>196</v>
      </c>
      <c r="F63" s="20">
        <f>D63-E63</f>
        <v>0</v>
      </c>
      <c r="G63" s="20">
        <f t="shared" si="4"/>
        <v>1</v>
      </c>
      <c r="H63" s="20">
        <f>0.25*G8+0.5*G44+0.25*G17</f>
        <v>0.94318181818181812</v>
      </c>
      <c r="I63" s="20">
        <f t="shared" si="6"/>
        <v>184.86363636363635</v>
      </c>
      <c r="J63" s="20">
        <f t="shared" si="7"/>
        <v>11.136363636363654</v>
      </c>
      <c r="K63" s="23">
        <f t="shared" si="8"/>
        <v>5.9001183560150096E-4</v>
      </c>
      <c r="L63" s="20">
        <f>0.3125*G8+0.625*G44+0.0625*G17</f>
        <v>0.98579545454545459</v>
      </c>
      <c r="M63" s="20">
        <f t="shared" si="9"/>
        <v>193.21590909090909</v>
      </c>
      <c r="N63" s="20">
        <f t="shared" si="10"/>
        <v>2.7840909090909065</v>
      </c>
      <c r="O63" s="24">
        <f t="shared" si="11"/>
        <v>9.2852714868594255E-2</v>
      </c>
      <c r="P63" s="20">
        <f>0.5625*G8+0.375*G44+0.0625*G17</f>
        <v>0.98579545454545459</v>
      </c>
      <c r="Q63" s="20">
        <f t="shared" si="12"/>
        <v>193.21590909090909</v>
      </c>
      <c r="R63" s="20">
        <f t="shared" si="13"/>
        <v>2.7840909090909065</v>
      </c>
      <c r="S63" s="28">
        <f t="shared" si="14"/>
        <v>9.2852714868594255E-2</v>
      </c>
      <c r="T63" s="57">
        <f>0.5625*G8+0.4375*G17</f>
        <v>0.90056818181818188</v>
      </c>
      <c r="U63" s="57">
        <f t="shared" si="15"/>
        <v>176.51136363636365</v>
      </c>
      <c r="V63" s="57">
        <f t="shared" si="16"/>
        <v>19.488636363636346</v>
      </c>
      <c r="W63" s="26">
        <f t="shared" si="17"/>
        <v>3.2885543209487028E-6</v>
      </c>
      <c r="X63" s="57">
        <f>0.8125*G8+0.1875*G17</f>
        <v>0.95738636363636365</v>
      </c>
      <c r="Y63" s="57">
        <f t="shared" si="18"/>
        <v>187.64772727272728</v>
      </c>
      <c r="Z63" s="57">
        <f t="shared" si="19"/>
        <v>8.3522727272727195</v>
      </c>
      <c r="AA63" s="26">
        <f t="shared" si="23"/>
        <v>3.1404213877760287E-3</v>
      </c>
      <c r="AB63" s="20">
        <f>0.375*G8+0.609375*G44+0.015625*G17</f>
        <v>0.99644886363636365</v>
      </c>
      <c r="AC63" s="20">
        <f t="shared" si="20"/>
        <v>195.30397727272728</v>
      </c>
      <c r="AD63" s="20">
        <f t="shared" si="21"/>
        <v>0.69602272727271952</v>
      </c>
      <c r="AE63" s="24">
        <f t="shared" si="22"/>
        <v>0.40328709573897353</v>
      </c>
    </row>
    <row r="64" spans="1:31" hidden="1" x14ac:dyDescent="0.2">
      <c r="A64" s="1" t="s">
        <v>39</v>
      </c>
      <c r="B64" s="1">
        <v>26.25</v>
      </c>
      <c r="C64" s="1" t="s">
        <v>20</v>
      </c>
      <c r="D64" s="1">
        <f>SUM(D54,D63)</f>
        <v>368</v>
      </c>
      <c r="E64" s="1">
        <f>SUM(E46,E53,E55,E62)</f>
        <v>358</v>
      </c>
      <c r="F64" s="1">
        <f>SUM(F46,F53,F55,F62)</f>
        <v>10</v>
      </c>
      <c r="G64" s="1">
        <f t="shared" si="4"/>
        <v>0.97282608695652173</v>
      </c>
      <c r="H64" s="1">
        <f>0.25*G8+0.5*G45+0.25*G17</f>
        <v>0.94318181818181812</v>
      </c>
      <c r="I64" s="1">
        <f t="shared" si="6"/>
        <v>347.09090909090907</v>
      </c>
      <c r="J64" s="1">
        <f t="shared" si="7"/>
        <v>20.909090909090935</v>
      </c>
      <c r="K64" s="23">
        <f t="shared" si="8"/>
        <v>1.4028343147961727E-2</v>
      </c>
      <c r="L64" s="1">
        <f>0.3125*G8+0.625*G45+0.0625*G17</f>
        <v>0.98579545454545459</v>
      </c>
      <c r="M64" s="1">
        <f t="shared" si="9"/>
        <v>362.77272727272731</v>
      </c>
      <c r="N64" s="1">
        <f t="shared" si="10"/>
        <v>5.2272727272726911</v>
      </c>
      <c r="O64" s="23">
        <f t="shared" si="11"/>
        <v>3.5509657091148152E-2</v>
      </c>
      <c r="P64" s="1">
        <f>0.5625*G8+0.375*G45+0.0625*G17</f>
        <v>0.98579545454545459</v>
      </c>
      <c r="Q64" s="1">
        <f t="shared" si="12"/>
        <v>362.77272727272731</v>
      </c>
      <c r="R64" s="1">
        <f t="shared" si="13"/>
        <v>5.2272727272726911</v>
      </c>
      <c r="S64" s="26">
        <f t="shared" si="14"/>
        <v>3.5509657091148152E-2</v>
      </c>
      <c r="T64" s="56">
        <f>0.5625*G8+0.4375*G17</f>
        <v>0.90056818181818188</v>
      </c>
      <c r="U64" s="56">
        <f t="shared" si="15"/>
        <v>331.40909090909093</v>
      </c>
      <c r="V64" s="56">
        <f t="shared" si="16"/>
        <v>36.590909090909065</v>
      </c>
      <c r="W64" s="28">
        <f t="shared" si="17"/>
        <v>3.6178203991624811E-6</v>
      </c>
      <c r="X64" s="56">
        <f>0.8125*G8+0.1875*G17</f>
        <v>0.95738636363636365</v>
      </c>
      <c r="Y64" s="56">
        <f t="shared" si="18"/>
        <v>352.31818181818181</v>
      </c>
      <c r="Z64" s="56">
        <f t="shared" si="19"/>
        <v>15.681818181818187</v>
      </c>
      <c r="AA64" s="28">
        <f t="shared" si="23"/>
        <v>0.14254573167611412</v>
      </c>
      <c r="AB64" s="1">
        <f>0.375*G8+0.609375*G45+0.015625*G17</f>
        <v>0.99644886363636365</v>
      </c>
      <c r="AC64" s="1">
        <f t="shared" si="20"/>
        <v>366.69318181818181</v>
      </c>
      <c r="AD64" s="1">
        <f t="shared" si="21"/>
        <v>1.306818181818187</v>
      </c>
      <c r="AE64" s="23">
        <f t="shared" si="22"/>
        <v>2.5754172481669899E-14</v>
      </c>
    </row>
    <row r="65" spans="1:31" hidden="1" x14ac:dyDescent="0.2">
      <c r="A65" s="11">
        <v>1</v>
      </c>
      <c r="B65" s="11">
        <v>26.25</v>
      </c>
      <c r="C65" s="11" t="s">
        <v>11</v>
      </c>
      <c r="D65" s="4">
        <v>93</v>
      </c>
      <c r="E65" s="4">
        <v>93</v>
      </c>
      <c r="F65" s="4">
        <f t="shared" ref="F65:F71" si="25">D65-E65</f>
        <v>0</v>
      </c>
      <c r="G65" s="4">
        <f t="shared" si="4"/>
        <v>1</v>
      </c>
      <c r="H65" s="5">
        <f>0.5*(G18+G9)</f>
        <v>0.875</v>
      </c>
      <c r="I65" s="5">
        <f t="shared" si="6"/>
        <v>81.375</v>
      </c>
      <c r="J65" s="5">
        <f t="shared" si="7"/>
        <v>11.625</v>
      </c>
      <c r="K65" s="23">
        <f t="shared" si="8"/>
        <v>2.6743612024270709E-4</v>
      </c>
      <c r="L65" s="7">
        <f>(0.75*G18+0.25*G9)</f>
        <v>0.9375</v>
      </c>
      <c r="M65" s="7">
        <f t="shared" si="9"/>
        <v>87.1875</v>
      </c>
      <c r="N65" s="7">
        <f t="shared" si="10"/>
        <v>5.8125</v>
      </c>
      <c r="O65" s="23">
        <f t="shared" si="11"/>
        <v>1.2775031283087393E-2</v>
      </c>
      <c r="P65" s="65"/>
      <c r="Q65" s="65"/>
      <c r="R65" s="65"/>
      <c r="S65" s="66"/>
      <c r="T65" s="55">
        <f>0.25*G18+0.75*G9</f>
        <v>0.8125</v>
      </c>
      <c r="U65" s="55">
        <f t="shared" si="15"/>
        <v>75.5625</v>
      </c>
      <c r="V65" s="55">
        <f t="shared" si="16"/>
        <v>17.4375</v>
      </c>
      <c r="W65" s="26">
        <f t="shared" si="17"/>
        <v>3.6099718122821903E-6</v>
      </c>
      <c r="X65" s="49"/>
      <c r="Y65" s="49"/>
      <c r="Z65" s="49"/>
      <c r="AA65" s="49"/>
      <c r="AB65" s="6">
        <f>0.875*G18+0.125*G9</f>
        <v>0.96875</v>
      </c>
      <c r="AC65" s="6">
        <f>D65*AB65</f>
        <v>90.09375</v>
      </c>
      <c r="AD65" s="6">
        <f t="shared" si="21"/>
        <v>2.90625</v>
      </c>
      <c r="AE65" s="24">
        <f t="shared" si="22"/>
        <v>8.3264516663550447E-2</v>
      </c>
    </row>
    <row r="66" spans="1:31" hidden="1" x14ac:dyDescent="0.2">
      <c r="A66" s="11">
        <v>2</v>
      </c>
      <c r="B66" s="11">
        <v>105</v>
      </c>
      <c r="C66" s="11" t="s">
        <v>10</v>
      </c>
      <c r="D66" s="4">
        <v>95</v>
      </c>
      <c r="E66" s="4">
        <v>91</v>
      </c>
      <c r="F66" s="4">
        <f t="shared" si="25"/>
        <v>4</v>
      </c>
      <c r="G66" s="4">
        <f t="shared" ref="G66:G100" si="26">E66/D66</f>
        <v>0.95789473684210524</v>
      </c>
      <c r="H66" s="5">
        <f>0.25*G5+0.5*G37+0.25*G13</f>
        <v>0.72916666666666674</v>
      </c>
      <c r="I66" s="5">
        <f t="shared" si="6"/>
        <v>69.270833333333343</v>
      </c>
      <c r="J66" s="5">
        <f t="shared" si="7"/>
        <v>25.729166666666657</v>
      </c>
      <c r="K66" s="23">
        <f t="shared" si="8"/>
        <v>5.2570732841642819E-7</v>
      </c>
      <c r="L66" s="7">
        <f>0.3125*G5+0.625*G37+0.0625*G13</f>
        <v>0.91145833333333337</v>
      </c>
      <c r="M66" s="7">
        <f t="shared" si="9"/>
        <v>86.588541666666671</v>
      </c>
      <c r="N66" s="7">
        <f t="shared" si="10"/>
        <v>8.4114583333333286</v>
      </c>
      <c r="O66" s="24">
        <f t="shared" si="11"/>
        <v>0.11110889373005298</v>
      </c>
      <c r="P66" s="10">
        <f>0.5625*G5+0.375*G37+0.0625*G13</f>
        <v>0.921875</v>
      </c>
      <c r="Q66" s="10">
        <f>D66*P66</f>
        <v>87.578125</v>
      </c>
      <c r="R66" s="10">
        <f>D66-Q66</f>
        <v>7.421875</v>
      </c>
      <c r="S66" s="24">
        <f>_xlfn.CHISQ.TEST(E66:F66,Q66:R66)</f>
        <v>0.19080838354980065</v>
      </c>
      <c r="T66" s="36">
        <f>0.5625*G5+0.4375*G13</f>
        <v>0.5625</v>
      </c>
      <c r="U66" s="36">
        <f t="shared" si="15"/>
        <v>53.4375</v>
      </c>
      <c r="V66" s="36">
        <f t="shared" si="16"/>
        <v>41.5625</v>
      </c>
      <c r="W66" s="23">
        <f t="shared" si="17"/>
        <v>7.936244093227386E-15</v>
      </c>
      <c r="X66" s="49">
        <f>0.8125*G4+0.1875*G13</f>
        <v>0.8125</v>
      </c>
      <c r="Y66" s="58">
        <f>D66*X66</f>
        <v>77.1875</v>
      </c>
      <c r="Z66" s="58">
        <f>D66-Y66</f>
        <v>17.8125</v>
      </c>
      <c r="AA66" s="23">
        <f>_xlfn.CHISQ.TEST(E66:F66,Y66:Z66)</f>
        <v>2.8258214567032013E-4</v>
      </c>
      <c r="AB66" s="6">
        <f>0.375*G5+0.609375*G37+0.015625*G13</f>
        <v>0.958984375</v>
      </c>
      <c r="AC66" s="6">
        <f t="shared" si="20"/>
        <v>91.103515625</v>
      </c>
      <c r="AD66" s="6">
        <f t="shared" si="21"/>
        <v>3.896484375</v>
      </c>
      <c r="AE66" s="24">
        <f t="shared" si="22"/>
        <v>0.95729328107612632</v>
      </c>
    </row>
    <row r="67" spans="1:31" hidden="1" x14ac:dyDescent="0.2">
      <c r="A67" s="20"/>
      <c r="B67" s="20">
        <v>105</v>
      </c>
      <c r="C67" s="20" t="s">
        <v>10</v>
      </c>
      <c r="D67" s="20">
        <f>SUM(D58,D66)</f>
        <v>193</v>
      </c>
      <c r="E67" s="20">
        <f>SUM(E58,E66)</f>
        <v>178</v>
      </c>
      <c r="F67" s="20">
        <f t="shared" si="25"/>
        <v>15</v>
      </c>
      <c r="G67" s="20">
        <f t="shared" si="26"/>
        <v>0.92227979274611394</v>
      </c>
      <c r="H67" s="20">
        <f>0.25*G11+0.5*G47+0.25*G20</f>
        <v>0.73648648648648651</v>
      </c>
      <c r="I67" s="20">
        <f t="shared" si="6"/>
        <v>142.1418918918919</v>
      </c>
      <c r="J67" s="20">
        <f t="shared" si="7"/>
        <v>50.858108108108098</v>
      </c>
      <c r="K67" s="23">
        <f t="shared" si="8"/>
        <v>4.6561040270826473E-9</v>
      </c>
      <c r="L67" s="20">
        <f>0.3125*G11+0.625*G47+0.0625*G20</f>
        <v>0.92060810810810811</v>
      </c>
      <c r="M67" s="20">
        <f t="shared" si="9"/>
        <v>177.67736486486487</v>
      </c>
      <c r="N67" s="20">
        <f t="shared" si="10"/>
        <v>15.32263513513513</v>
      </c>
      <c r="O67" s="24">
        <f t="shared" si="11"/>
        <v>0.93154365220936775</v>
      </c>
      <c r="P67" s="20">
        <f>0.5625*G11+0.375*G47+0.0625*G20</f>
        <v>0.92736486486486491</v>
      </c>
      <c r="Q67" s="20">
        <f>D67*P67</f>
        <v>178.98141891891893</v>
      </c>
      <c r="R67" s="20">
        <f>D67-Q67</f>
        <v>14.018581081081066</v>
      </c>
      <c r="S67" s="24">
        <f>_xlfn.CHISQ.TEST(E67:F67,Q67:R67)</f>
        <v>0.78547356336766261</v>
      </c>
      <c r="T67" s="20">
        <f>0.5625*G11+0.4375*G20</f>
        <v>0.5625</v>
      </c>
      <c r="U67" s="20">
        <f t="shared" si="15"/>
        <v>108.5625</v>
      </c>
      <c r="V67" s="20">
        <f t="shared" si="16"/>
        <v>84.4375</v>
      </c>
      <c r="W67" s="23">
        <f t="shared" si="17"/>
        <v>7.0923988441195748E-24</v>
      </c>
      <c r="X67" s="57">
        <f>0.8125*G11+0.1875*G20</f>
        <v>0.8125</v>
      </c>
      <c r="Y67" s="20">
        <f>D67*X67</f>
        <v>156.8125</v>
      </c>
      <c r="Z67" s="20">
        <f>D67-Y67</f>
        <v>36.1875</v>
      </c>
      <c r="AA67" s="23">
        <f>_xlfn.CHISQ.TEST(E67:F67,Y67:Z67)</f>
        <v>9.3291619293641229E-5</v>
      </c>
      <c r="AB67" s="20">
        <f>0.375*G11+0.609375*G47+0.015625*G20</f>
        <v>0.96790540540540548</v>
      </c>
      <c r="AC67" s="20">
        <f t="shared" si="20"/>
        <v>186.80574324324326</v>
      </c>
      <c r="AD67" s="20">
        <f t="shared" si="21"/>
        <v>6.1942567567567437</v>
      </c>
      <c r="AE67" s="23">
        <f t="shared" si="22"/>
        <v>3.227853335957365E-4</v>
      </c>
    </row>
    <row r="68" spans="1:31" hidden="1" x14ac:dyDescent="0.2">
      <c r="A68" s="1" t="s">
        <v>39</v>
      </c>
      <c r="B68" s="1">
        <v>105</v>
      </c>
      <c r="C68" s="1" t="s">
        <v>20</v>
      </c>
      <c r="D68" s="1">
        <f>SUM(D49,D56,D58,D66)</f>
        <v>377</v>
      </c>
      <c r="E68" s="1">
        <f>SUM(E49,E56,E58,E66)</f>
        <v>343</v>
      </c>
      <c r="F68" s="1">
        <f t="shared" si="25"/>
        <v>34</v>
      </c>
      <c r="G68" s="1">
        <f t="shared" si="26"/>
        <v>0.90981432360742709</v>
      </c>
      <c r="H68" s="1">
        <f>0.25*G11+0.5*G48+0.25*G20</f>
        <v>0.67201834862385323</v>
      </c>
      <c r="I68" s="1">
        <f t="shared" si="6"/>
        <v>253.35091743119267</v>
      </c>
      <c r="J68" s="1">
        <f t="shared" si="7"/>
        <v>123.64908256880733</v>
      </c>
      <c r="K68" s="23">
        <f t="shared" si="8"/>
        <v>7.9828118438264213E-23</v>
      </c>
      <c r="L68" s="1">
        <f>0.3125*G11+0.625*G48+0.0625*G20</f>
        <v>0.84002293577981657</v>
      </c>
      <c r="M68" s="1">
        <f t="shared" si="9"/>
        <v>316.68864678899087</v>
      </c>
      <c r="N68" s="1">
        <f t="shared" si="10"/>
        <v>60.311353211009134</v>
      </c>
      <c r="O68" s="23">
        <f t="shared" si="11"/>
        <v>2.1853830947812807E-4</v>
      </c>
      <c r="P68" s="1">
        <f>0.5625*G11+0.375*G48+0.0625*G20</f>
        <v>0.8790137614678899</v>
      </c>
      <c r="Q68" s="1">
        <f>D68*P68</f>
        <v>331.38818807339447</v>
      </c>
      <c r="R68" s="1">
        <f>D68-Q68</f>
        <v>45.611811926605526</v>
      </c>
      <c r="S68" s="24">
        <f>_xlfn.CHISQ.TEST(E68:F68,Q68:R68)</f>
        <v>6.6676461533374434E-2</v>
      </c>
      <c r="T68" s="59">
        <f>0.5625*G11+0.4375*G20</f>
        <v>0.5625</v>
      </c>
      <c r="U68" s="59">
        <f t="shared" si="15"/>
        <v>212.0625</v>
      </c>
      <c r="V68" s="59">
        <f t="shared" si="16"/>
        <v>164.9375</v>
      </c>
      <c r="W68" s="23">
        <f t="shared" si="17"/>
        <v>4.3544034538842458E-42</v>
      </c>
      <c r="X68" s="49">
        <f>0.8125*G11+0.1875*G20</f>
        <v>0.8125</v>
      </c>
      <c r="Y68" s="58">
        <f>D68*X68</f>
        <v>306.3125</v>
      </c>
      <c r="Z68" s="58">
        <f>D68-Y68</f>
        <v>70.6875</v>
      </c>
      <c r="AA68" s="23">
        <f>_xlfn.CHISQ.TEST(E68:F68,Y68:Z68)</f>
        <v>1.2918708278121799E-6</v>
      </c>
      <c r="AB68" s="1">
        <f>0.375*G11+0.609375*G48+0.015625*G20</f>
        <v>0.88933486238532111</v>
      </c>
      <c r="AC68" s="1">
        <f t="shared" si="20"/>
        <v>335.27924311926608</v>
      </c>
      <c r="AD68" s="1">
        <f t="shared" si="21"/>
        <v>41.720756880733916</v>
      </c>
      <c r="AE68" s="24">
        <f t="shared" si="22"/>
        <v>0.20497326676013108</v>
      </c>
    </row>
    <row r="69" spans="1:31" hidden="1" x14ac:dyDescent="0.2">
      <c r="A69" s="11">
        <v>1</v>
      </c>
      <c r="B69" s="11">
        <v>105</v>
      </c>
      <c r="C69" s="11" t="s">
        <v>11</v>
      </c>
      <c r="D69" s="4">
        <v>96</v>
      </c>
      <c r="E69" s="4">
        <v>85</v>
      </c>
      <c r="F69" s="4">
        <f t="shared" si="25"/>
        <v>11</v>
      </c>
      <c r="G69" s="4">
        <f t="shared" si="26"/>
        <v>0.88541666666666663</v>
      </c>
      <c r="H69" s="5">
        <f>0.5*(G21+G12)</f>
        <v>0.39583333333333331</v>
      </c>
      <c r="I69" s="5">
        <f t="shared" si="6"/>
        <v>38</v>
      </c>
      <c r="J69" s="5">
        <f t="shared" si="7"/>
        <v>58</v>
      </c>
      <c r="K69" s="23">
        <f t="shared" si="8"/>
        <v>1.0291618221303709E-22</v>
      </c>
      <c r="L69" s="7">
        <f>0.75*G21+0.25*G12</f>
        <v>0.59375</v>
      </c>
      <c r="M69" s="7">
        <f t="shared" si="9"/>
        <v>57</v>
      </c>
      <c r="N69" s="7">
        <f t="shared" si="10"/>
        <v>39</v>
      </c>
      <c r="O69" s="23">
        <f t="shared" si="11"/>
        <v>5.9316811853318236E-9</v>
      </c>
      <c r="P69" s="65"/>
      <c r="Q69" s="65"/>
      <c r="R69" s="65"/>
      <c r="S69" s="65"/>
      <c r="T69" s="36">
        <f>0.25*G21+0.75*G20</f>
        <v>0.19791666666666666</v>
      </c>
      <c r="U69" s="36">
        <f t="shared" si="15"/>
        <v>19</v>
      </c>
      <c r="V69" s="36">
        <f t="shared" si="16"/>
        <v>77</v>
      </c>
      <c r="W69" s="23">
        <f t="shared" si="17"/>
        <v>4.0196156379790524E-64</v>
      </c>
      <c r="X69" s="58"/>
      <c r="Y69" s="58"/>
      <c r="Z69" s="58"/>
      <c r="AA69" s="58"/>
      <c r="AB69" s="6">
        <f>0.875*G21+0.125*G12</f>
        <v>0.69270833333333326</v>
      </c>
      <c r="AC69" s="6">
        <f t="shared" si="20"/>
        <v>66.5</v>
      </c>
      <c r="AD69" s="6">
        <f t="shared" si="21"/>
        <v>29.5</v>
      </c>
      <c r="AE69" s="23">
        <f t="shared" si="22"/>
        <v>4.2680230575286753E-5</v>
      </c>
    </row>
    <row r="70" spans="1:31" x14ac:dyDescent="0.2">
      <c r="A70" s="11">
        <v>2</v>
      </c>
      <c r="B70" s="11">
        <v>420</v>
      </c>
      <c r="C70" s="11" t="s">
        <v>10</v>
      </c>
      <c r="D70" s="4">
        <v>94</v>
      </c>
      <c r="E70" s="4">
        <v>82</v>
      </c>
      <c r="F70" s="4">
        <f t="shared" si="25"/>
        <v>12</v>
      </c>
      <c r="G70" s="4">
        <f t="shared" si="26"/>
        <v>0.87234042553191493</v>
      </c>
      <c r="H70" s="5">
        <f>0.25*G7+0.5*G43+0.25*G16</f>
        <v>0.70833333333333326</v>
      </c>
      <c r="I70" s="5">
        <f t="shared" si="6"/>
        <v>66.583333333333329</v>
      </c>
      <c r="J70" s="5">
        <f t="shared" si="7"/>
        <v>27.416666666666671</v>
      </c>
      <c r="K70" s="23">
        <f t="shared" si="8"/>
        <v>4.6813136183312487E-4</v>
      </c>
      <c r="L70" s="7">
        <f>0.3125*G7+0.625*G43+0.0625*G16</f>
        <v>0.88541666666666663</v>
      </c>
      <c r="M70" s="7">
        <f t="shared" si="9"/>
        <v>83.229166666666657</v>
      </c>
      <c r="N70" s="7">
        <f t="shared" si="10"/>
        <v>10.770833333333343</v>
      </c>
      <c r="O70" s="24">
        <f t="shared" si="11"/>
        <v>0.69061045781663588</v>
      </c>
      <c r="P70" s="10">
        <f>0.5625*G7+0.375*G43+0.0625*G16</f>
        <v>0.90625</v>
      </c>
      <c r="Q70" s="10">
        <f>D70*P70</f>
        <v>85.1875</v>
      </c>
      <c r="R70" s="10">
        <f>D70-Q70</f>
        <v>8.8125</v>
      </c>
      <c r="S70" s="24">
        <f>_xlfn.CHISQ.TEST(E70:F70,Q70:R70)</f>
        <v>0.25935554816392031</v>
      </c>
      <c r="T70" s="36">
        <f>0.5625*G6+G15*0.4375</f>
        <v>0.5625</v>
      </c>
      <c r="U70" s="36">
        <f t="shared" si="15"/>
        <v>52.875</v>
      </c>
      <c r="V70" s="36">
        <f t="shared" si="16"/>
        <v>41.125</v>
      </c>
      <c r="W70" s="23">
        <f t="shared" si="17"/>
        <v>1.3996148080703663E-9</v>
      </c>
      <c r="X70" s="64">
        <f>G7*0.8125+G16*0.1875</f>
        <v>0.8125</v>
      </c>
      <c r="Y70" s="64">
        <f>D70*X70</f>
        <v>76.375</v>
      </c>
      <c r="Z70" s="64">
        <f>D70-Y70</f>
        <v>17.625</v>
      </c>
      <c r="AA70" s="24">
        <f>_xlfn.CHISQ.TEST(E70:F70,Y70:Z70)</f>
        <v>0.13716377545209241</v>
      </c>
      <c r="AB70" s="6">
        <f>0.375*G7+0.609375*G43+0.25*G16</f>
        <v>0.93359375</v>
      </c>
      <c r="AC70" s="6">
        <f>D70*AB70</f>
        <v>87.7578125</v>
      </c>
      <c r="AD70" s="6">
        <f t="shared" si="21"/>
        <v>6.2421875</v>
      </c>
      <c r="AE70" s="23">
        <f t="shared" si="22"/>
        <v>1.7073573650020341E-2</v>
      </c>
    </row>
    <row r="71" spans="1:31" x14ac:dyDescent="0.2">
      <c r="A71" s="20" t="s">
        <v>40</v>
      </c>
      <c r="B71" s="20">
        <v>420</v>
      </c>
      <c r="C71" s="20" t="s">
        <v>10</v>
      </c>
      <c r="D71" s="20">
        <f>SUM(D61,D70)</f>
        <v>190</v>
      </c>
      <c r="E71" s="20">
        <f>SUM(E61,E70)</f>
        <v>138</v>
      </c>
      <c r="F71" s="20">
        <f t="shared" si="25"/>
        <v>52</v>
      </c>
      <c r="G71" s="20">
        <f t="shared" si="26"/>
        <v>0.72631578947368425</v>
      </c>
      <c r="H71" s="20">
        <f>0.25*G14+0.5*G50+0.25*G23</f>
        <v>0.68055555555555558</v>
      </c>
      <c r="I71" s="20">
        <f t="shared" si="6"/>
        <v>129.30555555555557</v>
      </c>
      <c r="J71" s="20">
        <f t="shared" si="7"/>
        <v>60.694444444444429</v>
      </c>
      <c r="K71" s="24">
        <f t="shared" si="8"/>
        <v>0.17611756177449311</v>
      </c>
      <c r="L71" s="20">
        <f>0.3125*G14+0.625*G50+0.0625*G23</f>
        <v>0.85069444444444442</v>
      </c>
      <c r="M71" s="20">
        <f t="shared" si="9"/>
        <v>161.63194444444443</v>
      </c>
      <c r="N71" s="20">
        <f t="shared" si="10"/>
        <v>28.368055555555571</v>
      </c>
      <c r="O71" s="23">
        <f t="shared" si="11"/>
        <v>1.5048934190294187E-6</v>
      </c>
      <c r="P71" s="20">
        <f>0.5625*G14+0.375*G50+0.0625*G23</f>
        <v>0.88541666666666674</v>
      </c>
      <c r="Q71" s="20">
        <f>D71*P71</f>
        <v>168.22916666666669</v>
      </c>
      <c r="R71" s="20">
        <f>D71-Q71</f>
        <v>21.770833333333314</v>
      </c>
      <c r="S71" s="23">
        <f>_xlfn.CHISQ.TEST(E71:F71,Q71:R71)</f>
        <v>5.7717701763749105E-12</v>
      </c>
      <c r="T71" s="20">
        <f>0.5625*G14+G23*0.4375</f>
        <v>0.5625</v>
      </c>
      <c r="U71" s="20">
        <f t="shared" si="15"/>
        <v>106.875</v>
      </c>
      <c r="V71" s="20">
        <f t="shared" si="16"/>
        <v>83.125</v>
      </c>
      <c r="W71" s="24">
        <f t="shared" si="17"/>
        <v>5.3191281679402919E-6</v>
      </c>
      <c r="X71" s="20">
        <f>G14*0.8125+G23*0.1875</f>
        <v>0.8125</v>
      </c>
      <c r="Y71" s="20">
        <f>D71*X71</f>
        <v>154.375</v>
      </c>
      <c r="Z71" s="20">
        <f>D71-Y71</f>
        <v>35.625</v>
      </c>
      <c r="AA71" s="23">
        <f>_xlfn.CHISQ.TEST(E71:F71,Y71:Z71)</f>
        <v>2.3374062289996242E-3</v>
      </c>
      <c r="AB71" s="20">
        <f>0.375*G14+0.609375*G50+0.25*G23</f>
        <v>0.89973958333333337</v>
      </c>
      <c r="AC71" s="20">
        <f t="shared" si="20"/>
        <v>170.95052083333334</v>
      </c>
      <c r="AD71" s="20">
        <f t="shared" si="21"/>
        <v>19.049479166666657</v>
      </c>
      <c r="AE71" s="23">
        <f t="shared" si="22"/>
        <v>1.7333735007671873E-15</v>
      </c>
    </row>
    <row r="72" spans="1:31" x14ac:dyDescent="0.2">
      <c r="A72" s="1" t="s">
        <v>39</v>
      </c>
      <c r="B72" s="1">
        <v>420</v>
      </c>
      <c r="C72" s="1" t="s">
        <v>20</v>
      </c>
      <c r="D72" s="1">
        <f>SUM(D60,D71)</f>
        <v>337</v>
      </c>
      <c r="E72" s="1">
        <f>SUM(E60,E71)</f>
        <v>280</v>
      </c>
      <c r="F72" s="1">
        <f>SUM(F60,F71)</f>
        <v>57</v>
      </c>
      <c r="G72" s="1">
        <f t="shared" si="26"/>
        <v>0.83086053412462912</v>
      </c>
      <c r="H72" s="1">
        <f>0.25*G14+0.5*G51+0.25*G23</f>
        <v>0.42032967032967034</v>
      </c>
      <c r="I72" s="1">
        <f t="shared" si="6"/>
        <v>141.65109890109889</v>
      </c>
      <c r="J72" s="1">
        <f t="shared" si="7"/>
        <v>195.34890109890111</v>
      </c>
      <c r="K72" s="23">
        <f t="shared" si="8"/>
        <v>1.2541554683464739E-52</v>
      </c>
      <c r="L72" s="1">
        <f>0.3125*G14+0.625*G51+0.0625*G23</f>
        <v>0.52541208791208793</v>
      </c>
      <c r="M72" s="1">
        <f t="shared" si="9"/>
        <v>177.06387362637363</v>
      </c>
      <c r="N72" s="1">
        <f t="shared" si="10"/>
        <v>159.93612637362637</v>
      </c>
      <c r="O72" s="23">
        <f t="shared" si="11"/>
        <v>2.9349055484236776E-29</v>
      </c>
      <c r="P72" s="1">
        <f>0.5625*G14+0.375*G51+0.0625*G23</f>
        <v>0.69024725274725274</v>
      </c>
      <c r="Q72" s="1">
        <f>D72*P72</f>
        <v>232.61332417582418</v>
      </c>
      <c r="R72" s="1">
        <f>D72-Q72</f>
        <v>104.38667582417582</v>
      </c>
      <c r="S72" s="23">
        <f>_xlfn.CHISQ.TEST(E72:F72,Q72:R72)</f>
        <v>2.3703942729036218E-8</v>
      </c>
      <c r="T72" s="59">
        <f>0.5625*G14+G23*0.4375</f>
        <v>0.5625</v>
      </c>
      <c r="U72" s="59">
        <f t="shared" si="15"/>
        <v>189.5625</v>
      </c>
      <c r="V72" s="59">
        <f t="shared" si="16"/>
        <v>147.4375</v>
      </c>
      <c r="W72" s="23">
        <f t="shared" si="17"/>
        <v>3.0585740529669207E-23</v>
      </c>
      <c r="X72" s="67">
        <f>G14*0.8125+G23*0.1875</f>
        <v>0.8125</v>
      </c>
      <c r="Y72" s="67">
        <f>D72*X72</f>
        <v>273.8125</v>
      </c>
      <c r="Z72" s="67">
        <f>D72-Y72</f>
        <v>63.1875</v>
      </c>
      <c r="AA72" s="24">
        <f>_xlfn.CHISQ.TEST(E72:F72,Y72:Z72)</f>
        <v>0.38783464713975552</v>
      </c>
      <c r="AB72" s="1">
        <f>0.375*G14+0.609375*G51+0.25*G23</f>
        <v>0.5825892857142857</v>
      </c>
      <c r="AC72" s="1">
        <f t="shared" si="20"/>
        <v>196.33258928571428</v>
      </c>
      <c r="AD72" s="1">
        <f t="shared" si="21"/>
        <v>140.66741071428572</v>
      </c>
      <c r="AE72" s="23">
        <f t="shared" si="22"/>
        <v>2.4133743474678249E-20</v>
      </c>
    </row>
    <row r="73" spans="1:31" x14ac:dyDescent="0.2">
      <c r="A73" s="11">
        <v>1</v>
      </c>
      <c r="B73" s="11">
        <v>420</v>
      </c>
      <c r="C73" s="11" t="s">
        <v>11</v>
      </c>
      <c r="D73" s="4">
        <v>98</v>
      </c>
      <c r="E73" s="4">
        <v>10</v>
      </c>
      <c r="F73" s="4">
        <f t="shared" ref="F73:F93" si="27">D73-E73</f>
        <v>88</v>
      </c>
      <c r="G73" s="4">
        <f t="shared" si="26"/>
        <v>0.10204081632653061</v>
      </c>
      <c r="H73" s="5">
        <f>0.5*(G24+G15)</f>
        <v>3.8461538461538464E-2</v>
      </c>
      <c r="I73" s="5">
        <f t="shared" si="6"/>
        <v>3.7692307692307696</v>
      </c>
      <c r="J73" s="5">
        <f t="shared" si="7"/>
        <v>94.230769230769226</v>
      </c>
      <c r="K73" s="23">
        <f>_xlfn.CHISQ.TEST(E73:F73,I73:J73)</f>
        <v>1.0645229953894283E-3</v>
      </c>
      <c r="L73" s="7">
        <f>0.75*G24+0.25*G15</f>
        <v>5.7692307692307696E-2</v>
      </c>
      <c r="M73" s="7">
        <f t="shared" si="9"/>
        <v>5.6538461538461542</v>
      </c>
      <c r="N73" s="7">
        <f t="shared" si="10"/>
        <v>92.34615384615384</v>
      </c>
      <c r="O73" s="23">
        <f t="shared" si="11"/>
        <v>5.9708351239080831E-2</v>
      </c>
      <c r="P73" s="10">
        <f>0.75*G24+0.25*G15</f>
        <v>5.7692307692307696E-2</v>
      </c>
      <c r="Q73" s="10">
        <f>D73*P73</f>
        <v>5.6538461538461542</v>
      </c>
      <c r="R73" s="10">
        <f>D73-Q73</f>
        <v>92.34615384615384</v>
      </c>
      <c r="S73" s="23">
        <f>_xlfn.CHISQ.TEST(E73:F73,Q73:R73)</f>
        <v>5.9708351239080831E-2</v>
      </c>
      <c r="T73" s="36">
        <f>G24*0.25+G15*0.75</f>
        <v>1.9230769230769232E-2</v>
      </c>
      <c r="U73" s="36">
        <f t="shared" si="15"/>
        <v>1.8846153846153848</v>
      </c>
      <c r="V73" s="36">
        <f t="shared" si="16"/>
        <v>96.115384615384613</v>
      </c>
      <c r="W73" s="23">
        <f t="shared" si="17"/>
        <v>2.3845596729631602E-9</v>
      </c>
      <c r="X73" s="63"/>
      <c r="Y73" s="63"/>
      <c r="Z73" s="63"/>
      <c r="AA73" s="63"/>
      <c r="AB73" s="6">
        <f>0.875*G24+0.125*G15</f>
        <v>6.7307692307692318E-2</v>
      </c>
      <c r="AC73" s="6">
        <f>D73*AB73</f>
        <v>6.5961538461538476</v>
      </c>
      <c r="AD73" s="6">
        <f>D73-AC73</f>
        <v>91.403846153846146</v>
      </c>
      <c r="AE73" s="24">
        <f t="shared" si="22"/>
        <v>0.16996389696212091</v>
      </c>
    </row>
    <row r="74" spans="1:31" hidden="1" x14ac:dyDescent="0.2">
      <c r="A74" s="11">
        <v>2</v>
      </c>
      <c r="B74" s="11">
        <v>26.25</v>
      </c>
      <c r="C74" s="11" t="s">
        <v>11</v>
      </c>
      <c r="D74" s="4">
        <v>29</v>
      </c>
      <c r="E74" s="4">
        <v>27</v>
      </c>
      <c r="F74" s="4">
        <f t="shared" si="27"/>
        <v>2</v>
      </c>
      <c r="G74" s="4">
        <f t="shared" si="26"/>
        <v>0.93103448275862066</v>
      </c>
      <c r="H74" s="5">
        <f>0.5*(G19+G10)</f>
        <v>0.89285714285714279</v>
      </c>
      <c r="I74" s="5">
        <f>D74*H74</f>
        <v>25.892857142857142</v>
      </c>
      <c r="J74" s="5">
        <f t="shared" si="7"/>
        <v>3.1071428571428577</v>
      </c>
      <c r="K74" s="24">
        <f>_xlfn.CHISQ.TEST(E74:F74,I74:J74)</f>
        <v>0.50623614263997685</v>
      </c>
      <c r="L74" s="7">
        <f>(0.75*G19+0.25*G10)</f>
        <v>0.9464285714285714</v>
      </c>
      <c r="M74" s="7">
        <f t="shared" si="9"/>
        <v>27.446428571428569</v>
      </c>
      <c r="N74" s="7">
        <f t="shared" si="10"/>
        <v>1.5535714285714306</v>
      </c>
      <c r="O74" s="24">
        <f t="shared" si="11"/>
        <v>0.71275023901941359</v>
      </c>
      <c r="P74" s="65"/>
      <c r="Q74" s="65"/>
      <c r="R74" s="65"/>
      <c r="S74" s="66"/>
      <c r="T74" s="55">
        <f>0.25*G19+0.75*G10</f>
        <v>0.8392857142857143</v>
      </c>
      <c r="U74" s="55">
        <f t="shared" si="15"/>
        <v>24.339285714285715</v>
      </c>
      <c r="V74" s="55">
        <f t="shared" si="16"/>
        <v>4.6607142857142847</v>
      </c>
      <c r="W74" s="28">
        <f t="shared" si="17"/>
        <v>0.1785304298821816</v>
      </c>
      <c r="X74" s="49"/>
      <c r="Y74" s="49"/>
      <c r="Z74" s="49"/>
      <c r="AA74" s="49"/>
      <c r="AB74" s="6">
        <f>0.875*G19+0.125*G10</f>
        <v>0.9732142857142857</v>
      </c>
      <c r="AC74" s="6">
        <f>D74*AB74</f>
        <v>28.223214285714285</v>
      </c>
      <c r="AD74" s="6">
        <f t="shared" si="21"/>
        <v>0.7767857142857153</v>
      </c>
      <c r="AE74" s="24">
        <f t="shared" si="22"/>
        <v>0.15947197156654797</v>
      </c>
    </row>
    <row r="75" spans="1:31" hidden="1" x14ac:dyDescent="0.2">
      <c r="A75" s="20" t="s">
        <v>40</v>
      </c>
      <c r="B75" s="20">
        <v>26.25</v>
      </c>
      <c r="C75" s="20" t="s">
        <v>11</v>
      </c>
      <c r="D75" s="20">
        <f>SUM(D65,D74)</f>
        <v>122</v>
      </c>
      <c r="E75" s="20">
        <f>SUM(E65,E74)</f>
        <v>120</v>
      </c>
      <c r="F75" s="20">
        <f t="shared" si="27"/>
        <v>2</v>
      </c>
      <c r="G75" s="20">
        <f t="shared" si="26"/>
        <v>0.98360655737704916</v>
      </c>
      <c r="H75" s="20">
        <f>0.5*(G26+G17)</f>
        <v>0.88636363636363635</v>
      </c>
      <c r="I75" s="20">
        <f t="shared" si="6"/>
        <v>108.13636363636364</v>
      </c>
      <c r="J75" s="20">
        <f t="shared" si="7"/>
        <v>13.86363636363636</v>
      </c>
      <c r="K75" s="23">
        <f t="shared" si="8"/>
        <v>7.1351017742565272E-4</v>
      </c>
      <c r="L75" s="20">
        <f>(0.75*G26+0.25*G17)</f>
        <v>0.94318181818181812</v>
      </c>
      <c r="M75" s="20">
        <f t="shared" si="9"/>
        <v>115.06818181818181</v>
      </c>
      <c r="N75" s="20">
        <f t="shared" si="10"/>
        <v>6.931818181818187</v>
      </c>
      <c r="O75" s="24">
        <f t="shared" si="11"/>
        <v>5.3756485445238568E-2</v>
      </c>
      <c r="P75" s="65"/>
      <c r="Q75" s="65"/>
      <c r="R75" s="65"/>
      <c r="S75" s="66"/>
      <c r="T75" s="57">
        <f>0.25*G26+0.75*G17</f>
        <v>0.82954545454545459</v>
      </c>
      <c r="U75" s="57">
        <f t="shared" si="15"/>
        <v>101.20454545454545</v>
      </c>
      <c r="V75" s="57">
        <f t="shared" si="16"/>
        <v>20.795454545454547</v>
      </c>
      <c r="W75" s="26">
        <f t="shared" si="17"/>
        <v>6.0306461232164957E-6</v>
      </c>
      <c r="X75" s="49"/>
      <c r="Y75" s="49"/>
      <c r="Z75" s="49"/>
      <c r="AA75" s="49"/>
      <c r="AB75" s="20">
        <f>0.89*G26+0.11*G17</f>
        <v>0.97499999999999998</v>
      </c>
      <c r="AC75" s="20">
        <f t="shared" ref="AC75:AC98" si="28">D75*AB75</f>
        <v>118.95</v>
      </c>
      <c r="AD75" s="20">
        <f t="shared" si="21"/>
        <v>3.0499999999999972</v>
      </c>
      <c r="AE75" s="24">
        <f t="shared" si="22"/>
        <v>0.54259899798061495</v>
      </c>
    </row>
    <row r="76" spans="1:31" hidden="1" x14ac:dyDescent="0.2">
      <c r="A76" s="11">
        <v>1</v>
      </c>
      <c r="B76" s="11">
        <v>26.25</v>
      </c>
      <c r="C76" s="11" t="s">
        <v>12</v>
      </c>
      <c r="D76" s="4">
        <v>94</v>
      </c>
      <c r="E76" s="4">
        <v>93</v>
      </c>
      <c r="F76" s="4">
        <f t="shared" si="27"/>
        <v>1</v>
      </c>
      <c r="G76" s="4">
        <f t="shared" si="26"/>
        <v>0.98936170212765961</v>
      </c>
      <c r="H76" s="5">
        <f>0.5*(G27+G9)</f>
        <v>0.875</v>
      </c>
      <c r="I76" s="5">
        <f t="shared" si="6"/>
        <v>82.25</v>
      </c>
      <c r="J76" s="5">
        <f t="shared" si="7"/>
        <v>11.75</v>
      </c>
      <c r="K76" s="23">
        <f t="shared" si="8"/>
        <v>8.0047912334304313E-4</v>
      </c>
      <c r="L76" s="7">
        <f>(0.75*G27+0.25*G9)</f>
        <v>0.9375</v>
      </c>
      <c r="M76" s="7">
        <f t="shared" si="9"/>
        <v>88.125</v>
      </c>
      <c r="N76" s="7">
        <f t="shared" si="10"/>
        <v>5.875</v>
      </c>
      <c r="O76" s="23">
        <f t="shared" si="11"/>
        <v>3.7780133190659961E-2</v>
      </c>
      <c r="P76" s="65"/>
      <c r="Q76" s="65"/>
      <c r="R76" s="65"/>
      <c r="S76" s="66"/>
      <c r="T76" s="55">
        <f>0.25*G27+0.75*G9</f>
        <v>0.8125</v>
      </c>
      <c r="U76" s="55">
        <f t="shared" si="15"/>
        <v>76.375</v>
      </c>
      <c r="V76" s="55">
        <f t="shared" si="16"/>
        <v>17.625</v>
      </c>
      <c r="W76" s="26">
        <f t="shared" si="17"/>
        <v>1.1167124614212432E-5</v>
      </c>
      <c r="X76" s="49"/>
      <c r="Y76" s="49"/>
      <c r="Z76" s="49"/>
      <c r="AA76" s="49"/>
      <c r="AB76" s="6">
        <f>0.875*G27+0.125*G9</f>
        <v>0.96875</v>
      </c>
      <c r="AC76" s="6">
        <f t="shared" si="28"/>
        <v>91.0625</v>
      </c>
      <c r="AD76" s="6">
        <f t="shared" si="21"/>
        <v>2.9375</v>
      </c>
      <c r="AE76" s="24">
        <f t="shared" si="22"/>
        <v>0.2507448471504532</v>
      </c>
    </row>
    <row r="77" spans="1:31" hidden="1" x14ac:dyDescent="0.2">
      <c r="A77" s="11">
        <v>2</v>
      </c>
      <c r="B77" s="11">
        <v>105</v>
      </c>
      <c r="C77" s="11" t="s">
        <v>11</v>
      </c>
      <c r="D77" s="4">
        <v>66</v>
      </c>
      <c r="E77" s="4">
        <v>59</v>
      </c>
      <c r="F77" s="4">
        <f t="shared" si="27"/>
        <v>7</v>
      </c>
      <c r="G77" s="4">
        <f t="shared" si="26"/>
        <v>0.89393939393939392</v>
      </c>
      <c r="H77" s="5">
        <f>0.5*(G22+G13)</f>
        <v>0.27083333333333331</v>
      </c>
      <c r="I77" s="5">
        <f t="shared" si="6"/>
        <v>17.875</v>
      </c>
      <c r="J77" s="5">
        <f t="shared" si="7"/>
        <v>48.125</v>
      </c>
      <c r="K77" s="23">
        <f t="shared" si="8"/>
        <v>4.6257409957481111E-30</v>
      </c>
      <c r="L77" s="7">
        <f>0.75*G22+0.25*G13</f>
        <v>0.40625</v>
      </c>
      <c r="M77" s="7">
        <f t="shared" si="9"/>
        <v>26.8125</v>
      </c>
      <c r="N77" s="7">
        <f t="shared" si="10"/>
        <v>39.1875</v>
      </c>
      <c r="O77" s="23">
        <f t="shared" si="11"/>
        <v>7.1994813775168995E-16</v>
      </c>
      <c r="P77" s="65"/>
      <c r="Q77" s="65"/>
      <c r="R77" s="65"/>
      <c r="S77" s="65"/>
      <c r="T77" s="36">
        <f>0.25*G22+0.75*G13</f>
        <v>0.13541666666666666</v>
      </c>
      <c r="U77" s="36">
        <f t="shared" si="15"/>
        <v>8.9375</v>
      </c>
      <c r="V77" s="36">
        <f t="shared" si="16"/>
        <v>57.0625</v>
      </c>
      <c r="W77" s="23">
        <f t="shared" si="17"/>
        <v>1.641753698330615E-72</v>
      </c>
      <c r="X77" s="58"/>
      <c r="Y77" s="58"/>
      <c r="Z77" s="58"/>
      <c r="AA77" s="58"/>
      <c r="AB77" s="6">
        <f>0.875*G22+0.125*G13</f>
        <v>0.47395833333333331</v>
      </c>
      <c r="AC77" s="6">
        <f t="shared" si="28"/>
        <v>31.28125</v>
      </c>
      <c r="AD77" s="6">
        <f t="shared" si="21"/>
        <v>34.71875</v>
      </c>
      <c r="AE77" s="23">
        <f t="shared" si="22"/>
        <v>8.3064864396720693E-12</v>
      </c>
    </row>
    <row r="78" spans="1:31" hidden="1" x14ac:dyDescent="0.2">
      <c r="A78" s="20" t="s">
        <v>40</v>
      </c>
      <c r="B78" s="20">
        <v>105</v>
      </c>
      <c r="C78" s="20" t="s">
        <v>11</v>
      </c>
      <c r="D78" s="20">
        <f>SUM(D69,D77)</f>
        <v>162</v>
      </c>
      <c r="E78" s="20">
        <f>SUM(E69,E77)</f>
        <v>144</v>
      </c>
      <c r="F78" s="20">
        <f t="shared" si="27"/>
        <v>18</v>
      </c>
      <c r="G78" s="20">
        <f t="shared" si="26"/>
        <v>0.88888888888888884</v>
      </c>
      <c r="H78" s="20">
        <f>0.5*(G32+G20)</f>
        <v>0.33333333333333331</v>
      </c>
      <c r="I78" s="20">
        <f t="shared" si="6"/>
        <v>54</v>
      </c>
      <c r="J78" s="20">
        <f t="shared" si="7"/>
        <v>108</v>
      </c>
      <c r="K78" s="23">
        <f t="shared" si="8"/>
        <v>7.3419323986253936E-51</v>
      </c>
      <c r="L78" s="20">
        <f>0.75*G32+0.25*G20</f>
        <v>0.5</v>
      </c>
      <c r="M78" s="20">
        <f t="shared" si="9"/>
        <v>81</v>
      </c>
      <c r="N78" s="20">
        <f t="shared" si="10"/>
        <v>81</v>
      </c>
      <c r="O78" s="23">
        <f t="shared" si="11"/>
        <v>4.1838256077794166E-23</v>
      </c>
      <c r="P78" s="65"/>
      <c r="Q78" s="65"/>
      <c r="R78" s="65"/>
      <c r="S78" s="65"/>
      <c r="T78" s="20">
        <f>0.25*G32+0.75*G20</f>
        <v>0.16666666666666666</v>
      </c>
      <c r="U78" s="20">
        <f t="shared" si="15"/>
        <v>27</v>
      </c>
      <c r="V78" s="20">
        <f t="shared" si="16"/>
        <v>135</v>
      </c>
      <c r="W78" s="23">
        <f t="shared" si="17"/>
        <v>2.4931771793442337E-134</v>
      </c>
      <c r="X78" s="58"/>
      <c r="Y78" s="58"/>
      <c r="Z78" s="58"/>
      <c r="AA78" s="58"/>
      <c r="AB78" s="20">
        <f>0.89*G32+0.11*G20</f>
        <v>0.59333333333333327</v>
      </c>
      <c r="AC78" s="20">
        <f t="shared" si="28"/>
        <v>96.11999999999999</v>
      </c>
      <c r="AD78" s="20">
        <f t="shared" si="21"/>
        <v>65.88000000000001</v>
      </c>
      <c r="AE78" s="23">
        <f t="shared" si="22"/>
        <v>1.885242587135064E-14</v>
      </c>
    </row>
    <row r="79" spans="1:31" hidden="1" x14ac:dyDescent="0.2">
      <c r="A79" s="11">
        <v>1</v>
      </c>
      <c r="B79" s="11">
        <v>105</v>
      </c>
      <c r="C79" s="11" t="s">
        <v>12</v>
      </c>
      <c r="D79" s="4">
        <v>96</v>
      </c>
      <c r="E79" s="4">
        <v>90</v>
      </c>
      <c r="F79" s="4">
        <f t="shared" si="27"/>
        <v>6</v>
      </c>
      <c r="G79" s="4">
        <f t="shared" si="26"/>
        <v>0.9375</v>
      </c>
      <c r="H79" s="5">
        <f>0.5*(G33+G12)</f>
        <v>0.5</v>
      </c>
      <c r="I79" s="5">
        <f t="shared" si="6"/>
        <v>48</v>
      </c>
      <c r="J79" s="5">
        <f t="shared" si="7"/>
        <v>48</v>
      </c>
      <c r="K79" s="23">
        <f t="shared" si="8"/>
        <v>1.0063616346648594E-17</v>
      </c>
      <c r="L79" s="7">
        <f>0.75*G33+0.25*G12</f>
        <v>0.75</v>
      </c>
      <c r="M79" s="7">
        <f t="shared" si="9"/>
        <v>72</v>
      </c>
      <c r="N79" s="7">
        <f t="shared" si="10"/>
        <v>24</v>
      </c>
      <c r="O79" s="23">
        <f t="shared" si="11"/>
        <v>2.2090496998585441E-5</v>
      </c>
      <c r="P79" s="65"/>
      <c r="Q79" s="65"/>
      <c r="R79" s="65"/>
      <c r="S79" s="65"/>
      <c r="T79" s="36">
        <f>0.25*G33+0.75*G12</f>
        <v>0.25</v>
      </c>
      <c r="U79" s="36">
        <f t="shared" si="15"/>
        <v>24</v>
      </c>
      <c r="V79" s="36">
        <f t="shared" si="16"/>
        <v>72</v>
      </c>
      <c r="W79" s="23">
        <f t="shared" si="17"/>
        <v>1.4408661379436948E-54</v>
      </c>
      <c r="X79" s="58"/>
      <c r="Y79" s="58"/>
      <c r="Z79" s="58"/>
      <c r="AA79" s="58"/>
      <c r="AB79" s="6">
        <f>0.875*G33+0.125*G12</f>
        <v>0.875</v>
      </c>
      <c r="AC79" s="6">
        <f>D79*AB79</f>
        <v>84</v>
      </c>
      <c r="AD79" s="6">
        <f t="shared" si="21"/>
        <v>12</v>
      </c>
      <c r="AE79" s="24">
        <f t="shared" si="22"/>
        <v>6.4077506451059557E-2</v>
      </c>
    </row>
    <row r="80" spans="1:31" hidden="1" x14ac:dyDescent="0.2">
      <c r="A80" s="11">
        <v>2</v>
      </c>
      <c r="B80" s="11">
        <v>26.25</v>
      </c>
      <c r="C80" s="11" t="s">
        <v>12</v>
      </c>
      <c r="D80" s="4">
        <v>95</v>
      </c>
      <c r="E80" s="4">
        <v>95</v>
      </c>
      <c r="F80" s="4">
        <f t="shared" si="27"/>
        <v>0</v>
      </c>
      <c r="G80" s="4">
        <f t="shared" si="26"/>
        <v>1</v>
      </c>
      <c r="H80" s="5">
        <f>0.5*(G28+G10)</f>
        <v>0.89285714285714279</v>
      </c>
      <c r="I80" s="5">
        <f t="shared" si="6"/>
        <v>84.821428571428569</v>
      </c>
      <c r="J80" s="5">
        <f t="shared" si="7"/>
        <v>10.178571428571431</v>
      </c>
      <c r="K80" s="23">
        <f>_xlfn.CHISQ.TEST(E80:F80,I80:J80)</f>
        <v>7.3444105978554062E-4</v>
      </c>
      <c r="L80" s="7">
        <f>(0.75*G28+0.25*G10)</f>
        <v>0.9464285714285714</v>
      </c>
      <c r="M80" s="7">
        <f t="shared" si="9"/>
        <v>89.910714285714278</v>
      </c>
      <c r="N80" s="7">
        <f t="shared" si="10"/>
        <v>5.0892857142857224</v>
      </c>
      <c r="O80" s="24">
        <f t="shared" si="11"/>
        <v>2.0399742537047218E-2</v>
      </c>
      <c r="P80" s="65"/>
      <c r="Q80" s="65"/>
      <c r="R80" s="65"/>
      <c r="S80" s="66"/>
      <c r="T80" s="55">
        <f>0.25*G28+0.75*G10</f>
        <v>0.8392857142857143</v>
      </c>
      <c r="U80" s="55">
        <f t="shared" si="15"/>
        <v>79.732142857142861</v>
      </c>
      <c r="V80" s="55">
        <f t="shared" si="16"/>
        <v>15.267857142857139</v>
      </c>
      <c r="W80" s="26">
        <f t="shared" si="17"/>
        <v>1.9976953557824569E-5</v>
      </c>
      <c r="X80" s="49"/>
      <c r="Y80" s="49"/>
      <c r="Z80" s="49"/>
      <c r="AA80" s="49"/>
      <c r="AB80" s="6">
        <f>0.875*G28+0.125*G10</f>
        <v>0.9732142857142857</v>
      </c>
      <c r="AC80" s="6">
        <f t="shared" si="28"/>
        <v>92.455357142857139</v>
      </c>
      <c r="AD80" s="6">
        <f t="shared" si="21"/>
        <v>2.5446428571428612</v>
      </c>
      <c r="AE80" s="24">
        <f t="shared" si="22"/>
        <v>0.10587895511130829</v>
      </c>
    </row>
    <row r="81" spans="1:31" hidden="1" x14ac:dyDescent="0.2">
      <c r="A81" s="20" t="s">
        <v>40</v>
      </c>
      <c r="B81" s="20">
        <v>26.25</v>
      </c>
      <c r="C81" s="20" t="s">
        <v>12</v>
      </c>
      <c r="D81" s="20">
        <f>SUM(D76,D80)</f>
        <v>189</v>
      </c>
      <c r="E81" s="20">
        <f>SUM(E76,E80)</f>
        <v>188</v>
      </c>
      <c r="F81" s="20">
        <f t="shared" si="27"/>
        <v>1</v>
      </c>
      <c r="G81" s="20">
        <f t="shared" si="26"/>
        <v>0.99470899470899465</v>
      </c>
      <c r="H81" s="20">
        <f>0.5*(G29+G17)</f>
        <v>0.88636363636363635</v>
      </c>
      <c r="I81" s="20">
        <f t="shared" si="6"/>
        <v>167.52272727272728</v>
      </c>
      <c r="J81" s="20">
        <f t="shared" si="7"/>
        <v>21.47727272727272</v>
      </c>
      <c r="K81" s="23">
        <f t="shared" si="8"/>
        <v>2.6885741938196893E-6</v>
      </c>
      <c r="L81" s="20">
        <f>(0.75*G29+0.25*G17)</f>
        <v>0.94318181818181812</v>
      </c>
      <c r="M81" s="20">
        <f t="shared" si="9"/>
        <v>178.26136363636363</v>
      </c>
      <c r="N81" s="20">
        <f t="shared" si="10"/>
        <v>10.738636363636374</v>
      </c>
      <c r="O81" s="24">
        <f t="shared" si="11"/>
        <v>2.2131384684633106E-3</v>
      </c>
      <c r="P81" s="65"/>
      <c r="Q81" s="65"/>
      <c r="R81" s="65"/>
      <c r="S81" s="66"/>
      <c r="T81" s="57">
        <f>0.25*G29+0.75*G17</f>
        <v>0.82954545454545459</v>
      </c>
      <c r="U81" s="57">
        <f t="shared" si="15"/>
        <v>156.78409090909091</v>
      </c>
      <c r="V81" s="57">
        <f t="shared" si="16"/>
        <v>32.215909090909093</v>
      </c>
      <c r="W81" s="26">
        <f t="shared" si="17"/>
        <v>1.5566567213350812E-9</v>
      </c>
      <c r="X81" s="49"/>
      <c r="Y81" s="49"/>
      <c r="Z81" s="49"/>
      <c r="AA81" s="49"/>
      <c r="AB81" s="20">
        <f>0.89*G29+0.11*G17</f>
        <v>0.97499999999999998</v>
      </c>
      <c r="AC81" s="20">
        <f t="shared" si="28"/>
        <v>184.27500000000001</v>
      </c>
      <c r="AD81" s="20">
        <f t="shared" si="21"/>
        <v>4.7249999999999943</v>
      </c>
      <c r="AE81" s="23">
        <f t="shared" si="22"/>
        <v>8.2653381331011327E-2</v>
      </c>
    </row>
    <row r="82" spans="1:31" hidden="1" x14ac:dyDescent="0.2">
      <c r="A82" s="11">
        <v>1</v>
      </c>
      <c r="B82" s="11">
        <v>26.25</v>
      </c>
      <c r="C82" s="11" t="s">
        <v>13</v>
      </c>
      <c r="D82" s="4">
        <v>60</v>
      </c>
      <c r="E82" s="4">
        <v>57</v>
      </c>
      <c r="F82" s="4">
        <f t="shared" si="27"/>
        <v>3</v>
      </c>
      <c r="G82" s="4">
        <f t="shared" si="26"/>
        <v>0.95</v>
      </c>
      <c r="H82" s="5">
        <f>0.5*(G30+G9)</f>
        <v>0.875</v>
      </c>
      <c r="I82" s="5">
        <f t="shared" si="6"/>
        <v>52.5</v>
      </c>
      <c r="J82" s="5">
        <f t="shared" si="7"/>
        <v>7.5</v>
      </c>
      <c r="K82" s="24">
        <f t="shared" si="8"/>
        <v>7.8982579263782993E-2</v>
      </c>
      <c r="L82" s="7">
        <f>(0.75*G30+0.25*G9)</f>
        <v>0.9375</v>
      </c>
      <c r="M82" s="7">
        <f t="shared" si="9"/>
        <v>56.25</v>
      </c>
      <c r="N82" s="7">
        <f t="shared" si="10"/>
        <v>3.75</v>
      </c>
      <c r="O82" s="24">
        <f t="shared" si="11"/>
        <v>0.68915651677935164</v>
      </c>
      <c r="P82" s="65"/>
      <c r="Q82" s="65"/>
      <c r="R82" s="65"/>
      <c r="S82" s="66"/>
      <c r="T82" s="55">
        <f>0.25*G30+0.75*G9</f>
        <v>0.8125</v>
      </c>
      <c r="U82" s="55">
        <f t="shared" si="15"/>
        <v>48.75</v>
      </c>
      <c r="V82" s="55">
        <f t="shared" si="16"/>
        <v>11.25</v>
      </c>
      <c r="W82" s="26">
        <f t="shared" si="17"/>
        <v>6.3572150825879636E-3</v>
      </c>
      <c r="X82" s="49"/>
      <c r="Y82" s="49"/>
      <c r="Z82" s="49"/>
      <c r="AA82" s="49"/>
      <c r="AB82" s="6">
        <f>0.875*G30+0.125*G9</f>
        <v>0.96875</v>
      </c>
      <c r="AC82" s="6">
        <f t="shared" si="28"/>
        <v>58.125</v>
      </c>
      <c r="AD82" s="6">
        <f t="shared" si="21"/>
        <v>1.875</v>
      </c>
      <c r="AE82" s="24">
        <f t="shared" si="22"/>
        <v>0.4038697394672971</v>
      </c>
    </row>
    <row r="83" spans="1:31" hidden="1" x14ac:dyDescent="0.2">
      <c r="A83" s="11">
        <v>2</v>
      </c>
      <c r="B83" s="11">
        <v>105</v>
      </c>
      <c r="C83" s="11" t="s">
        <v>12</v>
      </c>
      <c r="D83" s="4">
        <v>95</v>
      </c>
      <c r="E83" s="4">
        <v>94</v>
      </c>
      <c r="F83" s="4">
        <f t="shared" si="27"/>
        <v>1</v>
      </c>
      <c r="G83" s="4">
        <f t="shared" si="26"/>
        <v>0.98947368421052628</v>
      </c>
      <c r="H83" s="5">
        <f>0.5*(G34+G13)</f>
        <v>0.5</v>
      </c>
      <c r="I83" s="5">
        <f t="shared" si="6"/>
        <v>47.5</v>
      </c>
      <c r="J83" s="5">
        <f t="shared" si="7"/>
        <v>47.5</v>
      </c>
      <c r="K83" s="23">
        <f t="shared" si="8"/>
        <v>1.4064719893499558E-21</v>
      </c>
      <c r="L83" s="7">
        <f>0.75*G34+0.25*G13</f>
        <v>0.75</v>
      </c>
      <c r="M83" s="7">
        <f t="shared" si="9"/>
        <v>71.25</v>
      </c>
      <c r="N83" s="7">
        <f t="shared" si="10"/>
        <v>23.75</v>
      </c>
      <c r="O83" s="23">
        <f t="shared" si="11"/>
        <v>7.0310891401627278E-8</v>
      </c>
      <c r="P83" s="65"/>
      <c r="Q83" s="65"/>
      <c r="R83" s="65"/>
      <c r="S83" s="65"/>
      <c r="T83" s="36">
        <f>0.25*G34+0.75*G13</f>
        <v>0.25</v>
      </c>
      <c r="U83" s="36">
        <f t="shared" si="15"/>
        <v>23.75</v>
      </c>
      <c r="V83" s="36">
        <f t="shared" si="16"/>
        <v>71.25</v>
      </c>
      <c r="W83" s="23">
        <f t="shared" si="17"/>
        <v>3.2894710774949201E-62</v>
      </c>
      <c r="X83" s="58"/>
      <c r="Y83" s="58"/>
      <c r="Z83" s="58"/>
      <c r="AA83" s="58"/>
      <c r="AB83" s="6">
        <f>0.875*G5+0.125*G34</f>
        <v>1</v>
      </c>
      <c r="AC83" s="6">
        <f t="shared" si="28"/>
        <v>95</v>
      </c>
      <c r="AD83" s="6">
        <f t="shared" si="21"/>
        <v>0</v>
      </c>
      <c r="AE83" s="24" t="e">
        <f t="shared" si="22"/>
        <v>#DIV/0!</v>
      </c>
    </row>
    <row r="84" spans="1:31" hidden="1" x14ac:dyDescent="0.2">
      <c r="A84" s="20" t="s">
        <v>40</v>
      </c>
      <c r="B84" s="20">
        <v>105</v>
      </c>
      <c r="C84" s="20" t="s">
        <v>12</v>
      </c>
      <c r="D84" s="20">
        <f>SUM(D79,D83)</f>
        <v>191</v>
      </c>
      <c r="E84" s="20">
        <f>SUM(E79,E83)</f>
        <v>184</v>
      </c>
      <c r="F84" s="20">
        <f t="shared" si="27"/>
        <v>7</v>
      </c>
      <c r="G84" s="20">
        <f t="shared" si="26"/>
        <v>0.96335078534031415</v>
      </c>
      <c r="H84" s="20">
        <f>0.5*(G35+G20)</f>
        <v>0.5</v>
      </c>
      <c r="I84" s="20">
        <f t="shared" si="6"/>
        <v>95.5</v>
      </c>
      <c r="J84" s="20">
        <f t="shared" si="7"/>
        <v>95.5</v>
      </c>
      <c r="K84" s="23">
        <f t="shared" si="8"/>
        <v>1.4929420722250588E-37</v>
      </c>
      <c r="L84" s="20">
        <f>0.75*G35+0.25*G20</f>
        <v>0.75</v>
      </c>
      <c r="M84" s="20">
        <f t="shared" si="9"/>
        <v>143.25</v>
      </c>
      <c r="N84" s="20">
        <f t="shared" si="10"/>
        <v>47.75</v>
      </c>
      <c r="O84" s="23">
        <f t="shared" si="11"/>
        <v>9.7991175680231271E-12</v>
      </c>
      <c r="P84" s="65"/>
      <c r="Q84" s="65"/>
      <c r="R84" s="65"/>
      <c r="S84" s="65"/>
      <c r="T84" s="20">
        <f>0.25*G35+0.75*G20</f>
        <v>0.25</v>
      </c>
      <c r="U84" s="20">
        <f t="shared" si="15"/>
        <v>47.75</v>
      </c>
      <c r="V84" s="20">
        <f t="shared" si="16"/>
        <v>143.25</v>
      </c>
      <c r="W84" s="23">
        <f t="shared" si="17"/>
        <v>9.5841703697353789E-115</v>
      </c>
      <c r="X84" s="58"/>
      <c r="Y84" s="58"/>
      <c r="Z84" s="58"/>
      <c r="AA84" s="58"/>
      <c r="AB84" s="20">
        <f>0.89*G35+0.11*G20</f>
        <v>0.89</v>
      </c>
      <c r="AC84" s="20">
        <f t="shared" si="28"/>
        <v>169.99</v>
      </c>
      <c r="AD84" s="20">
        <f t="shared" si="21"/>
        <v>21.009999999999991</v>
      </c>
      <c r="AE84" s="23">
        <f t="shared" si="22"/>
        <v>1.1957631853905686E-3</v>
      </c>
    </row>
    <row r="85" spans="1:31" hidden="1" x14ac:dyDescent="0.2">
      <c r="A85" s="11">
        <v>1</v>
      </c>
      <c r="B85" s="11">
        <v>105</v>
      </c>
      <c r="C85" s="11" t="s">
        <v>13</v>
      </c>
      <c r="D85" s="4">
        <v>49</v>
      </c>
      <c r="E85" s="4">
        <v>40</v>
      </c>
      <c r="F85" s="4">
        <f t="shared" si="27"/>
        <v>9</v>
      </c>
      <c r="G85" s="4">
        <f t="shared" si="26"/>
        <v>0.81632653061224492</v>
      </c>
      <c r="H85" s="5">
        <f>0.5*(G36+G12)</f>
        <v>0.5</v>
      </c>
      <c r="I85" s="5">
        <f t="shared" si="6"/>
        <v>24.5</v>
      </c>
      <c r="J85" s="5">
        <f t="shared" si="7"/>
        <v>24.5</v>
      </c>
      <c r="K85" s="23">
        <f>_xlfn.CHISQ.TEST(E85:F85,I85:J85)</f>
        <v>9.485930392268724E-6</v>
      </c>
      <c r="L85" s="7">
        <f>0.75*G36+0.25*G12</f>
        <v>0.75</v>
      </c>
      <c r="M85" s="7">
        <f t="shared" si="9"/>
        <v>36.75</v>
      </c>
      <c r="N85" s="7">
        <f>D85-M85</f>
        <v>12.25</v>
      </c>
      <c r="O85" s="24">
        <f t="shared" si="11"/>
        <v>0.28362036331636575</v>
      </c>
      <c r="P85" s="65"/>
      <c r="Q85" s="65"/>
      <c r="R85" s="65"/>
      <c r="S85" s="65"/>
      <c r="T85" s="36">
        <f>0.25*G36+0.75*G13</f>
        <v>0.25</v>
      </c>
      <c r="U85" s="36">
        <f t="shared" si="15"/>
        <v>12.25</v>
      </c>
      <c r="V85" s="36">
        <f t="shared" si="16"/>
        <v>36.75</v>
      </c>
      <c r="W85" s="23">
        <f t="shared" si="17"/>
        <v>5.4294563829042369E-20</v>
      </c>
      <c r="X85" s="58"/>
      <c r="Y85" s="58"/>
      <c r="Z85" s="58"/>
      <c r="AA85" s="58"/>
      <c r="AB85" s="6">
        <f>0.875*G36+0.125*G12</f>
        <v>0.875</v>
      </c>
      <c r="AC85" s="6">
        <f>D85*AB85</f>
        <v>42.875</v>
      </c>
      <c r="AD85" s="6">
        <f t="shared" si="21"/>
        <v>6.125</v>
      </c>
      <c r="AE85" s="24">
        <f t="shared" si="22"/>
        <v>0.21427963416840828</v>
      </c>
    </row>
    <row r="86" spans="1:31" hidden="1" x14ac:dyDescent="0.2">
      <c r="A86" s="11">
        <v>2</v>
      </c>
      <c r="B86" s="11">
        <v>105</v>
      </c>
      <c r="C86" s="11" t="s">
        <v>13</v>
      </c>
      <c r="D86" s="4">
        <v>49</v>
      </c>
      <c r="E86" s="4">
        <v>33</v>
      </c>
      <c r="F86" s="4">
        <f t="shared" si="27"/>
        <v>16</v>
      </c>
      <c r="G86" s="4">
        <f t="shared" si="26"/>
        <v>0.67346938775510201</v>
      </c>
      <c r="H86" s="5">
        <f>0.5*(G37+G13)</f>
        <v>0.47916666666666669</v>
      </c>
      <c r="I86" s="5">
        <f t="shared" si="6"/>
        <v>23.479166666666668</v>
      </c>
      <c r="J86" s="5">
        <f t="shared" si="7"/>
        <v>25.520833333333332</v>
      </c>
      <c r="K86" s="23">
        <f t="shared" si="8"/>
        <v>6.4769939122605357E-3</v>
      </c>
      <c r="L86" s="7">
        <f>0.75*G37+0.25*G13</f>
        <v>0.71875</v>
      </c>
      <c r="M86" s="7">
        <f t="shared" si="9"/>
        <v>35.21875</v>
      </c>
      <c r="N86" s="7">
        <f t="shared" ref="N86:N98" si="29">D86-M86</f>
        <v>13.78125</v>
      </c>
      <c r="O86" s="24">
        <f t="shared" si="11"/>
        <v>0.48082435999198814</v>
      </c>
      <c r="P86" s="65"/>
      <c r="Q86" s="65"/>
      <c r="R86" s="65"/>
      <c r="S86" s="65"/>
      <c r="T86" s="36">
        <f>0.25*G37+0.75*G13</f>
        <v>0.23958333333333334</v>
      </c>
      <c r="U86" s="36">
        <f t="shared" si="15"/>
        <v>11.739583333333334</v>
      </c>
      <c r="V86" s="36">
        <f t="shared" si="16"/>
        <v>37.260416666666664</v>
      </c>
      <c r="W86" s="23">
        <f t="shared" si="17"/>
        <v>1.1131997331206384E-12</v>
      </c>
      <c r="X86" s="58"/>
      <c r="Y86" s="58"/>
      <c r="Z86" s="58"/>
      <c r="AA86" s="58"/>
      <c r="AB86" s="6">
        <f>0.875*G37+0.125*G13</f>
        <v>0.83854166666666674</v>
      </c>
      <c r="AC86" s="6">
        <f t="shared" si="28"/>
        <v>41.088541666666671</v>
      </c>
      <c r="AD86" s="6">
        <f t="shared" si="21"/>
        <v>7.9114583333333286</v>
      </c>
      <c r="AE86" s="23">
        <f t="shared" si="22"/>
        <v>1.6873953010637175E-3</v>
      </c>
    </row>
    <row r="87" spans="1:31" x14ac:dyDescent="0.2">
      <c r="A87" s="11">
        <v>2</v>
      </c>
      <c r="B87" s="11">
        <v>420</v>
      </c>
      <c r="C87" s="11" t="s">
        <v>11</v>
      </c>
      <c r="D87" s="4">
        <v>91</v>
      </c>
      <c r="E87" s="4">
        <v>0</v>
      </c>
      <c r="F87" s="4">
        <f t="shared" si="27"/>
        <v>91</v>
      </c>
      <c r="G87" s="4">
        <f t="shared" si="26"/>
        <v>0</v>
      </c>
      <c r="H87" s="5">
        <f>0.5*(G25+G16)</f>
        <v>2.0833333333333332E-2</v>
      </c>
      <c r="I87" s="5">
        <f>D87*H87</f>
        <v>1.8958333333333333</v>
      </c>
      <c r="J87" s="5">
        <f t="shared" si="7"/>
        <v>89.104166666666671</v>
      </c>
      <c r="K87" s="24">
        <f>_xlfn.CHISQ.TEST(E87:F87,I87:J87)</f>
        <v>0.16408497046669687</v>
      </c>
      <c r="L87" s="7">
        <f>0.75*G25+0.25*G16</f>
        <v>3.125E-2</v>
      </c>
      <c r="M87" s="7">
        <f t="shared" si="9"/>
        <v>2.84375</v>
      </c>
      <c r="N87" s="7">
        <f t="shared" si="29"/>
        <v>88.15625</v>
      </c>
      <c r="O87" s="24">
        <f t="shared" si="11"/>
        <v>8.6652695002618962E-2</v>
      </c>
      <c r="P87" s="10">
        <f>0.75*G25+0.25*G16</f>
        <v>3.125E-2</v>
      </c>
      <c r="Q87" s="10">
        <f t="shared" ref="Q87:Q93" si="30">D87*P87</f>
        <v>2.84375</v>
      </c>
      <c r="R87" s="10">
        <f t="shared" ref="R87:R93" si="31">D87-Q87</f>
        <v>88.15625</v>
      </c>
      <c r="S87" s="24">
        <f t="shared" ref="S87:S93" si="32">_xlfn.CHISQ.TEST(E87:F87,Q87:R87)</f>
        <v>8.6652695002618962E-2</v>
      </c>
      <c r="T87" s="36">
        <f>G25*0.25+G15*0.75</f>
        <v>1.0416666666666666E-2</v>
      </c>
      <c r="U87" s="36">
        <f t="shared" si="15"/>
        <v>0.94791666666666663</v>
      </c>
      <c r="V87" s="36">
        <f t="shared" si="16"/>
        <v>90.052083333333329</v>
      </c>
      <c r="W87" s="24">
        <f t="shared" si="17"/>
        <v>0.32771786788831719</v>
      </c>
      <c r="X87" s="58"/>
      <c r="Y87" s="58"/>
      <c r="Z87" s="58"/>
      <c r="AA87" s="58"/>
      <c r="AB87" s="6">
        <f>0.875*G25+0.125*G16</f>
        <v>3.6458333333333329E-2</v>
      </c>
      <c r="AC87" s="6">
        <f>D87*AB87</f>
        <v>3.317708333333333</v>
      </c>
      <c r="AD87" s="6">
        <f t="shared" si="21"/>
        <v>87.682291666666671</v>
      </c>
      <c r="AE87" s="24">
        <f t="shared" si="22"/>
        <v>6.3510905672428702E-2</v>
      </c>
    </row>
    <row r="88" spans="1:31" x14ac:dyDescent="0.2">
      <c r="A88" s="20" t="s">
        <v>40</v>
      </c>
      <c r="B88" s="20">
        <v>420</v>
      </c>
      <c r="C88" s="20" t="s">
        <v>11</v>
      </c>
      <c r="D88" s="20">
        <f>SUM(D73,D87)</f>
        <v>189</v>
      </c>
      <c r="E88" s="20">
        <f>SUM(E73,E87)</f>
        <v>10</v>
      </c>
      <c r="F88" s="20">
        <f t="shared" si="27"/>
        <v>179</v>
      </c>
      <c r="G88" s="20">
        <f t="shared" si="26"/>
        <v>5.2910052910052907E-2</v>
      </c>
      <c r="H88" s="20">
        <f>0.5*(G38+G23)</f>
        <v>2.7027027027027029E-2</v>
      </c>
      <c r="I88" s="20">
        <f t="shared" si="6"/>
        <v>5.1081081081081088</v>
      </c>
      <c r="J88" s="20">
        <f t="shared" si="7"/>
        <v>183.8918918918919</v>
      </c>
      <c r="K88" s="23">
        <f t="shared" si="8"/>
        <v>2.8213697261574296E-2</v>
      </c>
      <c r="L88" s="20">
        <f>0.75*G38+0.25*G23</f>
        <v>4.0540540540540543E-2</v>
      </c>
      <c r="M88" s="20">
        <f t="shared" si="9"/>
        <v>7.6621621621621623</v>
      </c>
      <c r="N88" s="20">
        <f t="shared" si="29"/>
        <v>181.33783783783784</v>
      </c>
      <c r="O88" s="23">
        <f t="shared" si="11"/>
        <v>0.38855848468368398</v>
      </c>
      <c r="P88" s="20">
        <f>0.75*G38+0.25*G23</f>
        <v>4.0540540540540543E-2</v>
      </c>
      <c r="Q88" s="20">
        <f t="shared" si="30"/>
        <v>7.6621621621621623</v>
      </c>
      <c r="R88" s="20">
        <f t="shared" si="31"/>
        <v>181.33783783783784</v>
      </c>
      <c r="S88" s="23">
        <f t="shared" si="32"/>
        <v>0.38855848468368398</v>
      </c>
      <c r="T88" s="20">
        <f>G38*0.25+G23*0.75</f>
        <v>1.3513513513513514E-2</v>
      </c>
      <c r="U88" s="20">
        <f t="shared" si="15"/>
        <v>2.5540540540540544</v>
      </c>
      <c r="V88" s="20">
        <f t="shared" si="16"/>
        <v>186.44594594594594</v>
      </c>
      <c r="W88" s="23">
        <f t="shared" si="17"/>
        <v>2.7196149854038537E-6</v>
      </c>
      <c r="X88" s="63"/>
      <c r="Y88" s="63"/>
      <c r="Z88" s="63"/>
      <c r="AA88" s="63"/>
      <c r="AB88" s="20">
        <f>0.875*G38+0.125*G23</f>
        <v>4.72972972972973E-2</v>
      </c>
      <c r="AC88" s="20">
        <f t="shared" si="28"/>
        <v>8.9391891891891895</v>
      </c>
      <c r="AD88" s="20">
        <f t="shared" si="21"/>
        <v>180.06081081081081</v>
      </c>
      <c r="AE88" s="23">
        <f t="shared" ref="AE88:AE98" si="33">_xlfn.CHISQ.TEST(E88:F88,AC88:AD88)</f>
        <v>0.71622781292307569</v>
      </c>
    </row>
    <row r="89" spans="1:31" x14ac:dyDescent="0.2">
      <c r="A89" s="11">
        <v>1</v>
      </c>
      <c r="B89" s="11">
        <v>420</v>
      </c>
      <c r="C89" s="11" t="s">
        <v>12</v>
      </c>
      <c r="D89" s="4">
        <v>96</v>
      </c>
      <c r="E89" s="4">
        <v>84</v>
      </c>
      <c r="F89" s="4">
        <f t="shared" si="27"/>
        <v>12</v>
      </c>
      <c r="G89" s="4">
        <f t="shared" si="26"/>
        <v>0.875</v>
      </c>
      <c r="H89" s="5">
        <f>0.5*(G39+G15)</f>
        <v>0.16666666666666666</v>
      </c>
      <c r="I89" s="5">
        <f t="shared" si="6"/>
        <v>16</v>
      </c>
      <c r="J89" s="5">
        <f t="shared" si="7"/>
        <v>80</v>
      </c>
      <c r="K89" s="23">
        <f t="shared" si="8"/>
        <v>2.1085988523107584E-77</v>
      </c>
      <c r="L89" s="7">
        <f>0.75*G39+0.25*G15</f>
        <v>0.25</v>
      </c>
      <c r="M89" s="7">
        <f t="shared" si="9"/>
        <v>24</v>
      </c>
      <c r="N89" s="7">
        <f t="shared" si="29"/>
        <v>72</v>
      </c>
      <c r="O89" s="23">
        <f t="shared" si="11"/>
        <v>2.0884875837625446E-45</v>
      </c>
      <c r="P89" s="10">
        <f>0.75*G39+0.25*G15</f>
        <v>0.25</v>
      </c>
      <c r="Q89" s="10">
        <f t="shared" si="30"/>
        <v>24</v>
      </c>
      <c r="R89" s="10">
        <f t="shared" si="31"/>
        <v>72</v>
      </c>
      <c r="S89" s="23">
        <f t="shared" si="32"/>
        <v>2.0884875837625446E-45</v>
      </c>
      <c r="T89" s="36">
        <f>G39*0.25+G15*0.75</f>
        <v>8.3333333333333329E-2</v>
      </c>
      <c r="U89" s="36">
        <f t="shared" si="15"/>
        <v>8</v>
      </c>
      <c r="V89" s="36">
        <f t="shared" si="16"/>
        <v>88</v>
      </c>
      <c r="W89" s="23">
        <f t="shared" si="17"/>
        <v>2.6312632198641562E-173</v>
      </c>
      <c r="X89" s="47"/>
      <c r="Y89" s="47"/>
      <c r="Z89" s="47"/>
      <c r="AA89" s="47"/>
      <c r="AB89" s="6">
        <f>0.875*G41+0.125*G23</f>
        <v>0.34027777777777779</v>
      </c>
      <c r="AC89" s="6">
        <f t="shared" si="28"/>
        <v>32.666666666666671</v>
      </c>
      <c r="AD89" s="6">
        <f t="shared" si="21"/>
        <v>63.333333333333329</v>
      </c>
      <c r="AE89" s="23">
        <f t="shared" si="33"/>
        <v>2.0109368016194745E-28</v>
      </c>
    </row>
    <row r="90" spans="1:31" x14ac:dyDescent="0.2">
      <c r="A90" s="11">
        <v>2</v>
      </c>
      <c r="B90" s="11">
        <v>420</v>
      </c>
      <c r="C90" s="11" t="s">
        <v>12</v>
      </c>
      <c r="D90" s="4">
        <v>94</v>
      </c>
      <c r="E90" s="4">
        <v>68</v>
      </c>
      <c r="F90" s="4">
        <f t="shared" si="27"/>
        <v>26</v>
      </c>
      <c r="G90" s="4">
        <f t="shared" si="26"/>
        <v>0.72340425531914898</v>
      </c>
      <c r="H90" s="5">
        <f>0.5*(G40+G16)</f>
        <v>0.22222222222222221</v>
      </c>
      <c r="I90" s="5">
        <f t="shared" si="6"/>
        <v>20.888888888888889</v>
      </c>
      <c r="J90" s="5">
        <f t="shared" si="7"/>
        <v>73.111111111111114</v>
      </c>
      <c r="K90" s="23">
        <f t="shared" si="8"/>
        <v>1.4690955012513884E-31</v>
      </c>
      <c r="L90" s="7">
        <f>0.75*G40+0.25*G16</f>
        <v>0.33333333333333331</v>
      </c>
      <c r="M90" s="7">
        <f t="shared" si="9"/>
        <v>31.333333333333332</v>
      </c>
      <c r="N90" s="7">
        <f t="shared" si="29"/>
        <v>62.666666666666671</v>
      </c>
      <c r="O90" s="23">
        <f t="shared" si="11"/>
        <v>1.0355152895202773E-15</v>
      </c>
      <c r="P90" s="10">
        <f>0.75*G40+0.25*G16</f>
        <v>0.33333333333333331</v>
      </c>
      <c r="Q90" s="10">
        <f t="shared" si="30"/>
        <v>31.333333333333332</v>
      </c>
      <c r="R90" s="10">
        <f t="shared" si="31"/>
        <v>62.666666666666671</v>
      </c>
      <c r="S90" s="23">
        <f t="shared" si="32"/>
        <v>1.0355152895202773E-15</v>
      </c>
      <c r="T90" s="36">
        <f>G40*0.25+G16*0.75</f>
        <v>0.1111111111111111</v>
      </c>
      <c r="U90" s="36">
        <f t="shared" si="15"/>
        <v>10.444444444444445</v>
      </c>
      <c r="V90" s="36">
        <f t="shared" si="16"/>
        <v>83.555555555555557</v>
      </c>
      <c r="W90" s="23">
        <f t="shared" si="17"/>
        <v>1.3911431344053483E-79</v>
      </c>
      <c r="X90" s="58"/>
      <c r="Y90" s="58"/>
      <c r="Z90" s="58"/>
      <c r="AA90" s="58"/>
      <c r="AB90" s="6">
        <f>0.875*G40+0.125*G16</f>
        <v>0.38888888888888884</v>
      </c>
      <c r="AC90" s="6">
        <f t="shared" si="28"/>
        <v>36.55555555555555</v>
      </c>
      <c r="AD90" s="6">
        <f t="shared" si="21"/>
        <v>57.44444444444445</v>
      </c>
      <c r="AE90" s="23">
        <f>_xlfn.CHISQ.TEST(E90:F90,AC90:AD90)</f>
        <v>2.8748879609267916E-11</v>
      </c>
    </row>
    <row r="91" spans="1:31" x14ac:dyDescent="0.2">
      <c r="A91" s="20" t="s">
        <v>40</v>
      </c>
      <c r="B91" s="20">
        <v>420</v>
      </c>
      <c r="C91" s="20" t="s">
        <v>12</v>
      </c>
      <c r="D91" s="20">
        <f>SUM(D89,D90)</f>
        <v>190</v>
      </c>
      <c r="E91" s="20">
        <f>SUM(E89,E90)</f>
        <v>152</v>
      </c>
      <c r="F91" s="20">
        <f t="shared" si="27"/>
        <v>38</v>
      </c>
      <c r="G91" s="20">
        <f t="shared" si="26"/>
        <v>0.8</v>
      </c>
      <c r="H91" s="20">
        <f>0.5*(G41+G23)</f>
        <v>0.19444444444444445</v>
      </c>
      <c r="I91" s="20">
        <f t="shared" si="6"/>
        <v>36.944444444444443</v>
      </c>
      <c r="J91" s="20">
        <f t="shared" si="7"/>
        <v>153.05555555555554</v>
      </c>
      <c r="K91" s="23">
        <f t="shared" si="8"/>
        <v>9.73884471874261E-99</v>
      </c>
      <c r="L91" s="20">
        <f>0.75*G41+0.25*G23</f>
        <v>0.29166666666666669</v>
      </c>
      <c r="M91" s="20">
        <f t="shared" si="9"/>
        <v>55.416666666666671</v>
      </c>
      <c r="N91" s="20">
        <f t="shared" si="29"/>
        <v>134.58333333333331</v>
      </c>
      <c r="O91" s="23">
        <f t="shared" si="11"/>
        <v>1.2837930167767943E-53</v>
      </c>
      <c r="P91" s="20">
        <f>0.75*G41+0.25*G23</f>
        <v>0.29166666666666669</v>
      </c>
      <c r="Q91" s="20">
        <f t="shared" si="30"/>
        <v>55.416666666666671</v>
      </c>
      <c r="R91" s="20">
        <f t="shared" si="31"/>
        <v>134.58333333333331</v>
      </c>
      <c r="S91" s="20">
        <f t="shared" si="32"/>
        <v>1.2837930167767943E-53</v>
      </c>
      <c r="T91" s="20">
        <f>G41*0.25+G23*0.75</f>
        <v>9.7222222222222224E-2</v>
      </c>
      <c r="U91" s="20">
        <f t="shared" si="15"/>
        <v>18.472222222222221</v>
      </c>
      <c r="V91" s="20">
        <f t="shared" si="16"/>
        <v>171.52777777777777</v>
      </c>
      <c r="W91" s="23">
        <f t="shared" si="17"/>
        <v>1.6656459878088834E-234</v>
      </c>
      <c r="X91" s="63"/>
      <c r="Y91" s="63"/>
      <c r="Z91" s="63"/>
      <c r="AA91" s="63"/>
      <c r="AB91" s="20">
        <f>0.875*G41+0.125*G23</f>
        <v>0.34027777777777779</v>
      </c>
      <c r="AC91" s="20">
        <f t="shared" si="28"/>
        <v>64.652777777777786</v>
      </c>
      <c r="AD91" s="20">
        <f t="shared" si="21"/>
        <v>125.34722222222221</v>
      </c>
      <c r="AE91" s="23">
        <f t="shared" si="33"/>
        <v>8.5316954392800009E-41</v>
      </c>
    </row>
    <row r="92" spans="1:31" x14ac:dyDescent="0.2">
      <c r="A92" s="11">
        <v>1</v>
      </c>
      <c r="B92" s="11">
        <v>420</v>
      </c>
      <c r="C92" s="11" t="s">
        <v>13</v>
      </c>
      <c r="D92" s="4">
        <v>86</v>
      </c>
      <c r="E92" s="4">
        <v>54</v>
      </c>
      <c r="F92" s="4">
        <f t="shared" si="27"/>
        <v>32</v>
      </c>
      <c r="G92" s="4">
        <f t="shared" si="26"/>
        <v>0.62790697674418605</v>
      </c>
      <c r="H92" s="5">
        <f>0.5*(G42+G15)</f>
        <v>0.375</v>
      </c>
      <c r="I92" s="5">
        <f t="shared" si="6"/>
        <v>32.25</v>
      </c>
      <c r="J92" s="5">
        <f t="shared" si="7"/>
        <v>53.75</v>
      </c>
      <c r="K92" s="23">
        <f t="shared" si="8"/>
        <v>1.2689218284724593E-6</v>
      </c>
      <c r="L92" s="7">
        <f>0.75*G42+0.25*G15</f>
        <v>0.5625</v>
      </c>
      <c r="M92" s="7">
        <f t="shared" si="9"/>
        <v>48.375</v>
      </c>
      <c r="N92" s="7">
        <f t="shared" si="29"/>
        <v>37.625</v>
      </c>
      <c r="O92" s="24">
        <f t="shared" si="11"/>
        <v>0.22143973267201322</v>
      </c>
      <c r="P92" s="10">
        <f>0.75*G42+0.25*G15</f>
        <v>0.5625</v>
      </c>
      <c r="Q92" s="10">
        <f t="shared" si="30"/>
        <v>48.375</v>
      </c>
      <c r="R92" s="10">
        <f t="shared" si="31"/>
        <v>37.625</v>
      </c>
      <c r="S92" s="24">
        <f t="shared" si="32"/>
        <v>0.22143973267201322</v>
      </c>
      <c r="T92" s="36">
        <f>G42*0.25+G15*0.75</f>
        <v>0.1875</v>
      </c>
      <c r="U92" s="36">
        <f t="shared" si="15"/>
        <v>16.125</v>
      </c>
      <c r="V92" s="36">
        <f t="shared" si="16"/>
        <v>69.875</v>
      </c>
      <c r="W92" s="23">
        <f t="shared" si="17"/>
        <v>1.2661769881956805E-25</v>
      </c>
      <c r="X92" s="47"/>
      <c r="Y92" s="47"/>
      <c r="Z92" s="47"/>
      <c r="AA92" s="47"/>
      <c r="AB92" s="6">
        <f>0.875*G42+0.125*G15</f>
        <v>0.65625</v>
      </c>
      <c r="AC92" s="6">
        <f t="shared" si="28"/>
        <v>56.4375</v>
      </c>
      <c r="AD92" s="6">
        <f t="shared" si="21"/>
        <v>29.5625</v>
      </c>
      <c r="AE92" s="24">
        <f t="shared" si="33"/>
        <v>0.57998933626428173</v>
      </c>
    </row>
    <row r="93" spans="1:31" x14ac:dyDescent="0.2">
      <c r="A93" s="11">
        <v>2</v>
      </c>
      <c r="B93" s="11">
        <v>420</v>
      </c>
      <c r="C93" s="11" t="s">
        <v>13</v>
      </c>
      <c r="D93" s="4">
        <v>85</v>
      </c>
      <c r="E93" s="4">
        <v>20</v>
      </c>
      <c r="F93" s="4">
        <f t="shared" si="27"/>
        <v>65</v>
      </c>
      <c r="G93" s="4">
        <f t="shared" si="26"/>
        <v>0.23529411764705882</v>
      </c>
      <c r="H93" s="5">
        <f>0.5*(G43+G16)</f>
        <v>0.45833333333333331</v>
      </c>
      <c r="I93" s="5">
        <f t="shared" si="6"/>
        <v>38.958333333333329</v>
      </c>
      <c r="J93" s="5">
        <f t="shared" si="7"/>
        <v>46.041666666666671</v>
      </c>
      <c r="K93" s="23">
        <f t="shared" si="8"/>
        <v>3.6753480148956759E-5</v>
      </c>
      <c r="L93" s="7">
        <f>0.75*G43+0.25*G16</f>
        <v>0.6875</v>
      </c>
      <c r="M93" s="7">
        <f t="shared" si="9"/>
        <v>58.4375</v>
      </c>
      <c r="N93" s="7">
        <f t="shared" si="29"/>
        <v>26.5625</v>
      </c>
      <c r="O93" s="23">
        <f t="shared" si="11"/>
        <v>2.3698433386729855E-19</v>
      </c>
      <c r="P93" s="10">
        <f>0.75*G43+0.25*G16</f>
        <v>0.6875</v>
      </c>
      <c r="Q93" s="10">
        <f t="shared" si="30"/>
        <v>58.4375</v>
      </c>
      <c r="R93" s="10">
        <f t="shared" si="31"/>
        <v>26.5625</v>
      </c>
      <c r="S93" s="23">
        <f t="shared" si="32"/>
        <v>2.3698433386729855E-19</v>
      </c>
      <c r="T93" s="36">
        <f>G43*0.25+G16*0.75</f>
        <v>0.22916666666666666</v>
      </c>
      <c r="U93" s="36">
        <f t="shared" si="15"/>
        <v>19.479166666666664</v>
      </c>
      <c r="V93" s="36">
        <f t="shared" si="16"/>
        <v>65.520833333333343</v>
      </c>
      <c r="W93" s="24">
        <f t="shared" si="17"/>
        <v>0.89307794380274041</v>
      </c>
      <c r="X93" s="58"/>
      <c r="Y93" s="58"/>
      <c r="Z93" s="58"/>
      <c r="AA93" s="58"/>
      <c r="AB93" s="6">
        <f>0.875*G43+0.125*G16</f>
        <v>0.80208333333333326</v>
      </c>
      <c r="AC93" s="6">
        <f t="shared" si="28"/>
        <v>68.177083333333329</v>
      </c>
      <c r="AD93" s="6">
        <f t="shared" si="21"/>
        <v>16.822916666666671</v>
      </c>
      <c r="AE93" s="23">
        <f t="shared" si="33"/>
        <v>2.6891351084587338E-39</v>
      </c>
    </row>
    <row r="94" spans="1:31" hidden="1" x14ac:dyDescent="0.2">
      <c r="A94" s="11">
        <v>2</v>
      </c>
      <c r="B94" s="11">
        <v>26.25</v>
      </c>
      <c r="C94" s="11" t="s">
        <v>13</v>
      </c>
      <c r="D94" s="4">
        <v>49</v>
      </c>
      <c r="E94" s="4">
        <v>48</v>
      </c>
      <c r="F94" s="4">
        <v>1</v>
      </c>
      <c r="G94" s="4">
        <f t="shared" si="26"/>
        <v>0.97959183673469385</v>
      </c>
      <c r="H94" s="5">
        <f>0.5*(G31+G10)</f>
        <v>0.89285714285714279</v>
      </c>
      <c r="I94" s="5">
        <f t="shared" si="6"/>
        <v>43.75</v>
      </c>
      <c r="J94" s="5">
        <f t="shared" si="7"/>
        <v>5.25</v>
      </c>
      <c r="K94" s="23">
        <f>_xlfn.CHISQ.TEST(E94:F94,I94:J94)</f>
        <v>4.9647229657456153E-2</v>
      </c>
      <c r="L94" s="7">
        <f>(0.75*G31+0.25*G10)</f>
        <v>0.9464285714285714</v>
      </c>
      <c r="M94" s="7">
        <f t="shared" si="9"/>
        <v>46.375</v>
      </c>
      <c r="N94" s="7">
        <f t="shared" si="29"/>
        <v>2.625</v>
      </c>
      <c r="O94" s="24">
        <f t="shared" si="11"/>
        <v>0.30255626640568117</v>
      </c>
      <c r="P94" s="65"/>
      <c r="Q94" s="65"/>
      <c r="R94" s="65"/>
      <c r="S94" s="66"/>
      <c r="T94" s="55">
        <f>0.25*G31+0.75*G10</f>
        <v>0.8392857142857143</v>
      </c>
      <c r="U94" s="55">
        <f t="shared" si="15"/>
        <v>41.125</v>
      </c>
      <c r="V94" s="55">
        <f t="shared" si="16"/>
        <v>7.875</v>
      </c>
      <c r="W94" s="28">
        <f t="shared" si="17"/>
        <v>7.490965982002544E-3</v>
      </c>
      <c r="X94" s="49"/>
      <c r="Y94" s="49"/>
      <c r="Z94" s="49"/>
      <c r="AA94" s="49"/>
      <c r="AB94" s="6">
        <f>0.875*G31+0.125*G10</f>
        <v>0.9732142857142857</v>
      </c>
      <c r="AC94" s="6">
        <f t="shared" si="28"/>
        <v>47.6875</v>
      </c>
      <c r="AD94" s="6">
        <f t="shared" si="21"/>
        <v>1.3125</v>
      </c>
      <c r="AE94" s="24">
        <f t="shared" si="33"/>
        <v>0.78216357444584839</v>
      </c>
    </row>
    <row r="95" spans="1:31" hidden="1" x14ac:dyDescent="0.2">
      <c r="A95" s="20" t="s">
        <v>40</v>
      </c>
      <c r="B95" s="20">
        <v>26.25</v>
      </c>
      <c r="C95" s="20" t="s">
        <v>13</v>
      </c>
      <c r="D95" s="20">
        <f>SUM(D82,D94)</f>
        <v>109</v>
      </c>
      <c r="E95" s="20">
        <f>SUM(E82,E94)</f>
        <v>105</v>
      </c>
      <c r="F95" s="20">
        <f>D95-E95</f>
        <v>4</v>
      </c>
      <c r="G95" s="20">
        <f t="shared" si="26"/>
        <v>0.96330275229357798</v>
      </c>
      <c r="H95" s="20">
        <f>0.5*(G44+G17)</f>
        <v>0.88636363636363635</v>
      </c>
      <c r="I95" s="20">
        <f t="shared" si="6"/>
        <v>96.61363636363636</v>
      </c>
      <c r="J95" s="20">
        <f t="shared" si="7"/>
        <v>12.38636363636364</v>
      </c>
      <c r="K95" s="23">
        <f t="shared" si="8"/>
        <v>1.1373092016128178E-2</v>
      </c>
      <c r="L95" s="20">
        <f>(0.75*G44+0.25*G17)</f>
        <v>0.94318181818181812</v>
      </c>
      <c r="M95" s="20">
        <f t="shared" si="9"/>
        <v>102.80681818181817</v>
      </c>
      <c r="N95" s="20">
        <f t="shared" si="29"/>
        <v>6.1931818181818272</v>
      </c>
      <c r="O95" s="24">
        <f t="shared" si="11"/>
        <v>0.36417185360185811</v>
      </c>
      <c r="P95" s="65"/>
      <c r="Q95" s="65"/>
      <c r="R95" s="65"/>
      <c r="S95" s="66"/>
      <c r="T95" s="57">
        <f>0.25*G44+0.75*G17</f>
        <v>0.82954545454545459</v>
      </c>
      <c r="U95" s="57">
        <f t="shared" si="15"/>
        <v>90.420454545454547</v>
      </c>
      <c r="V95" s="57">
        <f t="shared" si="16"/>
        <v>18.579545454545453</v>
      </c>
      <c r="W95" s="28">
        <f t="shared" si="17"/>
        <v>2.0425415042639106E-4</v>
      </c>
      <c r="X95" s="49"/>
      <c r="Y95" s="49"/>
      <c r="Z95" s="49"/>
      <c r="AA95" s="49"/>
      <c r="AB95" s="20">
        <f>0.89*G44+0.11*G17</f>
        <v>0.97499999999999998</v>
      </c>
      <c r="AC95" s="20">
        <f t="shared" si="28"/>
        <v>106.27499999999999</v>
      </c>
      <c r="AD95" s="20">
        <f t="shared" si="21"/>
        <v>2.7250000000000085</v>
      </c>
      <c r="AE95" s="24">
        <f t="shared" si="33"/>
        <v>0.43408983524803829</v>
      </c>
    </row>
    <row r="96" spans="1:31" hidden="1" x14ac:dyDescent="0.2">
      <c r="A96" s="1" t="s">
        <v>39</v>
      </c>
      <c r="B96" s="1">
        <v>26.25</v>
      </c>
      <c r="C96" s="1" t="s">
        <v>21</v>
      </c>
      <c r="D96" s="1">
        <f>SUM(D65,D74,D76,D80,D82,D94)</f>
        <v>420</v>
      </c>
      <c r="E96" s="1">
        <f>SUM(E65,E74,E76,E80,E82,E94)</f>
        <v>413</v>
      </c>
      <c r="F96" s="1">
        <f>SUM(F65,F74,F76,F80,F82,F94)</f>
        <v>7</v>
      </c>
      <c r="G96" s="1">
        <f t="shared" si="26"/>
        <v>0.98333333333333328</v>
      </c>
      <c r="H96" s="1">
        <f>0.5*(G45+G17)</f>
        <v>0.88636363636363635</v>
      </c>
      <c r="I96" s="1">
        <f t="shared" si="6"/>
        <v>372.27272727272725</v>
      </c>
      <c r="J96" s="1">
        <f t="shared" si="7"/>
        <v>47.727272727272748</v>
      </c>
      <c r="K96" s="23">
        <f t="shared" si="8"/>
        <v>3.8066928365478803E-10</v>
      </c>
      <c r="L96" s="1">
        <f>(0.75*G45+0.25*G17)</f>
        <v>0.94318181818181812</v>
      </c>
      <c r="M96" s="1">
        <f t="shared" si="9"/>
        <v>396.13636363636363</v>
      </c>
      <c r="N96" s="1">
        <f t="shared" si="29"/>
        <v>23.863636363636374</v>
      </c>
      <c r="O96" s="24">
        <f t="shared" si="11"/>
        <v>3.786196792264197E-4</v>
      </c>
      <c r="P96" s="65"/>
      <c r="Q96" s="65"/>
      <c r="R96" s="65"/>
      <c r="S96" s="66"/>
      <c r="T96" s="56">
        <f>0.25*G45+0.75*G17</f>
        <v>0.82954545454545459</v>
      </c>
      <c r="U96" s="56">
        <f t="shared" si="15"/>
        <v>348.40909090909093</v>
      </c>
      <c r="V96" s="56">
        <f t="shared" si="16"/>
        <v>71.590909090909065</v>
      </c>
      <c r="W96" s="26">
        <f t="shared" si="17"/>
        <v>5.2252131058314531E-17</v>
      </c>
      <c r="X96" s="49"/>
      <c r="Y96" s="49"/>
      <c r="Z96" s="49"/>
      <c r="AA96" s="49"/>
      <c r="AB96" s="1">
        <f>0.89*G45+0.11*G17</f>
        <v>0.97499999999999998</v>
      </c>
      <c r="AC96" s="1">
        <f t="shared" si="28"/>
        <v>409.5</v>
      </c>
      <c r="AD96" s="1">
        <f t="shared" si="21"/>
        <v>10.5</v>
      </c>
      <c r="AE96" s="24">
        <f t="shared" si="33"/>
        <v>0.27400605918162591</v>
      </c>
    </row>
    <row r="97" spans="1:31" hidden="1" x14ac:dyDescent="0.2">
      <c r="A97" s="20" t="s">
        <v>40</v>
      </c>
      <c r="B97" s="20">
        <v>105</v>
      </c>
      <c r="C97" s="20" t="s">
        <v>13</v>
      </c>
      <c r="D97" s="20">
        <f>SUM(D85,D86)</f>
        <v>98</v>
      </c>
      <c r="E97" s="20">
        <f>SUM(E85,E86)</f>
        <v>73</v>
      </c>
      <c r="F97" s="20">
        <f>D97-E97</f>
        <v>25</v>
      </c>
      <c r="G97" s="20">
        <f t="shared" si="26"/>
        <v>0.74489795918367352</v>
      </c>
      <c r="H97" s="20">
        <f>0.5*(G47+G20)</f>
        <v>0.48648648648648651</v>
      </c>
      <c r="I97" s="20">
        <f t="shared" si="6"/>
        <v>47.675675675675677</v>
      </c>
      <c r="J97" s="20">
        <f t="shared" si="7"/>
        <v>50.324324324324323</v>
      </c>
      <c r="K97" s="23">
        <f t="shared" si="8"/>
        <v>3.0853772517091191E-7</v>
      </c>
      <c r="L97" s="20">
        <f>0.75*G47+0.25*G20</f>
        <v>0.72972972972972983</v>
      </c>
      <c r="M97" s="20">
        <f t="shared" si="9"/>
        <v>71.513513513513516</v>
      </c>
      <c r="N97" s="20">
        <f t="shared" si="29"/>
        <v>26.486486486486484</v>
      </c>
      <c r="O97" s="24">
        <f t="shared" si="11"/>
        <v>0.73527457266818308</v>
      </c>
      <c r="P97" s="65"/>
      <c r="Q97" s="65"/>
      <c r="R97" s="65"/>
      <c r="S97" s="65"/>
      <c r="T97" s="20">
        <f>0.25*G47+0.75*G48</f>
        <v>0.876270766179023</v>
      </c>
      <c r="U97" s="20">
        <f t="shared" si="15"/>
        <v>85.874535085544252</v>
      </c>
      <c r="V97" s="20">
        <f t="shared" si="16"/>
        <v>12.125464914455748</v>
      </c>
      <c r="W97" s="23">
        <f t="shared" si="17"/>
        <v>7.8251928710428066E-5</v>
      </c>
      <c r="X97" s="58"/>
      <c r="Y97" s="58"/>
      <c r="Z97" s="58"/>
      <c r="AA97" s="58"/>
      <c r="AB97" s="20">
        <f>0.89*G47+0.11*G20</f>
        <v>0.86594594594594598</v>
      </c>
      <c r="AC97" s="20">
        <f t="shared" si="28"/>
        <v>84.862702702702705</v>
      </c>
      <c r="AD97" s="20">
        <f t="shared" si="21"/>
        <v>13.137297297297295</v>
      </c>
      <c r="AE97" s="23">
        <f t="shared" si="33"/>
        <v>4.3628240277473226E-4</v>
      </c>
    </row>
    <row r="98" spans="1:31" hidden="1" x14ac:dyDescent="0.2">
      <c r="A98" s="1" t="s">
        <v>39</v>
      </c>
      <c r="B98" s="1">
        <v>105</v>
      </c>
      <c r="C98" s="1" t="s">
        <v>21</v>
      </c>
      <c r="D98" s="1">
        <f>SUM(D69,D77,D79,D83,D85,D86)</f>
        <v>451</v>
      </c>
      <c r="E98" s="1">
        <f>SUM(E69,E77,E79,E83,E85,E86)</f>
        <v>401</v>
      </c>
      <c r="F98" s="1">
        <f>D98-E98</f>
        <v>50</v>
      </c>
      <c r="G98" s="1">
        <f t="shared" si="26"/>
        <v>0.88913525498891355</v>
      </c>
      <c r="H98" s="1">
        <f>0.5*(G48+G20)</f>
        <v>0.42201834862385323</v>
      </c>
      <c r="I98" s="1">
        <f t="shared" si="6"/>
        <v>190.3302752293578</v>
      </c>
      <c r="J98" s="1">
        <f t="shared" si="7"/>
        <v>260.66972477064223</v>
      </c>
      <c r="K98" s="23">
        <f t="shared" si="8"/>
        <v>9.8042782957578108E-90</v>
      </c>
      <c r="L98" s="1">
        <f>0.75*G48+0.25*G20</f>
        <v>0.6330275229357798</v>
      </c>
      <c r="M98" s="1">
        <f t="shared" si="9"/>
        <v>285.49541284403671</v>
      </c>
      <c r="N98" s="1">
        <f t="shared" si="29"/>
        <v>165.50458715596329</v>
      </c>
      <c r="O98" s="23">
        <f t="shared" si="11"/>
        <v>1.5650146056495503E-29</v>
      </c>
      <c r="P98" s="65"/>
      <c r="Q98" s="65"/>
      <c r="R98" s="65"/>
      <c r="S98" s="65"/>
      <c r="T98" s="59">
        <f>0.25*G48+0.75*G20</f>
        <v>0.21100917431192662</v>
      </c>
      <c r="U98" s="59">
        <f t="shared" si="15"/>
        <v>95.165137614678898</v>
      </c>
      <c r="V98" s="59">
        <f t="shared" si="16"/>
        <v>355.83486238532112</v>
      </c>
      <c r="W98" s="23">
        <f t="shared" si="17"/>
        <v>7.029251292874725E-273</v>
      </c>
      <c r="X98" s="58"/>
      <c r="Y98" s="58"/>
      <c r="Z98" s="58"/>
      <c r="AA98" s="58"/>
      <c r="AB98" s="1">
        <f>0.89*G48+0.11*G20</f>
        <v>0.75119266055045875</v>
      </c>
      <c r="AC98" s="1">
        <f t="shared" si="28"/>
        <v>338.78788990825689</v>
      </c>
      <c r="AD98" s="1">
        <f t="shared" si="21"/>
        <v>112.21211009174311</v>
      </c>
      <c r="AE98" s="23">
        <f t="shared" si="33"/>
        <v>1.2346866702395356E-11</v>
      </c>
    </row>
    <row r="99" spans="1:31" x14ac:dyDescent="0.2">
      <c r="A99" s="20" t="s">
        <v>40</v>
      </c>
      <c r="B99" s="20">
        <v>420</v>
      </c>
      <c r="C99" s="20" t="s">
        <v>13</v>
      </c>
      <c r="D99" s="20">
        <f>SUM(D92,D93)</f>
        <v>171</v>
      </c>
      <c r="E99" s="20">
        <f>SUM(E92,E93)</f>
        <v>74</v>
      </c>
      <c r="F99" s="20">
        <f>D99-E99</f>
        <v>97</v>
      </c>
      <c r="G99" s="20">
        <f t="shared" si="26"/>
        <v>0.43274853801169588</v>
      </c>
      <c r="H99" s="20">
        <f>0.5*(G50+G23)</f>
        <v>0.43055555555555558</v>
      </c>
      <c r="I99" s="20">
        <f t="shared" ref="I99:I100" si="34">D99*H99</f>
        <v>73.625</v>
      </c>
      <c r="J99" s="20">
        <f t="shared" ref="J99:J100" si="35">D99-I99</f>
        <v>97.375</v>
      </c>
      <c r="K99" s="24">
        <f t="shared" ref="K99:K100" si="36">_xlfn.CHISQ.TEST(E99:F99,I99:J99)</f>
        <v>0.95381613594841375</v>
      </c>
      <c r="L99" s="20">
        <f>0.75*G50+0.25*G23</f>
        <v>0.64583333333333337</v>
      </c>
      <c r="M99" s="20">
        <f t="shared" ref="M99:M100" si="37">D99*L99</f>
        <v>110.4375</v>
      </c>
      <c r="N99" s="20">
        <f t="shared" ref="N99:N100" si="38">D99-M99</f>
        <v>60.5625</v>
      </c>
      <c r="O99" s="23">
        <f t="shared" ref="O99:O100" si="39">_xlfn.CHISQ.TEST(E99:F99,M99:N99)</f>
        <v>5.6698837974748912E-9</v>
      </c>
      <c r="P99" s="20">
        <f>0.75*G50+0.25*G23</f>
        <v>0.64583333333333337</v>
      </c>
      <c r="Q99" s="20">
        <f t="shared" ref="Q99:Q100" si="40">D99*P99</f>
        <v>110.4375</v>
      </c>
      <c r="R99" s="20">
        <f t="shared" ref="R99:R100" si="41">D99-Q99</f>
        <v>60.5625</v>
      </c>
      <c r="S99" s="20">
        <f t="shared" ref="S99:S100" si="42">_xlfn.CHISQ.TEST(E99:F99,Q99:R99)</f>
        <v>5.6698837974748912E-9</v>
      </c>
      <c r="T99" s="20">
        <f>G50*0.25+G23*0.75</f>
        <v>0.21527777777777779</v>
      </c>
      <c r="U99" s="20">
        <f t="shared" ref="U99:U100" si="43">D99*T99</f>
        <v>36.8125</v>
      </c>
      <c r="V99" s="20">
        <f t="shared" ref="V99:V100" si="44">D99-U99</f>
        <v>134.1875</v>
      </c>
      <c r="W99" s="23">
        <f t="shared" ref="W99:W100" si="45">_xlfn.CHISQ.TEST(E99:F99,U99:V99)</f>
        <v>4.5494410572693241E-12</v>
      </c>
      <c r="X99" s="63"/>
      <c r="Y99" s="63"/>
      <c r="Z99" s="63"/>
      <c r="AA99" s="63"/>
      <c r="AB99" s="20">
        <f>0.875*G50+0.125*G23</f>
        <v>0.75347222222222232</v>
      </c>
      <c r="AC99" s="20">
        <f t="shared" ref="AC99:AC100" si="46">D99*AB99</f>
        <v>128.84375000000003</v>
      </c>
      <c r="AD99" s="20">
        <f t="shared" ref="AD99:AD100" si="47">D99-AC99</f>
        <v>42.156249999999972</v>
      </c>
      <c r="AE99" s="23">
        <f t="shared" ref="AE99:AE100" si="48">_xlfn.CHISQ.TEST(E99:F99,AC99:AD99)</f>
        <v>2.22147932581557E-22</v>
      </c>
    </row>
    <row r="100" spans="1:31" x14ac:dyDescent="0.2">
      <c r="A100" s="1" t="s">
        <v>39</v>
      </c>
      <c r="B100" s="1">
        <v>420</v>
      </c>
      <c r="C100" s="1" t="s">
        <v>21</v>
      </c>
      <c r="D100" s="1">
        <f>SUM(D88,D91,D99)</f>
        <v>550</v>
      </c>
      <c r="E100" s="1">
        <f>SUM(E90,E92)</f>
        <v>122</v>
      </c>
      <c r="F100" s="1">
        <f>D100-E100</f>
        <v>428</v>
      </c>
      <c r="G100" s="1">
        <f t="shared" si="26"/>
        <v>0.22181818181818183</v>
      </c>
      <c r="H100" s="1">
        <f>0.5*(G51+G23)</f>
        <v>0.17032967032967034</v>
      </c>
      <c r="I100" s="1">
        <f t="shared" si="34"/>
        <v>93.681318681318686</v>
      </c>
      <c r="J100" s="1">
        <f t="shared" si="35"/>
        <v>456.31868131868134</v>
      </c>
      <c r="K100" s="23">
        <f t="shared" si="36"/>
        <v>1.3175258573218137E-3</v>
      </c>
      <c r="L100" s="1">
        <f>0.75*G51+0.25*G23</f>
        <v>0.25549450549450547</v>
      </c>
      <c r="M100" s="1">
        <f t="shared" si="37"/>
        <v>140.52197802197801</v>
      </c>
      <c r="N100" s="1">
        <f t="shared" si="38"/>
        <v>409.47802197802196</v>
      </c>
      <c r="O100" s="24">
        <f t="shared" si="39"/>
        <v>7.0164844799439005E-2</v>
      </c>
      <c r="P100" s="1">
        <f>0.75*G51+0.25*G23</f>
        <v>0.25549450549450547</v>
      </c>
      <c r="Q100" s="1">
        <f t="shared" si="40"/>
        <v>140.52197802197801</v>
      </c>
      <c r="R100" s="1">
        <f t="shared" si="41"/>
        <v>409.47802197802196</v>
      </c>
      <c r="S100" s="23">
        <f t="shared" si="42"/>
        <v>7.0164844799439005E-2</v>
      </c>
      <c r="T100" s="59">
        <f>G51*0.25+G23*0.75</f>
        <v>8.5164835164835168E-2</v>
      </c>
      <c r="U100" s="59">
        <f t="shared" si="43"/>
        <v>46.840659340659343</v>
      </c>
      <c r="V100" s="59">
        <f t="shared" si="44"/>
        <v>503.15934065934067</v>
      </c>
      <c r="W100" s="23">
        <f t="shared" si="45"/>
        <v>1.6335017634364255E-30</v>
      </c>
      <c r="X100" s="63"/>
      <c r="Y100" s="63"/>
      <c r="Z100" s="63"/>
      <c r="AA100" s="63"/>
      <c r="AB100" s="1">
        <f>0.875*G51+0.125*G23</f>
        <v>0.29807692307692307</v>
      </c>
      <c r="AC100" s="1">
        <f t="shared" si="46"/>
        <v>163.94230769230768</v>
      </c>
      <c r="AD100" s="1">
        <f t="shared" si="47"/>
        <v>386.05769230769232</v>
      </c>
      <c r="AE100" s="23">
        <f t="shared" si="48"/>
        <v>9.2346763492581426E-5</v>
      </c>
    </row>
    <row r="101" spans="1:31" hidden="1" x14ac:dyDescent="0.2">
      <c r="D101">
        <f>SUM(D8,D11,D14,D17,D20,D23,D45,D48,D51,D64,D68,D72,D96,D98,D100)</f>
        <v>2936</v>
      </c>
      <c r="F101" s="3"/>
    </row>
    <row r="102" spans="1:31" x14ac:dyDescent="0.2">
      <c r="AE102" s="68"/>
    </row>
  </sheetData>
  <autoFilter ref="A1:AE101">
    <filterColumn colId="1">
      <filters>
        <filter val="42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1048576"/>
    </sheetView>
  </sheetViews>
  <sheetFormatPr baseColWidth="10" defaultColWidth="8.83203125" defaultRowHeight="15" x14ac:dyDescent="0.2"/>
  <cols>
    <col min="1" max="1" width="9.5" bestFit="1" customWidth="1"/>
  </cols>
  <sheetData>
    <row r="1" spans="1:6" x14ac:dyDescent="0.2">
      <c r="B1" t="s">
        <v>51</v>
      </c>
      <c r="C1" t="s">
        <v>50</v>
      </c>
    </row>
    <row r="2" spans="1:6" x14ac:dyDescent="0.2">
      <c r="A2" t="s">
        <v>52</v>
      </c>
      <c r="B2">
        <v>57</v>
      </c>
      <c r="C2">
        <v>58</v>
      </c>
    </row>
    <row r="3" spans="1:6" x14ac:dyDescent="0.2">
      <c r="A3" t="s">
        <v>22</v>
      </c>
      <c r="B3">
        <v>3</v>
      </c>
      <c r="C3">
        <v>7</v>
      </c>
    </row>
    <row r="4" spans="1:6" x14ac:dyDescent="0.2">
      <c r="A4" t="s">
        <v>53</v>
      </c>
      <c r="B4">
        <f>B2-C2</f>
        <v>-1</v>
      </c>
      <c r="C4">
        <f>B3-C3</f>
        <v>-4</v>
      </c>
    </row>
    <row r="5" spans="1:6" x14ac:dyDescent="0.2">
      <c r="A5" t="s">
        <v>54</v>
      </c>
      <c r="B5">
        <f>B4^2</f>
        <v>1</v>
      </c>
      <c r="C5">
        <f>C4^2</f>
        <v>16</v>
      </c>
    </row>
    <row r="6" spans="1:6" x14ac:dyDescent="0.2">
      <c r="A6" t="s">
        <v>55</v>
      </c>
      <c r="B6">
        <f>B5/C2</f>
        <v>1.7241379310344827E-2</v>
      </c>
      <c r="C6">
        <f>C5/C3</f>
        <v>2.2857142857142856</v>
      </c>
      <c r="D6">
        <f>B6+C6</f>
        <v>2.3029556650246303</v>
      </c>
      <c r="F6">
        <f>_xlfn.CHISQ.TEST(B2:B3,C2:C3)</f>
        <v>0.12912807398639117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G16" workbookViewId="0">
      <selection activeCell="M3" sqref="M3"/>
    </sheetView>
  </sheetViews>
  <sheetFormatPr baseColWidth="10" defaultColWidth="8.83203125" defaultRowHeight="15" x14ac:dyDescent="0.2"/>
  <cols>
    <col min="2" max="2" width="14.33203125" customWidth="1"/>
    <col min="7" max="7" width="14.5" bestFit="1" customWidth="1"/>
    <col min="8" max="8" width="14.5" customWidth="1"/>
    <col min="17" max="17" width="14.5" bestFit="1" customWidth="1"/>
  </cols>
  <sheetData>
    <row r="1" spans="1:17" x14ac:dyDescent="0.2">
      <c r="A1" t="s">
        <v>1</v>
      </c>
      <c r="B1" t="s">
        <v>2</v>
      </c>
      <c r="C1" t="s">
        <v>29</v>
      </c>
      <c r="D1" t="s">
        <v>34</v>
      </c>
      <c r="E1" t="s">
        <v>31</v>
      </c>
      <c r="F1" t="s">
        <v>32</v>
      </c>
      <c r="G1" t="s">
        <v>33</v>
      </c>
      <c r="J1" t="s">
        <v>29</v>
      </c>
      <c r="K1" t="s">
        <v>34</v>
      </c>
      <c r="M1" t="s">
        <v>35</v>
      </c>
      <c r="N1" t="s">
        <v>36</v>
      </c>
      <c r="O1" t="s">
        <v>31</v>
      </c>
      <c r="P1" t="s">
        <v>32</v>
      </c>
      <c r="Q1" t="s">
        <v>33</v>
      </c>
    </row>
    <row r="2" spans="1:17" x14ac:dyDescent="0.2">
      <c r="A2">
        <v>26.25</v>
      </c>
      <c r="B2" t="s">
        <v>4</v>
      </c>
      <c r="C2">
        <v>0.40500000000000003</v>
      </c>
      <c r="I2" t="s">
        <v>23</v>
      </c>
      <c r="J2">
        <v>0.35115299999999999</v>
      </c>
      <c r="K2">
        <v>1.2050999999999999E-2</v>
      </c>
      <c r="M2">
        <f>(2*J6)-J2-J4</f>
        <v>-0.376139</v>
      </c>
      <c r="N2">
        <f>(4*J5)-(2*J4)-J2-J3</f>
        <v>-0.31383499999999998</v>
      </c>
      <c r="O2">
        <f>(J2-J3)^2</f>
        <v>6.5381978601000007E-2</v>
      </c>
      <c r="P2">
        <f>(K4-K5)*8</f>
        <v>0.13108799999999998</v>
      </c>
      <c r="Q2">
        <f>O2/P2</f>
        <v>0.49876402570029305</v>
      </c>
    </row>
    <row r="3" spans="1:17" x14ac:dyDescent="0.2">
      <c r="A3">
        <v>26.25</v>
      </c>
      <c r="B3" t="s">
        <v>4</v>
      </c>
      <c r="C3">
        <v>0.3175</v>
      </c>
      <c r="I3" t="s">
        <v>24</v>
      </c>
      <c r="J3">
        <v>9.5453999999999997E-2</v>
      </c>
      <c r="K3">
        <v>3.3310000000000002E-3</v>
      </c>
    </row>
    <row r="4" spans="1:17" x14ac:dyDescent="0.2">
      <c r="A4">
        <v>26.25</v>
      </c>
      <c r="B4" t="s">
        <v>5</v>
      </c>
      <c r="C4">
        <v>0.14124999999999999</v>
      </c>
      <c r="I4" t="s">
        <v>19</v>
      </c>
      <c r="J4">
        <v>0.28608600000000001</v>
      </c>
      <c r="K4">
        <v>2.3432999999999999E-2</v>
      </c>
    </row>
    <row r="5" spans="1:17" x14ac:dyDescent="0.2">
      <c r="A5">
        <v>26.25</v>
      </c>
      <c r="B5" t="s">
        <v>5</v>
      </c>
      <c r="C5">
        <v>6.9000000000000006E-2</v>
      </c>
      <c r="I5" t="s">
        <v>20</v>
      </c>
      <c r="J5">
        <v>0.176236</v>
      </c>
      <c r="K5">
        <v>7.0470000000000003E-3</v>
      </c>
    </row>
    <row r="6" spans="1:17" x14ac:dyDescent="0.2">
      <c r="A6">
        <v>26.25</v>
      </c>
      <c r="B6" t="s">
        <v>6</v>
      </c>
      <c r="C6">
        <v>0.21759999999999999</v>
      </c>
      <c r="I6" t="s">
        <v>21</v>
      </c>
      <c r="J6" s="2">
        <v>0.13055</v>
      </c>
      <c r="K6">
        <v>4.81E-3</v>
      </c>
    </row>
    <row r="7" spans="1:17" x14ac:dyDescent="0.2">
      <c r="A7">
        <v>26.25</v>
      </c>
      <c r="B7" t="s">
        <v>6</v>
      </c>
      <c r="C7">
        <v>0.17624999999999999</v>
      </c>
    </row>
    <row r="8" spans="1:17" x14ac:dyDescent="0.2">
      <c r="A8">
        <v>26.25</v>
      </c>
      <c r="B8" t="s">
        <v>7</v>
      </c>
      <c r="C8">
        <v>0.24440000000000001</v>
      </c>
    </row>
    <row r="9" spans="1:17" x14ac:dyDescent="0.2">
      <c r="A9">
        <v>26.25</v>
      </c>
      <c r="B9" t="s">
        <v>7</v>
      </c>
      <c r="C9">
        <v>0.215</v>
      </c>
    </row>
    <row r="10" spans="1:17" x14ac:dyDescent="0.2">
      <c r="A10">
        <v>26.25</v>
      </c>
      <c r="B10" t="s">
        <v>8</v>
      </c>
      <c r="C10">
        <v>0.35370000000000001</v>
      </c>
    </row>
    <row r="11" spans="1:17" x14ac:dyDescent="0.2">
      <c r="A11">
        <v>26.25</v>
      </c>
      <c r="B11" t="s">
        <v>8</v>
      </c>
      <c r="C11">
        <v>0.46750000000000003</v>
      </c>
      <c r="E11">
        <f>(C2-C4)^2</f>
        <v>6.9564062500000023E-2</v>
      </c>
      <c r="F11">
        <f>VAR(C8,C12)*8</f>
        <v>9.4089999999998897E-3</v>
      </c>
      <c r="G11">
        <f>E11/F11</f>
        <v>7.3933534381975594</v>
      </c>
    </row>
    <row r="12" spans="1:17" x14ac:dyDescent="0.2">
      <c r="A12">
        <v>26.25</v>
      </c>
      <c r="B12" t="s">
        <v>9</v>
      </c>
      <c r="C12">
        <v>0.19589999999999999</v>
      </c>
      <c r="E12">
        <f>(C2-C4)^2</f>
        <v>6.9564062500000023E-2</v>
      </c>
      <c r="F12">
        <f>VAR(C10,C13)*8</f>
        <v>0.14837904000000002</v>
      </c>
      <c r="G12">
        <f t="shared" ref="G12:G16" si="0">E12/F12</f>
        <v>0.46882674601480112</v>
      </c>
    </row>
    <row r="13" spans="1:17" x14ac:dyDescent="0.2">
      <c r="A13">
        <v>26.25</v>
      </c>
      <c r="B13" t="s">
        <v>10</v>
      </c>
      <c r="C13">
        <v>0.16109999999999999</v>
      </c>
      <c r="E13">
        <f>(C2-C4)^2</f>
        <v>6.9564062500000023E-2</v>
      </c>
      <c r="F13">
        <f>VAR(C8,C15)*8</f>
        <v>2.3043239999999909E-2</v>
      </c>
      <c r="G13">
        <f t="shared" si="0"/>
        <v>3.0188490203634686</v>
      </c>
    </row>
    <row r="14" spans="1:17" x14ac:dyDescent="0.2">
      <c r="A14">
        <v>26.25</v>
      </c>
      <c r="B14" t="s">
        <v>11</v>
      </c>
      <c r="C14">
        <v>0.1215</v>
      </c>
      <c r="E14">
        <f>(C2-C4)^2</f>
        <v>6.9564062500000023E-2</v>
      </c>
      <c r="F14">
        <f>VAR(C6,C14)*8</f>
        <v>3.6940840000000086E-2</v>
      </c>
      <c r="G14">
        <f t="shared" si="0"/>
        <v>1.88312075469859</v>
      </c>
    </row>
    <row r="15" spans="1:17" x14ac:dyDescent="0.2">
      <c r="A15">
        <v>26.25</v>
      </c>
      <c r="B15" t="s">
        <v>12</v>
      </c>
      <c r="C15">
        <v>0.16850000000000001</v>
      </c>
      <c r="E15">
        <f>(C2-C4)^2</f>
        <v>6.9564062500000023E-2</v>
      </c>
      <c r="F15">
        <f>VAR(C8,C15)*8</f>
        <v>2.3043239999999909E-2</v>
      </c>
      <c r="G15">
        <f t="shared" si="0"/>
        <v>3.0188490203634686</v>
      </c>
    </row>
    <row r="16" spans="1:17" x14ac:dyDescent="0.2">
      <c r="A16">
        <v>26.25</v>
      </c>
      <c r="B16" t="s">
        <v>13</v>
      </c>
      <c r="C16">
        <v>8.5099999999999995E-2</v>
      </c>
      <c r="E16">
        <f>(C2-C4)^2</f>
        <v>6.9564062500000023E-2</v>
      </c>
      <c r="F16">
        <f>VAR(C10,C16)*8</f>
        <v>0.28858384000000004</v>
      </c>
      <c r="G16">
        <f t="shared" si="0"/>
        <v>0.24105321524587106</v>
      </c>
    </row>
    <row r="17" spans="1:17" x14ac:dyDescent="0.2">
      <c r="A17">
        <v>26.25</v>
      </c>
      <c r="B17" t="s">
        <v>19</v>
      </c>
    </row>
    <row r="18" spans="1:17" x14ac:dyDescent="0.2">
      <c r="A18">
        <v>26.25</v>
      </c>
      <c r="B18" t="s">
        <v>20</v>
      </c>
    </row>
    <row r="19" spans="1:17" x14ac:dyDescent="0.2">
      <c r="A19">
        <v>26.25</v>
      </c>
      <c r="B19" t="s">
        <v>21</v>
      </c>
    </row>
    <row r="20" spans="1:17" x14ac:dyDescent="0.2">
      <c r="A20">
        <v>105</v>
      </c>
      <c r="B20" t="s">
        <v>4</v>
      </c>
      <c r="C20">
        <v>0.32250000000000001</v>
      </c>
      <c r="I20" t="s">
        <v>23</v>
      </c>
      <c r="J20">
        <v>0.28839999999999999</v>
      </c>
      <c r="K20">
        <v>7.2560000000000003E-3</v>
      </c>
      <c r="M20">
        <f>(2*J24)-J20-J22</f>
        <v>-0.19944800000000001</v>
      </c>
      <c r="N20">
        <f>(4*J23)-(2*J22)-J20-J21</f>
        <v>-7.1482200000000023E-2</v>
      </c>
      <c r="O20">
        <f>(J20-J21)^2</f>
        <v>7.1529395520040007E-2</v>
      </c>
      <c r="P20">
        <f>(K22-K23)*8</f>
        <v>4.3623999999999996E-2</v>
      </c>
      <c r="Q20">
        <f>O20/P20</f>
        <v>1.6396798899697418</v>
      </c>
    </row>
    <row r="21" spans="1:17" x14ac:dyDescent="0.2">
      <c r="A21">
        <v>105</v>
      </c>
      <c r="B21" t="s">
        <v>4</v>
      </c>
      <c r="C21">
        <v>0.27110000000000001</v>
      </c>
      <c r="I21" t="s">
        <v>24</v>
      </c>
      <c r="J21">
        <v>2.0950199999999999E-2</v>
      </c>
      <c r="K21">
        <v>9.4820000000000008E-3</v>
      </c>
    </row>
    <row r="22" spans="1:17" x14ac:dyDescent="0.2">
      <c r="A22">
        <v>105</v>
      </c>
      <c r="B22" t="s">
        <v>5</v>
      </c>
      <c r="C22">
        <v>3.5000000000000003E-2</v>
      </c>
      <c r="I22" t="s">
        <v>19</v>
      </c>
      <c r="J22">
        <v>0.191834</v>
      </c>
      <c r="K22">
        <v>1.3465E-2</v>
      </c>
    </row>
    <row r="23" spans="1:17" x14ac:dyDescent="0.2">
      <c r="A23">
        <v>105</v>
      </c>
      <c r="B23" t="s">
        <v>5</v>
      </c>
      <c r="C23">
        <v>1.23E-2</v>
      </c>
      <c r="I23" t="s">
        <v>20</v>
      </c>
      <c r="J23">
        <v>0.15538399999999999</v>
      </c>
      <c r="K23">
        <v>8.012E-3</v>
      </c>
    </row>
    <row r="24" spans="1:17" x14ac:dyDescent="0.2">
      <c r="A24">
        <v>105</v>
      </c>
      <c r="B24" t="s">
        <v>6</v>
      </c>
      <c r="C24">
        <v>0.161666</v>
      </c>
      <c r="I24" t="s">
        <v>21</v>
      </c>
      <c r="J24" s="2">
        <v>0.14039299999999999</v>
      </c>
      <c r="K24">
        <v>4.8640000000000003E-3</v>
      </c>
    </row>
    <row r="25" spans="1:17" x14ac:dyDescent="0.2">
      <c r="A25">
        <v>105</v>
      </c>
      <c r="B25" t="s">
        <v>6</v>
      </c>
      <c r="C25">
        <v>0.13250000000000001</v>
      </c>
    </row>
    <row r="26" spans="1:17" x14ac:dyDescent="0.2">
      <c r="A26">
        <v>105</v>
      </c>
      <c r="B26" t="s">
        <v>7</v>
      </c>
      <c r="C26">
        <v>0.1421</v>
      </c>
    </row>
    <row r="27" spans="1:17" x14ac:dyDescent="0.2">
      <c r="A27">
        <v>105</v>
      </c>
      <c r="B27" t="s">
        <v>7</v>
      </c>
      <c r="C27">
        <v>0.114</v>
      </c>
    </row>
    <row r="28" spans="1:17" x14ac:dyDescent="0.2">
      <c r="A28">
        <v>105</v>
      </c>
      <c r="B28" t="s">
        <v>8</v>
      </c>
      <c r="C28">
        <v>0.32379999999999998</v>
      </c>
    </row>
    <row r="29" spans="1:17" x14ac:dyDescent="0.2">
      <c r="A29">
        <v>105</v>
      </c>
      <c r="B29" t="s">
        <v>8</v>
      </c>
      <c r="C29">
        <v>0.27124999999999999</v>
      </c>
    </row>
    <row r="30" spans="1:17" x14ac:dyDescent="0.2">
      <c r="A30">
        <v>105</v>
      </c>
      <c r="B30" t="s">
        <v>9</v>
      </c>
      <c r="C30">
        <v>0.18859999999999999</v>
      </c>
      <c r="E30">
        <f>(C20-C22)^2</f>
        <v>8.2656249999999987E-2</v>
      </c>
      <c r="F30">
        <f>8*(C30-C26)</f>
        <v>0.37199999999999989</v>
      </c>
      <c r="G30">
        <f>E30/F30</f>
        <v>0.22219422043010756</v>
      </c>
    </row>
    <row r="31" spans="1:17" x14ac:dyDescent="0.2">
      <c r="A31">
        <v>105</v>
      </c>
      <c r="B31" t="s">
        <v>10</v>
      </c>
      <c r="C31">
        <v>0.1227</v>
      </c>
      <c r="E31">
        <f>(C20-C22)^2</f>
        <v>8.2656249999999987E-2</v>
      </c>
      <c r="F31">
        <f>8*(C28-C31)</f>
        <v>1.6087999999999998</v>
      </c>
      <c r="G31">
        <f>E31/F31</f>
        <v>5.137757956240676E-2</v>
      </c>
    </row>
    <row r="32" spans="1:17" x14ac:dyDescent="0.2">
      <c r="A32">
        <v>105</v>
      </c>
      <c r="B32" t="s">
        <v>11</v>
      </c>
      <c r="C32">
        <v>0.1173</v>
      </c>
      <c r="E32">
        <f>(C20-C22)^2</f>
        <v>8.2656249999999987E-2</v>
      </c>
      <c r="F32">
        <f>8*(C24-C32)</f>
        <v>0.35492800000000002</v>
      </c>
      <c r="G32">
        <f>E32/F32</f>
        <v>0.23288173939503218</v>
      </c>
    </row>
    <row r="33" spans="1:17" x14ac:dyDescent="0.2">
      <c r="A33">
        <v>105</v>
      </c>
      <c r="B33" t="s">
        <v>12</v>
      </c>
      <c r="C33">
        <v>0.16339999999999999</v>
      </c>
      <c r="E33">
        <f>(C27-C29)^2</f>
        <v>2.4727562500000001E-2</v>
      </c>
      <c r="F33">
        <f>8*(C33-C26)</f>
        <v>0.17039999999999988</v>
      </c>
      <c r="G33">
        <f>E33/F33</f>
        <v>0.14511480340375599</v>
      </c>
    </row>
    <row r="34" spans="1:17" x14ac:dyDescent="0.2">
      <c r="A34">
        <v>105</v>
      </c>
      <c r="B34" t="s">
        <v>13</v>
      </c>
    </row>
    <row r="35" spans="1:17" x14ac:dyDescent="0.2">
      <c r="A35">
        <v>420</v>
      </c>
      <c r="B35" t="s">
        <v>4</v>
      </c>
      <c r="C35">
        <v>0.28499999999999998</v>
      </c>
      <c r="D35">
        <v>3.7800000000000028E-2</v>
      </c>
      <c r="I35" t="s">
        <v>23</v>
      </c>
      <c r="J35">
        <v>0.310803</v>
      </c>
      <c r="K35">
        <v>1.6268999999999999E-2</v>
      </c>
      <c r="M35">
        <f>(2*J39)-J35-J37</f>
        <v>-0.31864800000000004</v>
      </c>
      <c r="N35">
        <f>(4*J38)-(2*J37)-J35-J36</f>
        <v>-0.11564800000000003</v>
      </c>
      <c r="O35">
        <f>(J35-J36)^2</f>
        <v>8.7886159936000005E-2</v>
      </c>
      <c r="P35">
        <f>(K37-K38)*8</f>
        <v>6.1287999999999995E-2</v>
      </c>
      <c r="Q35">
        <f>O35/P35</f>
        <v>1.4339864237044775</v>
      </c>
    </row>
    <row r="36" spans="1:17" x14ac:dyDescent="0.2">
      <c r="A36">
        <v>420</v>
      </c>
      <c r="B36" t="s">
        <v>4</v>
      </c>
      <c r="C36">
        <v>0.32374999999999998</v>
      </c>
      <c r="D36">
        <v>4.2328888888889084E-3</v>
      </c>
      <c r="I36" t="s">
        <v>24</v>
      </c>
      <c r="J36">
        <v>1.4347E-2</v>
      </c>
      <c r="K36">
        <v>3.2600000000000001E-4</v>
      </c>
      <c r="L36">
        <v>4.2200000000000001E-4</v>
      </c>
    </row>
    <row r="37" spans="1:17" x14ac:dyDescent="0.2">
      <c r="A37">
        <v>420</v>
      </c>
      <c r="B37" t="s">
        <v>5</v>
      </c>
      <c r="C37">
        <v>1.4999999999999999E-2</v>
      </c>
      <c r="D37">
        <v>2.4999999999999957E-5</v>
      </c>
      <c r="I37" t="s">
        <v>19</v>
      </c>
      <c r="J37">
        <v>0.13310900000000001</v>
      </c>
      <c r="K37">
        <v>1.6587999999999999E-2</v>
      </c>
      <c r="L37">
        <v>0.16575999999999999</v>
      </c>
    </row>
    <row r="38" spans="1:17" x14ac:dyDescent="0.2">
      <c r="A38">
        <v>420</v>
      </c>
      <c r="B38" t="s">
        <v>5</v>
      </c>
      <c r="C38">
        <v>1.4E-2</v>
      </c>
      <c r="D38">
        <v>9.3421830050823326E-3</v>
      </c>
      <c r="I38" t="s">
        <v>20</v>
      </c>
      <c r="J38">
        <v>0.11892999999999999</v>
      </c>
      <c r="K38">
        <v>8.9269999999999992E-3</v>
      </c>
      <c r="L38">
        <v>8.9269999999999992E-3</v>
      </c>
    </row>
    <row r="39" spans="1:17" x14ac:dyDescent="0.2">
      <c r="A39">
        <v>420</v>
      </c>
      <c r="B39" t="s">
        <v>6</v>
      </c>
      <c r="C39">
        <v>5.2999999999999999E-2</v>
      </c>
      <c r="D39">
        <v>1.0982248520710065E-3</v>
      </c>
      <c r="I39" t="s">
        <v>21</v>
      </c>
      <c r="J39" s="2">
        <v>6.2631999999999993E-2</v>
      </c>
      <c r="K39">
        <v>1.029E-3</v>
      </c>
    </row>
    <row r="40" spans="1:17" x14ac:dyDescent="0.2">
      <c r="A40">
        <v>420</v>
      </c>
      <c r="B40" t="s">
        <v>6</v>
      </c>
      <c r="C40">
        <v>0.06</v>
      </c>
      <c r="D40">
        <v>9.5531647656124877E-3</v>
      </c>
    </row>
    <row r="41" spans="1:17" x14ac:dyDescent="0.2">
      <c r="A41">
        <v>420</v>
      </c>
      <c r="B41" t="s">
        <v>7</v>
      </c>
      <c r="C41">
        <v>7.0000000000000007E-2</v>
      </c>
      <c r="D41">
        <v>5.2220000000000001E-3</v>
      </c>
    </row>
    <row r="42" spans="1:17" x14ac:dyDescent="0.2">
      <c r="A42">
        <v>420</v>
      </c>
      <c r="B42" t="s">
        <v>7</v>
      </c>
      <c r="C42">
        <v>8.5000000000000006E-2</v>
      </c>
      <c r="D42">
        <v>1.3802469135802456E-3</v>
      </c>
    </row>
    <row r="43" spans="1:17" x14ac:dyDescent="0.2">
      <c r="A43">
        <v>420</v>
      </c>
      <c r="B43" t="s">
        <v>8</v>
      </c>
      <c r="C43">
        <v>0.20499999999999999</v>
      </c>
      <c r="D43">
        <v>3.1725000000000024E-2</v>
      </c>
    </row>
    <row r="44" spans="1:17" x14ac:dyDescent="0.2">
      <c r="A44">
        <v>420</v>
      </c>
      <c r="B44" t="s">
        <v>8</v>
      </c>
      <c r="C44">
        <v>0.24199999999999999</v>
      </c>
      <c r="D44">
        <v>9.104586168975989E-3</v>
      </c>
    </row>
    <row r="45" spans="1:17" x14ac:dyDescent="0.2">
      <c r="A45">
        <v>420</v>
      </c>
      <c r="B45" t="s">
        <v>9</v>
      </c>
      <c r="C45">
        <v>0.19186</v>
      </c>
      <c r="D45">
        <v>7.0609999999999996E-3</v>
      </c>
      <c r="E45">
        <f>(C35-C37)^2</f>
        <v>7.2899999999999979E-2</v>
      </c>
      <c r="F45">
        <f>8*(D45-D41)</f>
        <v>1.4711999999999996E-2</v>
      </c>
      <c r="G45">
        <f>E45/F45</f>
        <v>4.9551386623164762</v>
      </c>
    </row>
    <row r="46" spans="1:17" x14ac:dyDescent="0.2">
      <c r="A46">
        <v>420</v>
      </c>
      <c r="B46" t="s">
        <v>10</v>
      </c>
      <c r="C46">
        <v>4.9700000000000001E-2</v>
      </c>
      <c r="D46">
        <v>7.7912326388889105E-4</v>
      </c>
      <c r="E46">
        <f>(C35-C37)^2</f>
        <v>7.2899999999999979E-2</v>
      </c>
      <c r="F46">
        <f>8*(D43-D46)</f>
        <v>0.24756701388888908</v>
      </c>
      <c r="G46">
        <f>E46/F46</f>
        <v>0.29446572406741689</v>
      </c>
    </row>
    <row r="47" spans="1:17" x14ac:dyDescent="0.2">
      <c r="A47">
        <v>420</v>
      </c>
      <c r="B47" t="s">
        <v>11</v>
      </c>
      <c r="C47">
        <v>6.2600000000000003E-2</v>
      </c>
      <c r="D47">
        <v>1.018007913369435E-3</v>
      </c>
      <c r="E47">
        <f>(C35-C37)^2</f>
        <v>7.2899999999999979E-2</v>
      </c>
      <c r="F47">
        <f>8*(D39-D47)</f>
        <v>6.4173550961257181E-4</v>
      </c>
      <c r="G47">
        <f>E47/F47</f>
        <v>113.59820191968359</v>
      </c>
    </row>
    <row r="48" spans="1:17" x14ac:dyDescent="0.2">
      <c r="A48">
        <v>420</v>
      </c>
      <c r="B48" t="s">
        <v>12</v>
      </c>
    </row>
    <row r="49" spans="1:2" x14ac:dyDescent="0.2">
      <c r="A49">
        <v>420</v>
      </c>
      <c r="B49" t="s">
        <v>13</v>
      </c>
    </row>
    <row r="50" spans="1:2" x14ac:dyDescent="0.2">
      <c r="A50">
        <v>420</v>
      </c>
      <c r="B50" t="s">
        <v>19</v>
      </c>
    </row>
    <row r="51" spans="1:2" x14ac:dyDescent="0.2">
      <c r="A51">
        <v>420</v>
      </c>
      <c r="B51" t="s">
        <v>20</v>
      </c>
    </row>
    <row r="52" spans="1:2" x14ac:dyDescent="0.2">
      <c r="A52">
        <v>420</v>
      </c>
      <c r="B5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20" zoomScaleNormal="120" zoomScalePageLayoutView="120" workbookViewId="0">
      <selection activeCell="B13" sqref="B13"/>
    </sheetView>
  </sheetViews>
  <sheetFormatPr baseColWidth="10" defaultColWidth="8.83203125" defaultRowHeight="15" x14ac:dyDescent="0.2"/>
  <cols>
    <col min="2" max="2" width="10.83203125" customWidth="1"/>
  </cols>
  <sheetData>
    <row r="1" spans="1:3" x14ac:dyDescent="0.2">
      <c r="A1" t="s">
        <v>25</v>
      </c>
      <c r="C1" t="s">
        <v>26</v>
      </c>
    </row>
    <row r="2" spans="1:3" x14ac:dyDescent="0.2">
      <c r="A2" t="s">
        <v>23</v>
      </c>
      <c r="B2">
        <v>5.8509729999999998</v>
      </c>
    </row>
    <row r="3" spans="1:3" x14ac:dyDescent="0.2">
      <c r="A3" t="s">
        <v>24</v>
      </c>
      <c r="B3">
        <v>2.8623509999999999</v>
      </c>
    </row>
    <row r="4" spans="1:3" x14ac:dyDescent="0.2">
      <c r="A4" t="s">
        <v>27</v>
      </c>
      <c r="B4">
        <v>4.2918659999999997</v>
      </c>
      <c r="C4">
        <f>(((B4*2)-B2-B3)/(B2-B3))</f>
        <v>-4.3361790149440159E-2</v>
      </c>
    </row>
    <row r="5" spans="1:3" x14ac:dyDescent="0.2">
      <c r="A5" t="s">
        <v>7</v>
      </c>
      <c r="B5">
        <v>4.0273810000000001</v>
      </c>
      <c r="C5">
        <f>(((B5*2)-$B$2-$B$3)/($B$2-$B$3))</f>
        <v>-0.22035640505891996</v>
      </c>
    </row>
    <row r="6" spans="1:3" x14ac:dyDescent="0.2">
      <c r="A6" t="s">
        <v>28</v>
      </c>
      <c r="B6">
        <v>3.6633762999999999</v>
      </c>
      <c r="C6">
        <f>(((B6*2)-$B$2-$B$3)/($B$2-$B$3))</f>
        <v>-0.46395007464978838</v>
      </c>
    </row>
    <row r="7" spans="1:3" x14ac:dyDescent="0.2">
      <c r="A7" t="s">
        <v>8</v>
      </c>
      <c r="B7">
        <v>5.2895989999999999</v>
      </c>
      <c r="C7">
        <f>(((B7*2)-$B$2-$B$3)/($B$2-$B$3))</f>
        <v>0.62432585987789702</v>
      </c>
    </row>
    <row r="8" spans="1:3" x14ac:dyDescent="0.2">
      <c r="B8">
        <f>AVERAGE(B4:B5,B7)</f>
        <v>4.5362819999999999</v>
      </c>
      <c r="C8">
        <f>(((B8*2)-$B$2-$B$3)/($B$2-$B$3))</f>
        <v>0.12020255488984563</v>
      </c>
    </row>
    <row r="11" spans="1:3" x14ac:dyDescent="0.2">
      <c r="A11" t="s">
        <v>29</v>
      </c>
    </row>
    <row r="12" spans="1:3" x14ac:dyDescent="0.2">
      <c r="A12" t="s">
        <v>25</v>
      </c>
      <c r="C12" t="s">
        <v>26</v>
      </c>
    </row>
    <row r="13" spans="1:3" x14ac:dyDescent="0.2">
      <c r="A13" t="s">
        <v>23</v>
      </c>
      <c r="B13">
        <v>5.461112</v>
      </c>
    </row>
    <row r="14" spans="1:3" x14ac:dyDescent="0.2">
      <c r="A14" t="s">
        <v>24</v>
      </c>
      <c r="B14">
        <v>2.4717030000000002</v>
      </c>
    </row>
    <row r="15" spans="1:3" x14ac:dyDescent="0.2">
      <c r="A15" t="s">
        <v>27</v>
      </c>
      <c r="B15">
        <v>4.1150589999999996</v>
      </c>
      <c r="C15">
        <f>(((B15*2)-B13-B14)/(B13-B14))</f>
        <v>9.9452099060382507E-2</v>
      </c>
    </row>
    <row r="16" spans="1:3" x14ac:dyDescent="0.2">
      <c r="A16" t="s">
        <v>7</v>
      </c>
      <c r="B16">
        <v>3.924007</v>
      </c>
      <c r="C16">
        <f>(((B16*2)-$B$2-$B$3)/($B$2-$B$3))</f>
        <v>-0.28953477555876911</v>
      </c>
    </row>
    <row r="17" spans="1:3" x14ac:dyDescent="0.2">
      <c r="A17" t="s">
        <v>28</v>
      </c>
      <c r="B17">
        <v>3.2135009999999999</v>
      </c>
      <c r="C17">
        <f>(((B17*2)-$B$2-$B$3)/($B$2-$B$3))</f>
        <v>-0.76500875654398581</v>
      </c>
    </row>
    <row r="18" spans="1:3" x14ac:dyDescent="0.2">
      <c r="A18" t="s">
        <v>8</v>
      </c>
      <c r="B18">
        <v>5.3271290000000002</v>
      </c>
      <c r="C18">
        <f>(((B18*2)-$B$2-$B$3)/($B$2-$B$3))</f>
        <v>0.64944111366375568</v>
      </c>
    </row>
    <row r="19" spans="1:3" x14ac:dyDescent="0.2">
      <c r="B19">
        <f>AVERAGE(B15:B16,B18)</f>
        <v>4.455398333333334</v>
      </c>
      <c r="C19">
        <f>(((B19*2)-$B$2-$B$3)/($B$2-$B$3))</f>
        <v>6.60748219971172E-2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Segregation </vt:lpstr>
      <vt:lpstr>Sheet1</vt:lpstr>
      <vt:lpstr>Ne</vt:lpstr>
      <vt:lpstr>Degree of dominance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Michael Douglas</cp:lastModifiedBy>
  <cp:lastPrinted>2017-01-13T19:22:19Z</cp:lastPrinted>
  <dcterms:created xsi:type="dcterms:W3CDTF">2017-01-12T21:43:49Z</dcterms:created>
  <dcterms:modified xsi:type="dcterms:W3CDTF">2017-05-01T03:02:01Z</dcterms:modified>
</cp:coreProperties>
</file>