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mc:AlternateContent xmlns:mc="http://schemas.openxmlformats.org/markup-compatibility/2006">
    <mc:Choice Requires="x15">
      <x15ac:absPath xmlns:x15ac="http://schemas.microsoft.com/office/spreadsheetml/2010/11/ac" url="https://d.docs.live.net/a37079e7ccb5967d/Documents/Etudes/Ecole_ingenieur_Phelma/2A/Projet_2A_ZIGBEE/LNA/"/>
    </mc:Choice>
  </mc:AlternateContent>
  <xr:revisionPtr revIDLastSave="1538" documentId="8_{728B5581-7C89-481B-B422-C5CF7A0A2D39}" xr6:coauthVersionLast="47" xr6:coauthVersionMax="47" xr10:uidLastSave="{46B04B96-2E6F-4798-BD3C-60C03F48308A}"/>
  <bookViews>
    <workbookView xWindow="-120" yWindow="-120" windowWidth="29040" windowHeight="15720" firstSheet="8" activeTab="4" xr2:uid="{00000000-000D-0000-FFFF-FFFF00000000}"/>
  </bookViews>
  <sheets>
    <sheet name="paramètres techno" sheetId="4" r:id="rId1"/>
    <sheet name="Schéma - LNA" sheetId="2" r:id="rId2"/>
    <sheet name="Dimensionnement LNA inductances" sheetId="1" r:id="rId3"/>
    <sheet name="adptation_sortie" sheetId="5" r:id="rId4"/>
    <sheet name="Dimens LNA 2" sheetId="3" r:id="rId5"/>
    <sheet name="Point de compre LNA-Grille-com" sheetId="6" r:id="rId6"/>
    <sheet name="IIP3 LNA-Grille" sheetId="11" r:id="rId7"/>
    <sheet name="Point de compre - LNA-Ind-Degen" sheetId="10" r:id="rId8"/>
    <sheet name="Point de compression LNA+mixer" sheetId="7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3" l="1"/>
  <c r="H2" i="3"/>
  <c r="W3" i="3"/>
  <c r="C3" i="11"/>
  <c r="C2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J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" i="11"/>
  <c r="G2" i="11"/>
  <c r="H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N2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J3" i="11"/>
  <c r="M3" i="11" s="1"/>
  <c r="J4" i="11"/>
  <c r="M4" i="11" s="1"/>
  <c r="J5" i="11"/>
  <c r="M5" i="11" s="1"/>
  <c r="J6" i="11"/>
  <c r="M6" i="11" s="1"/>
  <c r="J7" i="11"/>
  <c r="M7" i="11" s="1"/>
  <c r="J8" i="11"/>
  <c r="M8" i="11" s="1"/>
  <c r="J9" i="11"/>
  <c r="M9" i="11" s="1"/>
  <c r="J10" i="11"/>
  <c r="M10" i="11" s="1"/>
  <c r="J11" i="11"/>
  <c r="M11" i="11" s="1"/>
  <c r="J12" i="11"/>
  <c r="M12" i="11" s="1"/>
  <c r="J13" i="11"/>
  <c r="M13" i="11" s="1"/>
  <c r="J14" i="11"/>
  <c r="M14" i="11" s="1"/>
  <c r="J15" i="11"/>
  <c r="M15" i="11" s="1"/>
  <c r="J16" i="11"/>
  <c r="M16" i="11" s="1"/>
  <c r="J17" i="11"/>
  <c r="M17" i="11" s="1"/>
  <c r="J18" i="11"/>
  <c r="M18" i="11" s="1"/>
  <c r="J19" i="11"/>
  <c r="M19" i="11" s="1"/>
  <c r="J20" i="11"/>
  <c r="M20" i="11" s="1"/>
  <c r="J21" i="11"/>
  <c r="M21" i="11" s="1"/>
  <c r="J22" i="11"/>
  <c r="M22" i="11" s="1"/>
  <c r="J23" i="11"/>
  <c r="M23" i="11" s="1"/>
  <c r="J24" i="11"/>
  <c r="M24" i="11" s="1"/>
  <c r="J25" i="11"/>
  <c r="M25" i="11" s="1"/>
  <c r="J26" i="11"/>
  <c r="M26" i="11" s="1"/>
  <c r="J27" i="11"/>
  <c r="M27" i="11" s="1"/>
  <c r="G13" i="7"/>
  <c r="G29" i="7"/>
  <c r="D5" i="7"/>
  <c r="B20" i="10"/>
  <c r="J20" i="10" s="1"/>
  <c r="E20" i="10"/>
  <c r="F20" i="10"/>
  <c r="G20" i="10"/>
  <c r="H20" i="10"/>
  <c r="B21" i="10"/>
  <c r="J21" i="10" s="1"/>
  <c r="E21" i="10"/>
  <c r="F21" i="10"/>
  <c r="G21" i="10"/>
  <c r="H21" i="10" s="1"/>
  <c r="B22" i="10"/>
  <c r="E22" i="10"/>
  <c r="F22" i="10" s="1"/>
  <c r="J22" i="10" s="1"/>
  <c r="B23" i="10"/>
  <c r="E23" i="10"/>
  <c r="F23" i="10"/>
  <c r="G23" i="10"/>
  <c r="H23" i="10"/>
  <c r="J23" i="10"/>
  <c r="B24" i="10"/>
  <c r="E24" i="10"/>
  <c r="F24" i="10" s="1"/>
  <c r="G24" i="10"/>
  <c r="H24" i="10" s="1"/>
  <c r="J24" i="10"/>
  <c r="B25" i="10"/>
  <c r="E25" i="10"/>
  <c r="F25" i="10" s="1"/>
  <c r="B26" i="10"/>
  <c r="E26" i="10"/>
  <c r="G26" i="10" s="1"/>
  <c r="H26" i="10" s="1"/>
  <c r="F26" i="10"/>
  <c r="J26" i="10"/>
  <c r="B27" i="10"/>
  <c r="J27" i="10" s="1"/>
  <c r="E27" i="10"/>
  <c r="F27" i="10" s="1"/>
  <c r="G27" i="10"/>
  <c r="H27" i="10" s="1"/>
  <c r="B28" i="10"/>
  <c r="E28" i="10"/>
  <c r="F28" i="10" s="1"/>
  <c r="J28" i="10" s="1"/>
  <c r="B29" i="10"/>
  <c r="J29" i="10" s="1"/>
  <c r="E29" i="10"/>
  <c r="F29" i="10"/>
  <c r="G29" i="10"/>
  <c r="H29" i="10" s="1"/>
  <c r="B30" i="10"/>
  <c r="E30" i="10"/>
  <c r="F30" i="10" s="1"/>
  <c r="J30" i="10" s="1"/>
  <c r="B31" i="10"/>
  <c r="E31" i="10"/>
  <c r="G31" i="10" s="1"/>
  <c r="H31" i="10" s="1"/>
  <c r="F31" i="10"/>
  <c r="J31" i="10"/>
  <c r="B32" i="10"/>
  <c r="E32" i="10"/>
  <c r="F32" i="10" s="1"/>
  <c r="G32" i="10"/>
  <c r="H32" i="10" s="1"/>
  <c r="B33" i="10"/>
  <c r="J33" i="10" s="1"/>
  <c r="E33" i="10"/>
  <c r="F33" i="10" s="1"/>
  <c r="M20" i="10"/>
  <c r="P20" i="10"/>
  <c r="Q20" i="10" s="1"/>
  <c r="M21" i="10"/>
  <c r="P21" i="10"/>
  <c r="Q21" i="10" s="1"/>
  <c r="M22" i="10"/>
  <c r="P22" i="10"/>
  <c r="Q22" i="10" s="1"/>
  <c r="M23" i="10"/>
  <c r="P23" i="10"/>
  <c r="Q23" i="10" s="1"/>
  <c r="R23" i="10"/>
  <c r="S23" i="10" s="1"/>
  <c r="M24" i="10"/>
  <c r="P24" i="10"/>
  <c r="Q24" i="10" s="1"/>
  <c r="R24" i="10"/>
  <c r="S24" i="10" s="1"/>
  <c r="M25" i="10"/>
  <c r="P25" i="10"/>
  <c r="R25" i="10" s="1"/>
  <c r="S25" i="10" s="1"/>
  <c r="M26" i="10"/>
  <c r="P26" i="10"/>
  <c r="Q26" i="10" s="1"/>
  <c r="M27" i="10"/>
  <c r="P27" i="10"/>
  <c r="Q27" i="10" s="1"/>
  <c r="M28" i="10"/>
  <c r="P28" i="10"/>
  <c r="R28" i="10" s="1"/>
  <c r="S28" i="10" s="1"/>
  <c r="M29" i="10"/>
  <c r="P29" i="10"/>
  <c r="Q29" i="10" s="1"/>
  <c r="M30" i="10"/>
  <c r="P30" i="10"/>
  <c r="Q30" i="10" s="1"/>
  <c r="M31" i="10"/>
  <c r="P31" i="10"/>
  <c r="R31" i="10" s="1"/>
  <c r="S31" i="10" s="1"/>
  <c r="M32" i="10"/>
  <c r="P32" i="10"/>
  <c r="Q32" i="10" s="1"/>
  <c r="M33" i="10"/>
  <c r="T33" i="10" s="1"/>
  <c r="P33" i="10"/>
  <c r="R33" i="10" s="1"/>
  <c r="S33" i="10" s="1"/>
  <c r="E19" i="10"/>
  <c r="E6" i="10"/>
  <c r="P5" i="10"/>
  <c r="N27" i="11" l="1"/>
  <c r="H27" i="11"/>
  <c r="N26" i="11"/>
  <c r="H26" i="11"/>
  <c r="N25" i="11"/>
  <c r="H25" i="11"/>
  <c r="N24" i="11"/>
  <c r="H24" i="11"/>
  <c r="N23" i="11"/>
  <c r="H23" i="11"/>
  <c r="N22" i="11"/>
  <c r="H22" i="11"/>
  <c r="N21" i="11"/>
  <c r="H21" i="11"/>
  <c r="N20" i="11"/>
  <c r="H20" i="11"/>
  <c r="N19" i="11"/>
  <c r="H19" i="11"/>
  <c r="N18" i="11"/>
  <c r="H18" i="11"/>
  <c r="N17" i="11"/>
  <c r="H17" i="11"/>
  <c r="N16" i="11"/>
  <c r="H16" i="11"/>
  <c r="N15" i="11"/>
  <c r="H15" i="11"/>
  <c r="N14" i="11"/>
  <c r="H14" i="11"/>
  <c r="N13" i="11"/>
  <c r="H13" i="11"/>
  <c r="N12" i="11"/>
  <c r="H12" i="11"/>
  <c r="N11" i="11"/>
  <c r="H11" i="11"/>
  <c r="N10" i="11"/>
  <c r="H10" i="11"/>
  <c r="N9" i="11"/>
  <c r="H9" i="11"/>
  <c r="N8" i="11"/>
  <c r="H8" i="11"/>
  <c r="N7" i="11"/>
  <c r="H7" i="11"/>
  <c r="N6" i="11"/>
  <c r="H6" i="11"/>
  <c r="N5" i="11"/>
  <c r="H5" i="11"/>
  <c r="N4" i="11"/>
  <c r="H4" i="11"/>
  <c r="N3" i="11"/>
  <c r="H3" i="11"/>
  <c r="M2" i="11"/>
  <c r="O2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U26" i="10"/>
  <c r="R26" i="10"/>
  <c r="S26" i="10" s="1"/>
  <c r="Q28" i="10"/>
  <c r="U22" i="10"/>
  <c r="J25" i="10"/>
  <c r="J32" i="10"/>
  <c r="G33" i="10"/>
  <c r="H33" i="10" s="1"/>
  <c r="G25" i="10"/>
  <c r="H25" i="10" s="1"/>
  <c r="Q31" i="10"/>
  <c r="U31" i="10" s="1"/>
  <c r="U28" i="10"/>
  <c r="Q33" i="10"/>
  <c r="U33" i="10" s="1"/>
  <c r="G28" i="10"/>
  <c r="H28" i="10" s="1"/>
  <c r="Q25" i="10"/>
  <c r="U25" i="10" s="1"/>
  <c r="G22" i="10"/>
  <c r="H22" i="10" s="1"/>
  <c r="U23" i="10"/>
  <c r="G30" i="10"/>
  <c r="H30" i="10" s="1"/>
  <c r="R32" i="10"/>
  <c r="S32" i="10" s="1"/>
  <c r="R29" i="10"/>
  <c r="S29" i="10" s="1"/>
  <c r="U30" i="10"/>
  <c r="U27" i="10"/>
  <c r="U32" i="10"/>
  <c r="U24" i="10"/>
  <c r="U21" i="10"/>
  <c r="U29" i="10"/>
  <c r="U20" i="10"/>
  <c r="R27" i="10"/>
  <c r="S27" i="10" s="1"/>
  <c r="R20" i="10"/>
  <c r="S20" i="10" s="1"/>
  <c r="R21" i="10"/>
  <c r="S21" i="10" s="1"/>
  <c r="R30" i="10"/>
  <c r="S30" i="10" s="1"/>
  <c r="R22" i="10"/>
  <c r="S22" i="10" s="1"/>
  <c r="P19" i="10"/>
  <c r="R19" i="10" s="1"/>
  <c r="S19" i="10" s="1"/>
  <c r="M19" i="10"/>
  <c r="P18" i="10"/>
  <c r="R18" i="10" s="1"/>
  <c r="S18" i="10" s="1"/>
  <c r="M18" i="10"/>
  <c r="P17" i="10"/>
  <c r="Q17" i="10" s="1"/>
  <c r="M17" i="10"/>
  <c r="P16" i="10"/>
  <c r="R16" i="10" s="1"/>
  <c r="S16" i="10" s="1"/>
  <c r="M16" i="10"/>
  <c r="P15" i="10"/>
  <c r="R15" i="10" s="1"/>
  <c r="S15" i="10" s="1"/>
  <c r="M15" i="10"/>
  <c r="P14" i="10"/>
  <c r="Q14" i="10" s="1"/>
  <c r="M14" i="10"/>
  <c r="P13" i="10"/>
  <c r="Q13" i="10" s="1"/>
  <c r="M13" i="10"/>
  <c r="P12" i="10"/>
  <c r="R12" i="10" s="1"/>
  <c r="S12" i="10" s="1"/>
  <c r="M12" i="10"/>
  <c r="P11" i="10"/>
  <c r="R11" i="10" s="1"/>
  <c r="S11" i="10" s="1"/>
  <c r="M11" i="10"/>
  <c r="P10" i="10"/>
  <c r="R10" i="10" s="1"/>
  <c r="S10" i="10" s="1"/>
  <c r="M10" i="10"/>
  <c r="P9" i="10"/>
  <c r="Q9" i="10" s="1"/>
  <c r="M9" i="10"/>
  <c r="P8" i="10"/>
  <c r="R8" i="10" s="1"/>
  <c r="S8" i="10" s="1"/>
  <c r="M8" i="10"/>
  <c r="P7" i="10"/>
  <c r="R7" i="10" s="1"/>
  <c r="S7" i="10" s="1"/>
  <c r="M7" i="10"/>
  <c r="P6" i="10"/>
  <c r="R6" i="10" s="1"/>
  <c r="S6" i="10" s="1"/>
  <c r="M6" i="10"/>
  <c r="Q5" i="10"/>
  <c r="M5" i="10"/>
  <c r="P4" i="10"/>
  <c r="R4" i="10" s="1"/>
  <c r="S4" i="10" s="1"/>
  <c r="M4" i="10"/>
  <c r="E9" i="10"/>
  <c r="F9" i="10" s="1"/>
  <c r="E4" i="10"/>
  <c r="F4" i="10" s="1"/>
  <c r="E5" i="10"/>
  <c r="F5" i="10" s="1"/>
  <c r="F6" i="10"/>
  <c r="E7" i="10"/>
  <c r="F7" i="10" s="1"/>
  <c r="E8" i="10"/>
  <c r="G8" i="10" s="1"/>
  <c r="H8" i="10" s="1"/>
  <c r="E10" i="10"/>
  <c r="G10" i="10" s="1"/>
  <c r="H10" i="10" s="1"/>
  <c r="E11" i="10"/>
  <c r="F11" i="10" s="1"/>
  <c r="J11" i="10" s="1"/>
  <c r="E12" i="10"/>
  <c r="F12" i="10" s="1"/>
  <c r="E13" i="10"/>
  <c r="G13" i="10" s="1"/>
  <c r="H13" i="10" s="1"/>
  <c r="E14" i="10"/>
  <c r="G14" i="10" s="1"/>
  <c r="H14" i="10" s="1"/>
  <c r="E15" i="10"/>
  <c r="G15" i="10" s="1"/>
  <c r="H15" i="10" s="1"/>
  <c r="E16" i="10"/>
  <c r="G16" i="10" s="1"/>
  <c r="H16" i="10" s="1"/>
  <c r="E17" i="10"/>
  <c r="F17" i="10" s="1"/>
  <c r="E18" i="10"/>
  <c r="F18" i="10" s="1"/>
  <c r="F19" i="10"/>
  <c r="J19" i="10" s="1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4" i="10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3" i="7"/>
  <c r="D4" i="7"/>
  <c r="J5" i="7"/>
  <c r="K5" i="7" s="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" i="7"/>
  <c r="B4" i="7"/>
  <c r="E4" i="7" s="1"/>
  <c r="B5" i="7"/>
  <c r="E5" i="7" s="1"/>
  <c r="F5" i="7" s="1"/>
  <c r="B6" i="7"/>
  <c r="E6" i="7" s="1"/>
  <c r="B7" i="7"/>
  <c r="E7" i="7" s="1"/>
  <c r="B8" i="7"/>
  <c r="E8" i="7" s="1"/>
  <c r="B9" i="7"/>
  <c r="E9" i="7" s="1"/>
  <c r="B10" i="7"/>
  <c r="E10" i="7" s="1"/>
  <c r="B11" i="7"/>
  <c r="E11" i="7" s="1"/>
  <c r="B12" i="7"/>
  <c r="E12" i="7" s="1"/>
  <c r="B13" i="7"/>
  <c r="E13" i="7" s="1"/>
  <c r="B14" i="7"/>
  <c r="E14" i="7" s="1"/>
  <c r="B15" i="7"/>
  <c r="E15" i="7" s="1"/>
  <c r="B16" i="7"/>
  <c r="E16" i="7" s="1"/>
  <c r="B17" i="7"/>
  <c r="E17" i="7" s="1"/>
  <c r="B18" i="7"/>
  <c r="E18" i="7" s="1"/>
  <c r="B19" i="7"/>
  <c r="E19" i="7" s="1"/>
  <c r="B20" i="7"/>
  <c r="E20" i="7" s="1"/>
  <c r="B21" i="7"/>
  <c r="E21" i="7" s="1"/>
  <c r="B22" i="7"/>
  <c r="E22" i="7" s="1"/>
  <c r="B23" i="7"/>
  <c r="E23" i="7" s="1"/>
  <c r="B24" i="7"/>
  <c r="E24" i="7" s="1"/>
  <c r="B25" i="7"/>
  <c r="E25" i="7" s="1"/>
  <c r="B26" i="7"/>
  <c r="E26" i="7" s="1"/>
  <c r="B27" i="7"/>
  <c r="E27" i="7" s="1"/>
  <c r="B28" i="7"/>
  <c r="E28" i="7" s="1"/>
  <c r="B29" i="7"/>
  <c r="E29" i="7" s="1"/>
  <c r="B3" i="7"/>
  <c r="E3" i="7" s="1"/>
  <c r="G28" i="7"/>
  <c r="G27" i="7"/>
  <c r="G26" i="7"/>
  <c r="G25" i="7"/>
  <c r="G24" i="7"/>
  <c r="G23" i="7"/>
  <c r="G22" i="7"/>
  <c r="L21" i="7"/>
  <c r="G21" i="7"/>
  <c r="L20" i="7"/>
  <c r="G20" i="7"/>
  <c r="L19" i="7"/>
  <c r="G19" i="7"/>
  <c r="L18" i="7"/>
  <c r="G18" i="7"/>
  <c r="L17" i="7"/>
  <c r="G17" i="7"/>
  <c r="L16" i="7"/>
  <c r="G16" i="7"/>
  <c r="L15" i="7"/>
  <c r="G15" i="7"/>
  <c r="L14" i="7"/>
  <c r="G14" i="7"/>
  <c r="L13" i="7"/>
  <c r="L12" i="7"/>
  <c r="G12" i="7"/>
  <c r="L11" i="7"/>
  <c r="G11" i="7"/>
  <c r="L10" i="7"/>
  <c r="G10" i="7"/>
  <c r="L9" i="7"/>
  <c r="G9" i="7"/>
  <c r="L8" i="7"/>
  <c r="G8" i="7"/>
  <c r="L7" i="7"/>
  <c r="G7" i="7"/>
  <c r="L6" i="7"/>
  <c r="G6" i="7"/>
  <c r="L5" i="7"/>
  <c r="G5" i="7"/>
  <c r="L4" i="7"/>
  <c r="G4" i="7"/>
  <c r="L3" i="7"/>
  <c r="G3" i="7"/>
  <c r="C4" i="6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" i="6"/>
  <c r="D3" i="6" s="1"/>
  <c r="C50" i="6"/>
  <c r="D50" i="6" s="1"/>
  <c r="C49" i="6"/>
  <c r="D49" i="6" s="1"/>
  <c r="C48" i="6"/>
  <c r="D48" i="6" s="1"/>
  <c r="C47" i="6"/>
  <c r="D47" i="6" s="1"/>
  <c r="C46" i="6"/>
  <c r="D46" i="6" s="1"/>
  <c r="C45" i="6"/>
  <c r="D45" i="6" s="1"/>
  <c r="C44" i="6"/>
  <c r="D44" i="6" s="1"/>
  <c r="C43" i="6"/>
  <c r="D43" i="6" s="1"/>
  <c r="C42" i="6"/>
  <c r="D42" i="6" s="1"/>
  <c r="C41" i="6"/>
  <c r="D41" i="6" s="1"/>
  <c r="C40" i="6"/>
  <c r="D40" i="6" s="1"/>
  <c r="C39" i="6"/>
  <c r="D39" i="6" s="1"/>
  <c r="C38" i="6"/>
  <c r="D38" i="6" s="1"/>
  <c r="C37" i="6"/>
  <c r="D37" i="6" s="1"/>
  <c r="C36" i="6"/>
  <c r="D36" i="6" s="1"/>
  <c r="C35" i="6"/>
  <c r="D35" i="6" s="1"/>
  <c r="C34" i="6"/>
  <c r="D34" i="6" s="1"/>
  <c r="C33" i="6"/>
  <c r="D33" i="6" s="1"/>
  <c r="C32" i="6"/>
  <c r="D32" i="6" s="1"/>
  <c r="C31" i="6"/>
  <c r="D31" i="6" s="1"/>
  <c r="C30" i="6"/>
  <c r="D30" i="6" s="1"/>
  <c r="B10" i="3"/>
  <c r="E2" i="5"/>
  <c r="B5" i="5" s="1"/>
  <c r="B6" i="5" s="1"/>
  <c r="J3" i="7" l="1"/>
  <c r="F3" i="7"/>
  <c r="F29" i="7"/>
  <c r="F28" i="7"/>
  <c r="F27" i="7"/>
  <c r="F26" i="7"/>
  <c r="F25" i="7"/>
  <c r="F24" i="7"/>
  <c r="F23" i="7"/>
  <c r="F22" i="7"/>
  <c r="J21" i="7"/>
  <c r="F21" i="7"/>
  <c r="J20" i="7"/>
  <c r="F20" i="7"/>
  <c r="J19" i="7"/>
  <c r="F19" i="7"/>
  <c r="J18" i="7"/>
  <c r="F18" i="7"/>
  <c r="J17" i="7"/>
  <c r="F17" i="7"/>
  <c r="J16" i="7"/>
  <c r="F16" i="7"/>
  <c r="J15" i="7"/>
  <c r="F15" i="7"/>
  <c r="J14" i="7"/>
  <c r="F14" i="7"/>
  <c r="J13" i="7"/>
  <c r="F13" i="7"/>
  <c r="J12" i="7"/>
  <c r="F12" i="7"/>
  <c r="J11" i="7"/>
  <c r="F11" i="7"/>
  <c r="J10" i="7"/>
  <c r="F10" i="7"/>
  <c r="J9" i="7"/>
  <c r="F9" i="7"/>
  <c r="J8" i="7"/>
  <c r="F8" i="7"/>
  <c r="J7" i="7"/>
  <c r="F7" i="7"/>
  <c r="J6" i="7"/>
  <c r="F6" i="7"/>
  <c r="J4" i="7"/>
  <c r="F4" i="7"/>
  <c r="K3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4" i="7"/>
  <c r="U9" i="10"/>
  <c r="U5" i="10"/>
  <c r="U13" i="10"/>
  <c r="U17" i="10"/>
  <c r="J18" i="10"/>
  <c r="J7" i="10"/>
  <c r="J17" i="10"/>
  <c r="J5" i="10"/>
  <c r="U14" i="10"/>
  <c r="J12" i="10"/>
  <c r="J9" i="10"/>
  <c r="F16" i="10"/>
  <c r="J16" i="10" s="1"/>
  <c r="R9" i="10"/>
  <c r="Q18" i="10"/>
  <c r="U18" i="10" s="1"/>
  <c r="Q15" i="10"/>
  <c r="U15" i="10" s="1"/>
  <c r="F15" i="10"/>
  <c r="J15" i="10" s="1"/>
  <c r="F13" i="10"/>
  <c r="J13" i="10" s="1"/>
  <c r="R14" i="10"/>
  <c r="S14" i="10" s="1"/>
  <c r="Q11" i="10"/>
  <c r="U11" i="10" s="1"/>
  <c r="R13" i="10"/>
  <c r="S13" i="10" s="1"/>
  <c r="G6" i="10"/>
  <c r="H6" i="10" s="1"/>
  <c r="G7" i="10"/>
  <c r="H7" i="10" s="1"/>
  <c r="G5" i="10"/>
  <c r="H5" i="10" s="1"/>
  <c r="R17" i="10"/>
  <c r="S17" i="10" s="1"/>
  <c r="Q19" i="10"/>
  <c r="U19" i="10" s="1"/>
  <c r="G19" i="10"/>
  <c r="H19" i="10" s="1"/>
  <c r="R5" i="10"/>
  <c r="S5" i="10" s="1"/>
  <c r="Q7" i="10"/>
  <c r="U7" i="10" s="1"/>
  <c r="Q10" i="10"/>
  <c r="U10" i="10" s="1"/>
  <c r="G18" i="10"/>
  <c r="H18" i="10" s="1"/>
  <c r="G17" i="10"/>
  <c r="H17" i="10" s="1"/>
  <c r="Q6" i="10"/>
  <c r="U6" i="10" s="1"/>
  <c r="Q4" i="10"/>
  <c r="U4" i="10" s="1"/>
  <c r="Q8" i="10"/>
  <c r="U8" i="10" s="1"/>
  <c r="Q12" i="10"/>
  <c r="U12" i="10" s="1"/>
  <c r="Q16" i="10"/>
  <c r="U16" i="10" s="1"/>
  <c r="G9" i="10"/>
  <c r="G4" i="10"/>
  <c r="H4" i="10" s="1"/>
  <c r="F14" i="10"/>
  <c r="J14" i="10" s="1"/>
  <c r="G12" i="10"/>
  <c r="H12" i="10" s="1"/>
  <c r="G11" i="10"/>
  <c r="H11" i="10" s="1"/>
  <c r="F10" i="10"/>
  <c r="J10" i="10" s="1"/>
  <c r="F8" i="10"/>
  <c r="J8" i="10" s="1"/>
  <c r="J6" i="10"/>
  <c r="J4" i="10"/>
  <c r="E5" i="3"/>
  <c r="R2" i="3"/>
  <c r="R3" i="3"/>
  <c r="K6" i="3"/>
  <c r="M5" i="1"/>
  <c r="C10" i="1" s="1"/>
  <c r="F22" i="1" s="1"/>
  <c r="G5" i="3"/>
  <c r="N14" i="1"/>
  <c r="P17" i="1"/>
  <c r="B7" i="3"/>
  <c r="N5" i="1"/>
  <c r="N19" i="1" s="1"/>
  <c r="B3" i="3"/>
  <c r="J5" i="1"/>
  <c r="S9" i="10" l="1"/>
  <c r="S34" i="10" s="1"/>
  <c r="R34" i="10"/>
  <c r="H9" i="10"/>
  <c r="H34" i="10" s="1"/>
  <c r="G34" i="10"/>
  <c r="F2" i="3"/>
  <c r="K11" i="3"/>
  <c r="K8" i="3"/>
  <c r="K9" i="3" s="1"/>
  <c r="M3" i="3" s="1"/>
  <c r="M4" i="3"/>
  <c r="M5" i="3" s="1"/>
  <c r="G8" i="3"/>
  <c r="E10" i="1"/>
  <c r="C2" i="4" l="1"/>
  <c r="D2" i="4"/>
  <c r="E2" i="4"/>
  <c r="F2" i="4"/>
  <c r="J2" i="4" s="1"/>
  <c r="G2" i="4"/>
  <c r="F12" i="3" s="1"/>
  <c r="H2" i="4"/>
  <c r="E8" i="3" s="1"/>
  <c r="C20" i="4"/>
  <c r="D20" i="4"/>
  <c r="E20" i="4"/>
  <c r="F20" i="4"/>
  <c r="G20" i="4"/>
  <c r="H20" i="4"/>
  <c r="J20" i="4"/>
  <c r="B23" i="4"/>
  <c r="C23" i="4" s="1"/>
  <c r="B29" i="4" l="1"/>
  <c r="B5" i="4"/>
  <c r="C5" i="4"/>
  <c r="B8" i="4"/>
  <c r="B17" i="4"/>
  <c r="C17" i="4" s="1"/>
  <c r="B35" i="4"/>
  <c r="C35" i="4" s="1"/>
  <c r="B32" i="4"/>
  <c r="B26" i="4"/>
  <c r="C26" i="4" s="1"/>
  <c r="X5" i="1"/>
  <c r="Y5" i="1" s="1"/>
  <c r="Z5" i="1" s="1"/>
  <c r="I5" i="1"/>
  <c r="S4" i="1" l="1"/>
  <c r="D10" i="1"/>
  <c r="I22" i="1"/>
  <c r="Q4" i="1"/>
  <c r="B11" i="4"/>
  <c r="C8" i="4"/>
  <c r="D12" i="3"/>
  <c r="E12" i="3" s="1"/>
  <c r="P4" i="1"/>
  <c r="H10" i="1"/>
  <c r="I10" i="1" s="1"/>
  <c r="K10" i="1" s="1"/>
  <c r="D22" i="1" s="1"/>
  <c r="G22" i="1" s="1"/>
  <c r="AA5" i="1"/>
  <c r="AC5" i="1" s="1"/>
  <c r="B14" i="4" l="1"/>
  <c r="G12" i="3"/>
  <c r="N10" i="1"/>
  <c r="T4" i="1" s="1"/>
  <c r="U4" i="1" s="1"/>
  <c r="M10" i="1" s="1"/>
  <c r="L10" i="1" l="1"/>
  <c r="G2" i="3"/>
  <c r="E2" i="3"/>
</calcChain>
</file>

<file path=xl/sharedStrings.xml><?xml version="1.0" encoding="utf-8"?>
<sst xmlns="http://schemas.openxmlformats.org/spreadsheetml/2006/main" count="253" uniqueCount="189">
  <si>
    <t>Datasheet Nmos</t>
  </si>
  <si>
    <t>μn (cm²/V.s)</t>
  </si>
  <si>
    <t>Eps0(F/m)</t>
  </si>
  <si>
    <t>EpsR(F/m)</t>
  </si>
  <si>
    <t>Tox(nm)</t>
  </si>
  <si>
    <t>W(m)</t>
  </si>
  <si>
    <t>L(m)</t>
  </si>
  <si>
    <t>VT(V)</t>
  </si>
  <si>
    <t>VDD(V)</t>
  </si>
  <si>
    <t>IdSat(A)</t>
  </si>
  <si>
    <t>Calcul de Cox</t>
  </si>
  <si>
    <t>Cox(F/m²)</t>
  </si>
  <si>
    <t>Cox(fF/μm²)</t>
  </si>
  <si>
    <t>Calcul de Kn</t>
  </si>
  <si>
    <t>Kn(A/V²)</t>
  </si>
  <si>
    <t>Kn(uA/V²)</t>
  </si>
  <si>
    <t>Pour W=10e-6, on calcule les valeurs en dessous (W peut varier--&gt;dimensionnement  bloc)</t>
  </si>
  <si>
    <t>Calcul de Vdsat</t>
  </si>
  <si>
    <t>VDsat(V)</t>
  </si>
  <si>
    <t>Calcul de Gm</t>
  </si>
  <si>
    <t>Gm(A/V)</t>
  </si>
  <si>
    <t>Calcul de Capa</t>
  </si>
  <si>
    <t>Cgs/Cgd(F)</t>
  </si>
  <si>
    <t>Cgs/Cgd(fF)</t>
  </si>
  <si>
    <t>CMiller(fF/um)</t>
  </si>
  <si>
    <t>CJunction(fF/um²)</t>
  </si>
  <si>
    <t>Datasheet Pmos</t>
  </si>
  <si>
    <t>μp (cm²/V.s)</t>
  </si>
  <si>
    <t>Calcul de Kp</t>
  </si>
  <si>
    <t>Kp(A/V²)</t>
  </si>
  <si>
    <t>Kp(uA/V²)</t>
  </si>
  <si>
    <t>LNA inductances dégénératives</t>
  </si>
  <si>
    <t>LNA Grille commune</t>
  </si>
  <si>
    <t>Gain = gm.R1</t>
  </si>
  <si>
    <t>pareil SC</t>
  </si>
  <si>
    <t>Impédance entrée 1/gm</t>
  </si>
  <si>
    <t>--&gt; gm = 20mS</t>
  </si>
  <si>
    <t>pour avoir 50ohm</t>
  </si>
  <si>
    <t>R = 1kohm</t>
  </si>
  <si>
    <t>En diff plus de gain !</t>
  </si>
  <si>
    <t>Rfeedback ?</t>
  </si>
  <si>
    <t>(pas faisable avec parasite de L1)</t>
  </si>
  <si>
    <t>Dimmensionnement théorique (Methode Qe variante design)</t>
  </si>
  <si>
    <t>Cahier des Charges</t>
  </si>
  <si>
    <t>Linéaire</t>
  </si>
  <si>
    <t>Kn (A/V²)</t>
  </si>
  <si>
    <t>Cox (F/m²)</t>
  </si>
  <si>
    <r>
      <t>C</t>
    </r>
    <r>
      <rPr>
        <vertAlign val="subscript"/>
        <sz val="11"/>
        <color theme="1"/>
        <rFont val="Aptos Narrow"/>
        <family val="2"/>
        <scheme val="minor"/>
      </rPr>
      <t>gs,theorique, adapté50ohm</t>
    </r>
    <r>
      <rPr>
        <sz val="11"/>
        <color theme="1"/>
        <rFont val="Aptos Narrow"/>
        <family val="2"/>
        <scheme val="minor"/>
      </rPr>
      <t xml:space="preserve"> (F)</t>
    </r>
  </si>
  <si>
    <r>
      <t>f</t>
    </r>
    <r>
      <rPr>
        <vertAlign val="subscript"/>
        <sz val="11"/>
        <color theme="1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(Hz)</t>
    </r>
  </si>
  <si>
    <r>
      <t>ω</t>
    </r>
    <r>
      <rPr>
        <vertAlign val="subscript"/>
        <sz val="11"/>
        <color theme="1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(rad.s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>)</t>
    </r>
  </si>
  <si>
    <t>Méthode avec équation du 0,35µ</t>
  </si>
  <si>
    <t>F (dB)</t>
  </si>
  <si>
    <r>
      <t>Q</t>
    </r>
    <r>
      <rPr>
        <vertAlign val="subscript"/>
        <sz val="11"/>
        <color theme="1"/>
        <rFont val="Aptos Narrow"/>
        <family val="2"/>
        <scheme val="minor"/>
      </rPr>
      <t>e</t>
    </r>
  </si>
  <si>
    <t>γ</t>
  </si>
  <si>
    <r>
      <t>G</t>
    </r>
    <r>
      <rPr>
        <sz val="11"/>
        <color theme="1"/>
        <rFont val="Aptos Narrow"/>
        <family val="2"/>
        <scheme val="minor"/>
      </rPr>
      <t xml:space="preserve"> (dB)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</si>
  <si>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 xml:space="preserve"> (Ω)</t>
    </r>
  </si>
  <si>
    <r>
      <t>f</t>
    </r>
    <r>
      <rPr>
        <vertAlign val="sub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 xml:space="preserve"> (Hz)</t>
    </r>
  </si>
  <si>
    <r>
      <t>ω</t>
    </r>
    <r>
      <rPr>
        <vertAlign val="sub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 xml:space="preserve"> (rad.s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>)</t>
    </r>
  </si>
  <si>
    <t>L (H)</t>
  </si>
  <si>
    <t>BW (Hz)</t>
  </si>
  <si>
    <t>F</t>
  </si>
  <si>
    <t>Gv</t>
  </si>
  <si>
    <t>IIP3 (dBm)</t>
  </si>
  <si>
    <t>VeIP3 (V)</t>
  </si>
  <si>
    <t>Vgs-Vt (V)</t>
  </si>
  <si>
    <t>Ip (A)</t>
  </si>
  <si>
    <t>W/L</t>
  </si>
  <si>
    <t>L (m)</t>
  </si>
  <si>
    <t>W (m)</t>
  </si>
  <si>
    <t>gm (S)</t>
  </si>
  <si>
    <t>C (F)</t>
  </si>
  <si>
    <r>
      <t>R (</t>
    </r>
    <r>
      <rPr>
        <sz val="11"/>
        <color theme="1"/>
        <rFont val="Aptos Narrow"/>
        <family val="2"/>
      </rPr>
      <t>Ω</t>
    </r>
    <r>
      <rPr>
        <sz val="11"/>
        <color theme="1"/>
        <rFont val="Aptos Narrow"/>
        <family val="2"/>
        <scheme val="minor"/>
      </rPr>
      <t>)</t>
    </r>
  </si>
  <si>
    <r>
      <t>C</t>
    </r>
    <r>
      <rPr>
        <vertAlign val="subscript"/>
        <sz val="11"/>
        <color theme="1"/>
        <rFont val="Aptos Narrow"/>
        <family val="2"/>
        <scheme val="minor"/>
      </rPr>
      <t>gs</t>
    </r>
    <r>
      <rPr>
        <sz val="11"/>
        <color theme="1"/>
        <rFont val="Aptos Narrow"/>
        <family val="2"/>
        <scheme val="minor"/>
      </rPr>
      <t xml:space="preserve"> (F)</t>
    </r>
  </si>
  <si>
    <r>
      <t>L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(H)</t>
    </r>
  </si>
  <si>
    <r>
      <t>L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(H)</t>
    </r>
  </si>
  <si>
    <r>
      <t>C</t>
    </r>
    <r>
      <rPr>
        <vertAlign val="sub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 xml:space="preserve"> (F)</t>
    </r>
  </si>
  <si>
    <t>Conso (W)</t>
  </si>
  <si>
    <t>Dimensionnement Théorique (avec L2 fixé)</t>
  </si>
  <si>
    <t>Données fixes</t>
  </si>
  <si>
    <t>Détermination C0</t>
  </si>
  <si>
    <t>Détermination L1</t>
  </si>
  <si>
    <t>Co=</t>
  </si>
  <si>
    <t>C1C2/(C1+C2)</t>
  </si>
  <si>
    <t>C0=</t>
  </si>
  <si>
    <t>R=</t>
  </si>
  <si>
    <t>Rp(1+C2/C1)²</t>
  </si>
  <si>
    <t>Rp=</t>
  </si>
  <si>
    <t>C1=</t>
  </si>
  <si>
    <t>C2=</t>
  </si>
  <si>
    <t>Cahier des charges</t>
  </si>
  <si>
    <t>gm1 (S)</t>
  </si>
  <si>
    <t xml:space="preserve">Gain </t>
  </si>
  <si>
    <t>G(dB)enPuiss</t>
  </si>
  <si>
    <t>Réseau capacitif de sortie</t>
  </si>
  <si>
    <t>Calcul pour simu diff ampli</t>
  </si>
  <si>
    <t>Synthèse pour la dernière revue de projet</t>
  </si>
  <si>
    <t>k</t>
  </si>
  <si>
    <t>Lin</t>
  </si>
  <si>
    <t>Conso (A)</t>
  </si>
  <si>
    <t>Gain (Lin)</t>
  </si>
  <si>
    <t>Gain (dB)</t>
  </si>
  <si>
    <t>Zin (Ohm)</t>
  </si>
  <si>
    <t>Zout (Ohm)</t>
  </si>
  <si>
    <t>IIP3 (dB)</t>
  </si>
  <si>
    <t>Pt de comp (dB)</t>
  </si>
  <si>
    <t>Saturation (V)</t>
  </si>
  <si>
    <t xml:space="preserve">K </t>
  </si>
  <si>
    <t xml:space="preserve">Delta </t>
  </si>
  <si>
    <t>F (lin)</t>
  </si>
  <si>
    <t>Inductance 3n</t>
  </si>
  <si>
    <t>C2</t>
  </si>
  <si>
    <t>Zin</t>
  </si>
  <si>
    <t xml:space="preserve">Lout </t>
  </si>
  <si>
    <t>1,3m</t>
  </si>
  <si>
    <t>Adapté à 50</t>
  </si>
  <si>
    <t>-10.45&lt;Ve(dB)&lt;-7.95</t>
  </si>
  <si>
    <t xml:space="preserve">Ve (V) = 0,325 </t>
  </si>
  <si>
    <t>L1 (H)</t>
  </si>
  <si>
    <t>C1 (F)</t>
  </si>
  <si>
    <t>R1 (Ohm)</t>
  </si>
  <si>
    <t>Lb (H)</t>
  </si>
  <si>
    <t xml:space="preserve">Q </t>
  </si>
  <si>
    <t xml:space="preserve">Cp </t>
  </si>
  <si>
    <t xml:space="preserve">Zout </t>
  </si>
  <si>
    <t xml:space="preserve">L </t>
  </si>
  <si>
    <t>C1</t>
  </si>
  <si>
    <t>Rp</t>
  </si>
  <si>
    <t>G (lin)</t>
  </si>
  <si>
    <t>Vod (V)</t>
  </si>
  <si>
    <t>Vgs (V)</t>
  </si>
  <si>
    <t>Id1=Id2</t>
  </si>
  <si>
    <t>Conso</t>
  </si>
  <si>
    <t>Rs (Ω)</t>
  </si>
  <si>
    <t>Rapport des Q</t>
  </si>
  <si>
    <r>
      <rPr>
        <sz val="11"/>
        <color rgb="FF000000"/>
        <rFont val="Aptos Narrow"/>
        <scheme val="minor"/>
      </rPr>
      <t>f</t>
    </r>
    <r>
      <rPr>
        <vertAlign val="subscript"/>
        <sz val="11"/>
        <color rgb="FF000000"/>
        <rFont val="Aptos Narrow"/>
        <scheme val="minor"/>
      </rPr>
      <t>0</t>
    </r>
    <r>
      <rPr>
        <sz val="11"/>
        <color rgb="FF000000"/>
        <rFont val="Aptos Narrow"/>
        <scheme val="minor"/>
      </rPr>
      <t xml:space="preserve"> (Hz)</t>
    </r>
  </si>
  <si>
    <t>Q2</t>
  </si>
  <si>
    <r>
      <rPr>
        <sz val="11"/>
        <color rgb="FF000000"/>
        <rFont val="Aptos Narrow"/>
        <scheme val="minor"/>
      </rPr>
      <t>ω</t>
    </r>
    <r>
      <rPr>
        <vertAlign val="subscript"/>
        <sz val="11"/>
        <color rgb="FF000000"/>
        <rFont val="Aptos Narrow"/>
        <scheme val="minor"/>
      </rPr>
      <t>0</t>
    </r>
    <r>
      <rPr>
        <sz val="11"/>
        <color rgb="FF000000"/>
        <rFont val="Aptos Narrow"/>
        <scheme val="minor"/>
      </rPr>
      <t xml:space="preserve"> (rad.s</t>
    </r>
    <r>
      <rPr>
        <vertAlign val="superscript"/>
        <sz val="11"/>
        <color rgb="FF000000"/>
        <rFont val="Aptos Narrow"/>
        <scheme val="minor"/>
      </rPr>
      <t>-1</t>
    </r>
    <r>
      <rPr>
        <sz val="11"/>
        <color rgb="FF000000"/>
        <rFont val="Aptos Narrow"/>
        <scheme val="minor"/>
      </rPr>
      <t>)</t>
    </r>
  </si>
  <si>
    <t>M1 &amp; M2</t>
  </si>
  <si>
    <t>W</t>
  </si>
  <si>
    <t>L</t>
  </si>
  <si>
    <t>Cgs</t>
  </si>
  <si>
    <t>Gain</t>
  </si>
  <si>
    <t>Vin</t>
  </si>
  <si>
    <t>Rin (Ω)</t>
  </si>
  <si>
    <t>Ve (V)</t>
  </si>
  <si>
    <t>LNA solo (simu trans)</t>
  </si>
  <si>
    <t>Vout_LNA (V)</t>
  </si>
  <si>
    <t>Gain_LNA</t>
  </si>
  <si>
    <t>Gain_LNA (dB)</t>
  </si>
  <si>
    <t xml:space="preserve">Pin </t>
  </si>
  <si>
    <t>Pin (dB)</t>
  </si>
  <si>
    <t>Pfund_low</t>
  </si>
  <si>
    <t>Pfund_low (dB)</t>
  </si>
  <si>
    <t>Pfund_high</t>
  </si>
  <si>
    <t>Pfund (dB)</t>
  </si>
  <si>
    <t>Tan</t>
  </si>
  <si>
    <t>Pim3_low</t>
  </si>
  <si>
    <t>Pim3_low (dB)</t>
  </si>
  <si>
    <t>Pim3_high</t>
  </si>
  <si>
    <t>Pim3_high (dB)</t>
  </si>
  <si>
    <t>Pim3 (dB)</t>
  </si>
  <si>
    <t>IIP3</t>
  </si>
  <si>
    <t>Théorique (ne pas prendre en compte)</t>
  </si>
  <si>
    <t>Estimation du IIP3</t>
  </si>
  <si>
    <t>Point de compression</t>
  </si>
  <si>
    <t>-9dB</t>
  </si>
  <si>
    <t>IIP3 (théorique)</t>
  </si>
  <si>
    <t>pt compression - 9,6 dB</t>
  </si>
  <si>
    <t>IIP3 calculé</t>
  </si>
  <si>
    <t>a 0 dB</t>
  </si>
  <si>
    <t>SANS ADAPTATION SORTIE</t>
  </si>
  <si>
    <t>AVEC ADAPTATION SORTIE</t>
  </si>
  <si>
    <t>Ve</t>
  </si>
  <si>
    <t>Vout (c-c)</t>
  </si>
  <si>
    <t>Tangente Vout (dB)</t>
  </si>
  <si>
    <t>diff(Vout-tangente)</t>
  </si>
  <si>
    <t>dB</t>
  </si>
  <si>
    <t>Vout min</t>
  </si>
  <si>
    <t>Vout max</t>
  </si>
  <si>
    <t>GAIN</t>
  </si>
  <si>
    <t>Ve (dB)</t>
  </si>
  <si>
    <t>LNA + Mixer (FFT)</t>
  </si>
  <si>
    <t>Vout_LNA</t>
  </si>
  <si>
    <t>Vout_LNA (dB)</t>
  </si>
  <si>
    <t>Tangente</t>
  </si>
  <si>
    <t>Diff</t>
  </si>
  <si>
    <t>Vout_Mixer</t>
  </si>
  <si>
    <t>Vout_Mixer (dB)</t>
  </si>
  <si>
    <t>Gain_Mixer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</si>
</sst>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E+00"/>
    <numFmt numFmtId="165" formatCode="##0E+0"/>
    <numFmt numFmtId="166" formatCode="0.0E+00"/>
    <numFmt numFmtId="167" formatCode="_-* #,##0.000_-;\-* #,##0.000_-;_-* &quot;-&quot;??_-;_-@_-"/>
    <numFmt numFmtId="168" formatCode="_-* #,##0.0_-;\-* #,##0.0_-;_-* &quot;-&quot;?_-;_-@_-"/>
    <numFmt numFmtId="169" formatCode="0.000"/>
    <numFmt numFmtId="170" formatCode="_-* #,##0.000_-;\-* #,##0.000_-;_-* &quot;-&quot;???_-;_-@_-"/>
    <numFmt numFmtId="171" formatCode="##0.00E+0"/>
    <numFmt numFmtId="172" formatCode="0.0000"/>
  </numFmts>
  <fonts count="18"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vertAlign val="superscript"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scheme val="minor"/>
    </font>
    <font>
      <sz val="11"/>
      <color theme="1"/>
      <name val="Aptos Narrow"/>
    </font>
    <font>
      <sz val="11"/>
      <color rgb="FF000000"/>
      <name val="Aptos Narrow"/>
    </font>
    <font>
      <sz val="11"/>
      <color rgb="FF000000"/>
      <name val="Aptos Narrow"/>
      <scheme val="minor"/>
    </font>
    <font>
      <vertAlign val="subscript"/>
      <sz val="11"/>
      <color rgb="FF000000"/>
      <name val="Aptos Narrow"/>
      <scheme val="minor"/>
    </font>
    <font>
      <vertAlign val="superscript"/>
      <sz val="11"/>
      <color rgb="FF000000"/>
      <name val="Aptos Narrow"/>
      <scheme val="minor"/>
    </font>
    <font>
      <sz val="12"/>
      <color theme="1"/>
      <name val="Aptos Narrow"/>
      <family val="2"/>
      <scheme val="minor"/>
    </font>
    <font>
      <b/>
      <sz val="20"/>
      <color theme="2"/>
      <name val="Aptos Narrow"/>
      <family val="2"/>
      <scheme val="minor"/>
    </font>
    <font>
      <b/>
      <sz val="12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/>
  </cellStyleXfs>
  <cellXfs count="2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48" fontId="0" fillId="0" borderId="13" xfId="0" applyNumberFormat="1" applyBorder="1" applyAlignment="1">
      <alignment horizontal="center" vertical="center"/>
    </xf>
    <xf numFmtId="0" fontId="5" fillId="0" borderId="0" xfId="1"/>
    <xf numFmtId="0" fontId="6" fillId="0" borderId="18" xfId="1" applyFont="1" applyBorder="1"/>
    <xf numFmtId="2" fontId="6" fillId="0" borderId="18" xfId="1" applyNumberFormat="1" applyFont="1" applyBorder="1"/>
    <xf numFmtId="11" fontId="6" fillId="0" borderId="18" xfId="1" applyNumberFormat="1" applyFont="1" applyBorder="1"/>
    <xf numFmtId="0" fontId="6" fillId="7" borderId="18" xfId="1" applyFont="1" applyFill="1" applyBorder="1"/>
    <xf numFmtId="0" fontId="7" fillId="0" borderId="0" xfId="1" applyFont="1"/>
    <xf numFmtId="0" fontId="5" fillId="7" borderId="18" xfId="1" applyFill="1" applyBorder="1"/>
    <xf numFmtId="11" fontId="7" fillId="0" borderId="18" xfId="1" applyNumberFormat="1" applyFont="1" applyBorder="1"/>
    <xf numFmtId="0" fontId="6" fillId="8" borderId="0" xfId="1" applyFont="1" applyFill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65" fontId="0" fillId="0" borderId="11" xfId="0" applyNumberForma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6" fontId="0" fillId="0" borderId="36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48" fontId="0" fillId="0" borderId="17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1" fontId="0" fillId="0" borderId="26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/>
    </xf>
    <xf numFmtId="167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/>
    </xf>
    <xf numFmtId="0" fontId="0" fillId="0" borderId="29" xfId="0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169" fontId="0" fillId="0" borderId="29" xfId="0" applyNumberFormat="1" applyBorder="1" applyAlignment="1">
      <alignment horizontal="center" vertical="center"/>
    </xf>
    <xf numFmtId="43" fontId="0" fillId="0" borderId="29" xfId="0" applyNumberForma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43" fontId="0" fillId="0" borderId="0" xfId="0" applyNumberFormat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8" fillId="9" borderId="28" xfId="0" applyFont="1" applyFill="1" applyBorder="1" applyAlignment="1">
      <alignment horizontal="center" vertical="center"/>
    </xf>
    <xf numFmtId="0" fontId="9" fillId="9" borderId="28" xfId="0" applyFont="1" applyFill="1" applyBorder="1" applyAlignment="1">
      <alignment horizontal="center" vertical="center"/>
    </xf>
    <xf numFmtId="0" fontId="0" fillId="9" borderId="30" xfId="0" applyFill="1" applyBorder="1" applyAlignment="1">
      <alignment horizontal="center"/>
    </xf>
    <xf numFmtId="0" fontId="10" fillId="9" borderId="28" xfId="0" applyFont="1" applyFill="1" applyBorder="1" applyAlignment="1">
      <alignment horizontal="center" vertical="center"/>
    </xf>
    <xf numFmtId="11" fontId="0" fillId="0" borderId="29" xfId="0" applyNumberFormat="1" applyBorder="1" applyAlignment="1">
      <alignment horizontal="center"/>
    </xf>
    <xf numFmtId="170" fontId="0" fillId="0" borderId="0" xfId="0" applyNumberFormat="1" applyAlignment="1">
      <alignment horizontal="center"/>
    </xf>
    <xf numFmtId="0" fontId="0" fillId="9" borderId="28" xfId="0" applyFill="1" applyBorder="1" applyAlignment="1">
      <alignment horizontal="center"/>
    </xf>
    <xf numFmtId="169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 wrapText="1"/>
    </xf>
    <xf numFmtId="171" fontId="0" fillId="0" borderId="13" xfId="0" applyNumberFormat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6" fontId="0" fillId="0" borderId="40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48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wrapText="1"/>
    </xf>
    <xf numFmtId="171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1" fontId="0" fillId="0" borderId="32" xfId="0" applyNumberFormat="1" applyBorder="1" applyAlignment="1">
      <alignment horizontal="center"/>
    </xf>
    <xf numFmtId="11" fontId="0" fillId="0" borderId="38" xfId="0" applyNumberFormat="1" applyBorder="1" applyAlignment="1">
      <alignment horizontal="center"/>
    </xf>
    <xf numFmtId="170" fontId="0" fillId="0" borderId="35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9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31" xfId="0" applyBorder="1" applyAlignment="1">
      <alignment horizontal="center" vertical="center"/>
    </xf>
    <xf numFmtId="0" fontId="0" fillId="13" borderId="37" xfId="0" applyFill="1" applyBorder="1" applyAlignment="1">
      <alignment horizontal="center" wrapText="1"/>
    </xf>
    <xf numFmtId="0" fontId="0" fillId="13" borderId="30" xfId="0" applyFill="1" applyBorder="1" applyAlignment="1">
      <alignment horizontal="center"/>
    </xf>
    <xf numFmtId="0" fontId="0" fillId="13" borderId="33" xfId="0" applyFill="1" applyBorder="1" applyAlignment="1">
      <alignment horizontal="center"/>
    </xf>
    <xf numFmtId="0" fontId="0" fillId="13" borderId="37" xfId="0" applyFill="1" applyBorder="1" applyAlignment="1">
      <alignment horizontal="center"/>
    </xf>
    <xf numFmtId="0" fontId="0" fillId="13" borderId="28" xfId="0" applyFill="1" applyBorder="1" applyAlignment="1">
      <alignment horizontal="center"/>
    </xf>
    <xf numFmtId="0" fontId="0" fillId="11" borderId="0" xfId="0" applyFill="1" applyAlignment="1">
      <alignment horizontal="center" vertical="center"/>
    </xf>
    <xf numFmtId="11" fontId="0" fillId="0" borderId="29" xfId="0" applyNumberFormat="1" applyBorder="1" applyAlignment="1">
      <alignment horizontal="right"/>
    </xf>
    <xf numFmtId="0" fontId="0" fillId="4" borderId="28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0" borderId="18" xfId="0" applyBorder="1"/>
    <xf numFmtId="0" fontId="0" fillId="0" borderId="45" xfId="0" applyBorder="1"/>
    <xf numFmtId="0" fontId="4" fillId="3" borderId="46" xfId="0" applyFont="1" applyFill="1" applyBorder="1" applyAlignment="1">
      <alignment horizontal="center" vertical="center" wrapText="1"/>
    </xf>
    <xf numFmtId="0" fontId="0" fillId="0" borderId="44" xfId="0" applyBorder="1"/>
    <xf numFmtId="0" fontId="0" fillId="0" borderId="46" xfId="0" applyBorder="1"/>
    <xf numFmtId="0" fontId="0" fillId="0" borderId="47" xfId="0" applyBorder="1"/>
    <xf numFmtId="0" fontId="0" fillId="0" borderId="49" xfId="0" applyBorder="1"/>
    <xf numFmtId="0" fontId="4" fillId="3" borderId="48" xfId="0" applyFont="1" applyFill="1" applyBorder="1" applyAlignment="1">
      <alignment horizontal="center" vertical="center" wrapText="1"/>
    </xf>
    <xf numFmtId="0" fontId="0" fillId="0" borderId="43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51" xfId="0" applyBorder="1"/>
    <xf numFmtId="0" fontId="0" fillId="0" borderId="52" xfId="0" applyBorder="1"/>
    <xf numFmtId="0" fontId="0" fillId="14" borderId="18" xfId="0" applyFill="1" applyBorder="1"/>
    <xf numFmtId="0" fontId="4" fillId="12" borderId="25" xfId="0" applyFont="1" applyFill="1" applyBorder="1"/>
    <xf numFmtId="0" fontId="4" fillId="12" borderId="26" xfId="0" applyFont="1" applyFill="1" applyBorder="1"/>
    <xf numFmtId="0" fontId="4" fillId="12" borderId="27" xfId="0" applyFont="1" applyFill="1" applyBorder="1"/>
    <xf numFmtId="1" fontId="0" fillId="0" borderId="24" xfId="0" applyNumberFormat="1" applyBorder="1"/>
    <xf numFmtId="1" fontId="0" fillId="0" borderId="27" xfId="0" applyNumberFormat="1" applyBorder="1"/>
    <xf numFmtId="172" fontId="0" fillId="0" borderId="23" xfId="0" applyNumberFormat="1" applyBorder="1"/>
    <xf numFmtId="0" fontId="0" fillId="0" borderId="0" xfId="0" applyBorder="1"/>
    <xf numFmtId="1" fontId="0" fillId="0" borderId="0" xfId="0" applyNumberFormat="1" applyBorder="1"/>
    <xf numFmtId="172" fontId="0" fillId="0" borderId="25" xfId="0" applyNumberFormat="1" applyBorder="1"/>
    <xf numFmtId="0" fontId="0" fillId="0" borderId="24" xfId="0" applyFont="1" applyBorder="1"/>
    <xf numFmtId="0" fontId="0" fillId="0" borderId="54" xfId="0" applyBorder="1"/>
    <xf numFmtId="0" fontId="0" fillId="0" borderId="36" xfId="0" applyBorder="1"/>
    <xf numFmtId="0" fontId="4" fillId="6" borderId="18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23" xfId="0" applyFill="1" applyBorder="1"/>
    <xf numFmtId="0" fontId="16" fillId="17" borderId="19" xfId="0" applyFont="1" applyFill="1" applyBorder="1" applyAlignment="1"/>
    <xf numFmtId="0" fontId="13" fillId="4" borderId="5" xfId="0" applyFont="1" applyFill="1" applyBorder="1"/>
    <xf numFmtId="0" fontId="13" fillId="4" borderId="19" xfId="0" applyFont="1" applyFill="1" applyBorder="1"/>
    <xf numFmtId="0" fontId="0" fillId="0" borderId="25" xfId="0" applyFill="1" applyBorder="1"/>
    <xf numFmtId="0" fontId="17" fillId="0" borderId="28" xfId="0" applyFont="1" applyBorder="1"/>
    <xf numFmtId="0" fontId="17" fillId="0" borderId="30" xfId="0" applyFont="1" applyBorder="1"/>
    <xf numFmtId="0" fontId="0" fillId="0" borderId="55" xfId="0" applyBorder="1"/>
    <xf numFmtId="0" fontId="0" fillId="0" borderId="56" xfId="0" applyBorder="1" applyAlignment="1">
      <alignment wrapText="1"/>
    </xf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43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4" fillId="18" borderId="46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15" fillId="16" borderId="53" xfId="0" applyFont="1" applyFill="1" applyBorder="1" applyAlignment="1">
      <alignment horizontal="center"/>
    </xf>
    <xf numFmtId="0" fontId="4" fillId="3" borderId="48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4" fillId="10" borderId="4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4" borderId="37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0" fillId="12" borderId="34" xfId="0" applyFill="1" applyBorder="1" applyAlignment="1">
      <alignment horizontal="center"/>
    </xf>
    <xf numFmtId="0" fontId="0" fillId="12" borderId="35" xfId="0" applyFill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16" fillId="17" borderId="21" xfId="0" applyFont="1" applyFill="1" applyBorder="1" applyAlignment="1">
      <alignment horizontal="right"/>
    </xf>
    <xf numFmtId="0" fontId="15" fillId="16" borderId="5" xfId="0" applyFont="1" applyFill="1" applyBorder="1" applyAlignment="1">
      <alignment horizontal="center"/>
    </xf>
    <xf numFmtId="0" fontId="15" fillId="16" borderId="7" xfId="0" applyFont="1" applyFill="1" applyBorder="1" applyAlignment="1">
      <alignment horizontal="center"/>
    </xf>
    <xf numFmtId="0" fontId="15" fillId="16" borderId="6" xfId="0" applyFont="1" applyFill="1" applyBorder="1" applyAlignment="1">
      <alignment horizontal="center"/>
    </xf>
    <xf numFmtId="0" fontId="15" fillId="16" borderId="53" xfId="0" applyFont="1" applyFill="1" applyBorder="1" applyAlignment="1">
      <alignment horizontal="center"/>
    </xf>
    <xf numFmtId="0" fontId="15" fillId="16" borderId="36" xfId="0" applyFont="1" applyFill="1" applyBorder="1" applyAlignment="1">
      <alignment horizontal="center"/>
    </xf>
    <xf numFmtId="0" fontId="14" fillId="15" borderId="0" xfId="0" applyFont="1" applyFill="1" applyAlignment="1">
      <alignment horizontal="center"/>
    </xf>
    <xf numFmtId="0" fontId="4" fillId="3" borderId="48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64" xfId="0" applyFont="1" applyBorder="1" applyAlignment="1">
      <alignment horizontal="center"/>
    </xf>
    <xf numFmtId="0" fontId="4" fillId="0" borderId="65" xfId="0" applyFont="1" applyBorder="1" applyAlignment="1">
      <alignment horizontal="center"/>
    </xf>
    <xf numFmtId="0" fontId="4" fillId="0" borderId="66" xfId="0" applyFont="1" applyBorder="1" applyAlignment="1">
      <alignment horizontal="center"/>
    </xf>
    <xf numFmtId="0" fontId="4" fillId="0" borderId="58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/>
    </xf>
    <xf numFmtId="0" fontId="4" fillId="0" borderId="67" xfId="0" applyFont="1" applyFill="1" applyBorder="1" applyAlignment="1">
      <alignment horizontal="center"/>
    </xf>
    <xf numFmtId="0" fontId="0" fillId="0" borderId="59" xfId="0" applyFill="1" applyBorder="1" applyAlignment="1">
      <alignment horizontal="center"/>
    </xf>
    <xf numFmtId="0" fontId="0" fillId="0" borderId="60" xfId="0" applyFill="1" applyBorder="1" applyAlignment="1">
      <alignment horizontal="center"/>
    </xf>
    <xf numFmtId="2" fontId="0" fillId="0" borderId="60" xfId="0" applyNumberFormat="1" applyFill="1" applyBorder="1" applyAlignment="1">
      <alignment horizontal="center"/>
    </xf>
    <xf numFmtId="0" fontId="0" fillId="0" borderId="68" xfId="0" applyFill="1" applyBorder="1" applyAlignment="1">
      <alignment horizontal="center"/>
    </xf>
  </cellXfs>
  <cellStyles count="2">
    <cellStyle name="Normal" xfId="0" builtinId="0"/>
    <cellStyle name="Normal 2" xfId="1" xr:uid="{FB5D2B6C-19CD-4055-A3F6-F8986F20BD3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Saturation LNA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Vout en fct de Ve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'Point de compre LNA-Grille-com'!$A$3:$A$50</c:f>
              <c:numCache>
                <c:formatCode>General</c:formatCode>
                <c:ptCount val="48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5.0000000000000001E-3</c:v>
                </c:pt>
                <c:pt idx="14">
                  <c:v>6.0000000000000001E-3</c:v>
                </c:pt>
                <c:pt idx="15">
                  <c:v>7.0000000000000001E-3</c:v>
                </c:pt>
                <c:pt idx="16">
                  <c:v>8.0000000000000002E-3</c:v>
                </c:pt>
                <c:pt idx="17">
                  <c:v>8.9999999999999993E-3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0.04</c:v>
                </c:pt>
                <c:pt idx="22">
                  <c:v>0.05</c:v>
                </c:pt>
                <c:pt idx="23">
                  <c:v>0.06</c:v>
                </c:pt>
                <c:pt idx="24">
                  <c:v>7.0000000000000007E-2</c:v>
                </c:pt>
                <c:pt idx="25">
                  <c:v>0.08</c:v>
                </c:pt>
                <c:pt idx="26">
                  <c:v>0.09</c:v>
                </c:pt>
                <c:pt idx="27">
                  <c:v>0.1</c:v>
                </c:pt>
                <c:pt idx="28">
                  <c:v>0.125</c:v>
                </c:pt>
                <c:pt idx="29">
                  <c:v>0.15</c:v>
                </c:pt>
                <c:pt idx="30">
                  <c:v>0.17499999999999999</c:v>
                </c:pt>
                <c:pt idx="31">
                  <c:v>0.2</c:v>
                </c:pt>
                <c:pt idx="32">
                  <c:v>0.22500000000000001</c:v>
                </c:pt>
                <c:pt idx="33">
                  <c:v>0.25</c:v>
                </c:pt>
                <c:pt idx="34">
                  <c:v>0.27500000000000002</c:v>
                </c:pt>
                <c:pt idx="35">
                  <c:v>0.3</c:v>
                </c:pt>
                <c:pt idx="36">
                  <c:v>0.32500000000000001</c:v>
                </c:pt>
                <c:pt idx="37">
                  <c:v>0.35</c:v>
                </c:pt>
                <c:pt idx="38">
                  <c:v>0.375</c:v>
                </c:pt>
                <c:pt idx="39">
                  <c:v>0.4</c:v>
                </c:pt>
                <c:pt idx="40">
                  <c:v>0.42499999999999999</c:v>
                </c:pt>
                <c:pt idx="41">
                  <c:v>0.45</c:v>
                </c:pt>
                <c:pt idx="42">
                  <c:v>0.47499999999999998</c:v>
                </c:pt>
                <c:pt idx="43">
                  <c:v>0.5</c:v>
                </c:pt>
                <c:pt idx="44">
                  <c:v>0.52500000000000002</c:v>
                </c:pt>
                <c:pt idx="45">
                  <c:v>0.55000000000000004</c:v>
                </c:pt>
                <c:pt idx="46">
                  <c:v>0.57499999999999996</c:v>
                </c:pt>
                <c:pt idx="47">
                  <c:v>0.6</c:v>
                </c:pt>
              </c:numCache>
            </c:numRef>
          </c:xVal>
          <c:yVal>
            <c:numRef>
              <c:f>'Point de compre LNA-Grille-com'!$B$3:$B$50</c:f>
              <c:numCache>
                <c:formatCode>General</c:formatCode>
                <c:ptCount val="48"/>
                <c:pt idx="0">
                  <c:v>1.1000000000000001E-3</c:v>
                </c:pt>
                <c:pt idx="1">
                  <c:v>2.3E-3</c:v>
                </c:pt>
                <c:pt idx="2">
                  <c:v>3.5000000000000001E-3</c:v>
                </c:pt>
                <c:pt idx="3">
                  <c:v>4.7000000000000002E-3</c:v>
                </c:pt>
                <c:pt idx="4">
                  <c:v>5.8999999999999999E-3</c:v>
                </c:pt>
                <c:pt idx="5">
                  <c:v>7.1000000000000004E-3</c:v>
                </c:pt>
                <c:pt idx="6">
                  <c:v>8.0999999999999996E-3</c:v>
                </c:pt>
                <c:pt idx="7">
                  <c:v>9.2999999999999992E-3</c:v>
                </c:pt>
                <c:pt idx="8">
                  <c:v>1.0500000000000001E-2</c:v>
                </c:pt>
                <c:pt idx="9">
                  <c:v>1.17E-2</c:v>
                </c:pt>
                <c:pt idx="10">
                  <c:v>2.3199999999999998E-2</c:v>
                </c:pt>
                <c:pt idx="11">
                  <c:v>3.5099999999999999E-2</c:v>
                </c:pt>
                <c:pt idx="12">
                  <c:v>4.6800000000000001E-2</c:v>
                </c:pt>
                <c:pt idx="13">
                  <c:v>5.8500000000000003E-2</c:v>
                </c:pt>
                <c:pt idx="14">
                  <c:v>7.0199999999999999E-2</c:v>
                </c:pt>
                <c:pt idx="15">
                  <c:v>8.1799999999999998E-2</c:v>
                </c:pt>
                <c:pt idx="16">
                  <c:v>9.35E-2</c:v>
                </c:pt>
                <c:pt idx="17">
                  <c:v>0.1052</c:v>
                </c:pt>
                <c:pt idx="18">
                  <c:v>0.1169</c:v>
                </c:pt>
                <c:pt idx="19">
                  <c:v>0.2336</c:v>
                </c:pt>
                <c:pt idx="20">
                  <c:v>0.34989999999999999</c:v>
                </c:pt>
                <c:pt idx="21">
                  <c:v>0.46560000000000001</c:v>
                </c:pt>
                <c:pt idx="22">
                  <c:v>0.58040000000000003</c:v>
                </c:pt>
                <c:pt idx="23">
                  <c:v>0.69389999999999996</c:v>
                </c:pt>
                <c:pt idx="24">
                  <c:v>0.80569999999999997</c:v>
                </c:pt>
                <c:pt idx="25">
                  <c:v>0.91559999999999997</c:v>
                </c:pt>
                <c:pt idx="26">
                  <c:v>1.0222</c:v>
                </c:pt>
                <c:pt idx="27">
                  <c:v>1.103</c:v>
                </c:pt>
                <c:pt idx="28">
                  <c:v>1.327</c:v>
                </c:pt>
                <c:pt idx="29">
                  <c:v>1.506</c:v>
                </c:pt>
                <c:pt idx="30">
                  <c:v>1.66</c:v>
                </c:pt>
                <c:pt idx="31">
                  <c:v>1.79</c:v>
                </c:pt>
                <c:pt idx="32">
                  <c:v>1.92</c:v>
                </c:pt>
                <c:pt idx="33">
                  <c:v>2.0419999999999998</c:v>
                </c:pt>
                <c:pt idx="34">
                  <c:v>2.15</c:v>
                </c:pt>
                <c:pt idx="35">
                  <c:v>2.25</c:v>
                </c:pt>
                <c:pt idx="36">
                  <c:v>2.33</c:v>
                </c:pt>
                <c:pt idx="37">
                  <c:v>2.3199999999999998</c:v>
                </c:pt>
                <c:pt idx="38">
                  <c:v>2.31</c:v>
                </c:pt>
                <c:pt idx="39">
                  <c:v>2.31</c:v>
                </c:pt>
                <c:pt idx="40">
                  <c:v>2.2999999999999998</c:v>
                </c:pt>
                <c:pt idx="41">
                  <c:v>2.2999999999999998</c:v>
                </c:pt>
                <c:pt idx="42">
                  <c:v>2.2999999999999998</c:v>
                </c:pt>
                <c:pt idx="43">
                  <c:v>2.2799999999999998</c:v>
                </c:pt>
                <c:pt idx="44">
                  <c:v>2.27</c:v>
                </c:pt>
                <c:pt idx="45">
                  <c:v>2.2599999999999998</c:v>
                </c:pt>
                <c:pt idx="46">
                  <c:v>2.2599999999999998</c:v>
                </c:pt>
                <c:pt idx="47">
                  <c:v>2.2599999999999998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FC-4067-B14A-EB3A432DC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996551"/>
        <c:axId val="878002695"/>
      </c:scatterChart>
      <c:valAx>
        <c:axId val="877996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002695"/>
        <c:crosses val="autoZero"/>
        <c:crossBetween val="midCat"/>
      </c:valAx>
      <c:valAx>
        <c:axId val="878002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Vout_LNA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96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Linéarité LNA_CG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'Point de compre LNA-Grille-com'!$A$3:$A$50</c:f>
              <c:numCache>
                <c:formatCode>General</c:formatCode>
                <c:ptCount val="48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5.0000000000000001E-3</c:v>
                </c:pt>
                <c:pt idx="14">
                  <c:v>6.0000000000000001E-3</c:v>
                </c:pt>
                <c:pt idx="15">
                  <c:v>7.0000000000000001E-3</c:v>
                </c:pt>
                <c:pt idx="16">
                  <c:v>8.0000000000000002E-3</c:v>
                </c:pt>
                <c:pt idx="17">
                  <c:v>8.9999999999999993E-3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0.04</c:v>
                </c:pt>
                <c:pt idx="22">
                  <c:v>0.05</c:v>
                </c:pt>
                <c:pt idx="23">
                  <c:v>0.06</c:v>
                </c:pt>
                <c:pt idx="24">
                  <c:v>7.0000000000000007E-2</c:v>
                </c:pt>
                <c:pt idx="25">
                  <c:v>0.08</c:v>
                </c:pt>
                <c:pt idx="26">
                  <c:v>0.09</c:v>
                </c:pt>
                <c:pt idx="27">
                  <c:v>0.1</c:v>
                </c:pt>
                <c:pt idx="28">
                  <c:v>0.125</c:v>
                </c:pt>
                <c:pt idx="29">
                  <c:v>0.15</c:v>
                </c:pt>
                <c:pt idx="30">
                  <c:v>0.17499999999999999</c:v>
                </c:pt>
                <c:pt idx="31">
                  <c:v>0.2</c:v>
                </c:pt>
                <c:pt idx="32">
                  <c:v>0.22500000000000001</c:v>
                </c:pt>
                <c:pt idx="33">
                  <c:v>0.25</c:v>
                </c:pt>
                <c:pt idx="34">
                  <c:v>0.27500000000000002</c:v>
                </c:pt>
                <c:pt idx="35">
                  <c:v>0.3</c:v>
                </c:pt>
                <c:pt idx="36">
                  <c:v>0.32500000000000001</c:v>
                </c:pt>
                <c:pt idx="37">
                  <c:v>0.35</c:v>
                </c:pt>
                <c:pt idx="38">
                  <c:v>0.375</c:v>
                </c:pt>
                <c:pt idx="39">
                  <c:v>0.4</c:v>
                </c:pt>
                <c:pt idx="40">
                  <c:v>0.42499999999999999</c:v>
                </c:pt>
                <c:pt idx="41">
                  <c:v>0.45</c:v>
                </c:pt>
                <c:pt idx="42">
                  <c:v>0.47499999999999998</c:v>
                </c:pt>
                <c:pt idx="43">
                  <c:v>0.5</c:v>
                </c:pt>
                <c:pt idx="44">
                  <c:v>0.52500000000000002</c:v>
                </c:pt>
                <c:pt idx="45">
                  <c:v>0.55000000000000004</c:v>
                </c:pt>
                <c:pt idx="46">
                  <c:v>0.57499999999999996</c:v>
                </c:pt>
                <c:pt idx="47">
                  <c:v>0.6</c:v>
                </c:pt>
              </c:numCache>
            </c:numRef>
          </c:xVal>
          <c:yVal>
            <c:numRef>
              <c:f>'Point de compre LNA-Grille-com'!$D$3:$D$50</c:f>
              <c:numCache>
                <c:formatCode>General</c:formatCode>
                <c:ptCount val="48"/>
                <c:pt idx="0">
                  <c:v>20.827853703164504</c:v>
                </c:pt>
                <c:pt idx="1">
                  <c:v>21.213956807072233</c:v>
                </c:pt>
                <c:pt idx="2">
                  <c:v>21.338935792612265</c:v>
                </c:pt>
                <c:pt idx="3">
                  <c:v>21.400757332155102</c:v>
                </c:pt>
                <c:pt idx="4">
                  <c:v>21.437640146122504</c:v>
                </c:pt>
                <c:pt idx="5">
                  <c:v>21.462141966708636</c:v>
                </c:pt>
                <c:pt idx="6">
                  <c:v>21.267739577287855</c:v>
                </c:pt>
                <c:pt idx="7">
                  <c:v>21.307859231239831</c:v>
                </c:pt>
                <c:pt idx="8">
                  <c:v>21.338935792612265</c:v>
                </c:pt>
                <c:pt idx="9">
                  <c:v>21.363717234923236</c:v>
                </c:pt>
                <c:pt idx="10">
                  <c:v>21.289159784538366</c:v>
                </c:pt>
                <c:pt idx="11">
                  <c:v>21.363717234923236</c:v>
                </c:pt>
                <c:pt idx="12">
                  <c:v>21.363717234923236</c:v>
                </c:pt>
                <c:pt idx="13">
                  <c:v>21.363717234923236</c:v>
                </c:pt>
                <c:pt idx="14">
                  <c:v>21.363717234923236</c:v>
                </c:pt>
                <c:pt idx="15">
                  <c:v>21.353105273141324</c:v>
                </c:pt>
                <c:pt idx="16">
                  <c:v>21.354432477611486</c:v>
                </c:pt>
                <c:pt idx="17">
                  <c:v>21.355464607567907</c:v>
                </c:pt>
                <c:pt idx="18">
                  <c:v>21.356290223236801</c:v>
                </c:pt>
                <c:pt idx="19">
                  <c:v>21.348856855527615</c:v>
                </c:pt>
                <c:pt idx="20">
                  <c:v>21.336453755264881</c:v>
                </c:pt>
                <c:pt idx="21">
                  <c:v>21.319059606277392</c:v>
                </c:pt>
                <c:pt idx="22">
                  <c:v>21.295147988593591</c:v>
                </c:pt>
                <c:pt idx="23">
                  <c:v>21.262912742132762</c:v>
                </c:pt>
                <c:pt idx="24">
                  <c:v>21.221506472595834</c:v>
                </c:pt>
                <c:pt idx="25">
                  <c:v>21.172315940211234</c:v>
                </c:pt>
                <c:pt idx="26">
                  <c:v>21.105867343597865</c:v>
                </c:pt>
                <c:pt idx="27">
                  <c:v>20.851510248803812</c:v>
                </c:pt>
                <c:pt idx="28">
                  <c:v>20.519218197127582</c:v>
                </c:pt>
                <c:pt idx="29">
                  <c:v>20.034674256180011</c:v>
                </c:pt>
                <c:pt idx="30">
                  <c:v>19.541400787075215</c:v>
                </c:pt>
                <c:pt idx="31">
                  <c:v>19.036460706318238</c:v>
                </c:pt>
                <c:pt idx="32">
                  <c:v>18.622374211843741</c:v>
                </c:pt>
                <c:pt idx="33">
                  <c:v>18.242314581577077</c:v>
                </c:pt>
                <c:pt idx="34">
                  <c:v>17.862115321706852</c:v>
                </c:pt>
                <c:pt idx="35">
                  <c:v>17.501225267834002</c:v>
                </c:pt>
                <c:pt idx="36">
                  <c:v>17.109451200942893</c:v>
                </c:pt>
                <c:pt idx="37">
                  <c:v>16.428398810812482</c:v>
                </c:pt>
                <c:pt idx="38">
                  <c:v>15.79161424328851</c:v>
                </c:pt>
                <c:pt idx="39">
                  <c:v>15.231039771283637</c:v>
                </c:pt>
                <c:pt idx="40">
                  <c:v>14.666778119345626</c:v>
                </c:pt>
                <c:pt idx="41">
                  <c:v>14.170306444844982</c:v>
                </c:pt>
                <c:pt idx="42">
                  <c:v>13.700684527854525</c:v>
                </c:pt>
                <c:pt idx="43">
                  <c:v>13.179296853288701</c:v>
                </c:pt>
                <c:pt idx="44">
                  <c:v>12.717331075743317</c:v>
                </c:pt>
                <c:pt idx="45">
                  <c:v>12.27491499306314</c:v>
                </c:pt>
                <c:pt idx="46">
                  <c:v>11.888811889155409</c:v>
                </c:pt>
                <c:pt idx="47">
                  <c:v>11.519143775275145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{"Gain Vs Ve"}</c15:sqref>
                        </c15:formulaRef>
                      </c:ext>
                    </c:extLst>
                    <c:strCache>
                      <c:ptCount val="1"/>
                      <c:pt idx="0">
                        <c:v>Gain Vs Ve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A8A-491B-A9DC-9509AD7AB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856071"/>
        <c:axId val="1248874503"/>
      </c:scatterChart>
      <c:valAx>
        <c:axId val="1248856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874503"/>
        <c:crosses val="autoZero"/>
        <c:crossBetween val="midCat"/>
      </c:valAx>
      <c:valAx>
        <c:axId val="1248874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Gain_LNA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856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IIP3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Pfund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'IIP3 LNA-Grille'!$C$2:$C$23</c:f>
              <c:numCache>
                <c:formatCode>General</c:formatCode>
                <c:ptCount val="22"/>
                <c:pt idx="0">
                  <c:v>-46.360121702515087</c:v>
                </c:pt>
                <c:pt idx="1">
                  <c:v>-43.734543409728708</c:v>
                </c:pt>
                <c:pt idx="2">
                  <c:v>-41.721140172101443</c:v>
                </c:pt>
                <c:pt idx="3">
                  <c:v>-40.212718228615081</c:v>
                </c:pt>
                <c:pt idx="4">
                  <c:v>-38.927900303521319</c:v>
                </c:pt>
                <c:pt idx="5">
                  <c:v>-37.713943496449083</c:v>
                </c:pt>
                <c:pt idx="6">
                  <c:v>-36.649033257384581</c:v>
                </c:pt>
                <c:pt idx="7">
                  <c:v>-35.700540258821817</c:v>
                </c:pt>
                <c:pt idx="8">
                  <c:v>-30.141246426916062</c:v>
                </c:pt>
                <c:pt idx="9">
                  <c:v>-26.360121702515084</c:v>
                </c:pt>
                <c:pt idx="10">
                  <c:v>-23.734543409728705</c:v>
                </c:pt>
                <c:pt idx="11">
                  <c:v>-21.721140172101446</c:v>
                </c:pt>
                <c:pt idx="12">
                  <c:v>-20.087739243075053</c:v>
                </c:pt>
                <c:pt idx="13">
                  <c:v>-18.713422995685857</c:v>
                </c:pt>
                <c:pt idx="14">
                  <c:v>-17.527142971366214</c:v>
                </c:pt>
                <c:pt idx="15">
                  <c:v>-16.483582738064783</c:v>
                </c:pt>
                <c:pt idx="16">
                  <c:v>-15.55205989723768</c:v>
                </c:pt>
                <c:pt idx="17">
                  <c:v>-11.932639423762325</c:v>
                </c:pt>
                <c:pt idx="18">
                  <c:v>-9.8310031033511134</c:v>
                </c:pt>
                <c:pt idx="19">
                  <c:v>-7.5053747618350828</c:v>
                </c:pt>
                <c:pt idx="20">
                  <c:v>-5.9120395104827006</c:v>
                </c:pt>
                <c:pt idx="21">
                  <c:v>-4.607833430825333</c:v>
                </c:pt>
              </c:numCache>
            </c:numRef>
          </c:xVal>
          <c:yVal>
            <c:numRef>
              <c:f>'IIP3 LNA-Grille'!$E$2:$E$23</c:f>
              <c:numCache>
                <c:formatCode>General</c:formatCode>
                <c:ptCount val="22"/>
                <c:pt idx="0">
                  <c:v>-22.521968042710775</c:v>
                </c:pt>
                <c:pt idx="1">
                  <c:v>-20</c:v>
                </c:pt>
                <c:pt idx="2">
                  <c:v>-17.923925580880862</c:v>
                </c:pt>
                <c:pt idx="3">
                  <c:v>-16.249585583270736</c:v>
                </c:pt>
                <c:pt idx="4">
                  <c:v>-14.750978205391412</c:v>
                </c:pt>
                <c:pt idx="5">
                  <c:v>-13.597074277778919</c:v>
                </c:pt>
                <c:pt idx="6">
                  <c:v>-12.841303059990922</c:v>
                </c:pt>
                <c:pt idx="7">
                  <c:v>-11.502367267378659</c:v>
                </c:pt>
                <c:pt idx="8">
                  <c:v>-6.3210573849697571</c:v>
                </c:pt>
                <c:pt idx="9">
                  <c:v>-4.4659763202317837</c:v>
                </c:pt>
                <c:pt idx="10">
                  <c:v>-3.4914776446435374</c:v>
                </c:pt>
                <c:pt idx="11">
                  <c:v>-2.3723068645885435</c:v>
                </c:pt>
                <c:pt idx="12">
                  <c:v>-2.0694756502088931</c:v>
                </c:pt>
                <c:pt idx="13">
                  <c:v>-1.8088794151764933</c:v>
                </c:pt>
                <c:pt idx="14">
                  <c:v>-1.6603990535923561</c:v>
                </c:pt>
                <c:pt idx="15">
                  <c:v>-1.4834485075051538</c:v>
                </c:pt>
                <c:pt idx="16">
                  <c:v>-1.3403835615360369</c:v>
                </c:pt>
                <c:pt idx="17">
                  <c:v>-1.0709546997385382</c:v>
                </c:pt>
                <c:pt idx="18">
                  <c:v>-0.82872233556065078</c:v>
                </c:pt>
                <c:pt idx="19">
                  <c:v>-0.68656057559786554</c:v>
                </c:pt>
                <c:pt idx="20">
                  <c:v>-0.60236712507000068</c:v>
                </c:pt>
                <c:pt idx="21">
                  <c:v>-0.58376778254964401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20-4D7E-81DD-C6FB56716B40}"/>
            </c:ext>
          </c:extLst>
        </c:ser>
        <c:ser>
          <c:idx val="1"/>
          <c:order val="1"/>
          <c:tx>
            <c:v>Pim3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'IIP3 LNA-Grille'!$C$2:$C$23</c:f>
              <c:numCache>
                <c:formatCode>General</c:formatCode>
                <c:ptCount val="22"/>
                <c:pt idx="0">
                  <c:v>-46.360121702515087</c:v>
                </c:pt>
                <c:pt idx="1">
                  <c:v>-43.734543409728708</c:v>
                </c:pt>
                <c:pt idx="2">
                  <c:v>-41.721140172101443</c:v>
                </c:pt>
                <c:pt idx="3">
                  <c:v>-40.212718228615081</c:v>
                </c:pt>
                <c:pt idx="4">
                  <c:v>-38.927900303521319</c:v>
                </c:pt>
                <c:pt idx="5">
                  <c:v>-37.713943496449083</c:v>
                </c:pt>
                <c:pt idx="6">
                  <c:v>-36.649033257384581</c:v>
                </c:pt>
                <c:pt idx="7">
                  <c:v>-35.700540258821817</c:v>
                </c:pt>
                <c:pt idx="8">
                  <c:v>-30.141246426916062</c:v>
                </c:pt>
                <c:pt idx="9">
                  <c:v>-26.360121702515084</c:v>
                </c:pt>
                <c:pt idx="10">
                  <c:v>-23.734543409728705</c:v>
                </c:pt>
                <c:pt idx="11">
                  <c:v>-21.721140172101446</c:v>
                </c:pt>
                <c:pt idx="12">
                  <c:v>-20.087739243075053</c:v>
                </c:pt>
                <c:pt idx="13">
                  <c:v>-18.713422995685857</c:v>
                </c:pt>
                <c:pt idx="14">
                  <c:v>-17.527142971366214</c:v>
                </c:pt>
                <c:pt idx="15">
                  <c:v>-16.483582738064783</c:v>
                </c:pt>
                <c:pt idx="16">
                  <c:v>-15.55205989723768</c:v>
                </c:pt>
                <c:pt idx="17">
                  <c:v>-11.932639423762325</c:v>
                </c:pt>
                <c:pt idx="18">
                  <c:v>-9.8310031033511134</c:v>
                </c:pt>
                <c:pt idx="19">
                  <c:v>-7.5053747618350828</c:v>
                </c:pt>
                <c:pt idx="20">
                  <c:v>-5.9120395104827006</c:v>
                </c:pt>
                <c:pt idx="21">
                  <c:v>-4.607833430825333</c:v>
                </c:pt>
              </c:numCache>
            </c:numRef>
          </c:xVal>
          <c:yVal>
            <c:numRef>
              <c:f>'IIP3 LNA-Grille'!$J$2:$J$23</c:f>
              <c:numCache>
                <c:formatCode>General</c:formatCode>
                <c:ptCount val="22"/>
                <c:pt idx="0">
                  <c:v>-66.020599913279625</c:v>
                </c:pt>
                <c:pt idx="1">
                  <c:v>-60.915149811213503</c:v>
                </c:pt>
                <c:pt idx="2">
                  <c:v>-60</c:v>
                </c:pt>
                <c:pt idx="3">
                  <c:v>-53.979400086720375</c:v>
                </c:pt>
                <c:pt idx="4">
                  <c:v>-53.151546383555875</c:v>
                </c:pt>
                <c:pt idx="5">
                  <c:v>-50.457574905606748</c:v>
                </c:pt>
                <c:pt idx="6">
                  <c:v>-47.95880017344075</c:v>
                </c:pt>
                <c:pt idx="7">
                  <c:v>-47.13094647027625</c:v>
                </c:pt>
                <c:pt idx="8">
                  <c:v>-28.178707859470016</c:v>
                </c:pt>
                <c:pt idx="9">
                  <c:v>-23.741732867142886</c:v>
                </c:pt>
                <c:pt idx="10">
                  <c:v>-21.310030975128647</c:v>
                </c:pt>
                <c:pt idx="11">
                  <c:v>-16.712942884311261</c:v>
                </c:pt>
                <c:pt idx="12">
                  <c:v>-14.703643539809271</c:v>
                </c:pt>
                <c:pt idx="13">
                  <c:v>-13.807396651482025</c:v>
                </c:pt>
                <c:pt idx="14">
                  <c:v>-13.230870127907902</c:v>
                </c:pt>
                <c:pt idx="15">
                  <c:v>-12.690240302182005</c:v>
                </c:pt>
                <c:pt idx="16">
                  <c:v>-12.541759940597871</c:v>
                </c:pt>
                <c:pt idx="17">
                  <c:v>-11.667189853234381</c:v>
                </c:pt>
                <c:pt idx="18">
                  <c:v>-11.24498874359224</c:v>
                </c:pt>
                <c:pt idx="19">
                  <c:v>-10.964271289514196</c:v>
                </c:pt>
                <c:pt idx="20">
                  <c:v>-10.812150244815385</c:v>
                </c:pt>
                <c:pt idx="21">
                  <c:v>-10.692342971031634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20-4D7E-81DD-C6FB5671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03975"/>
        <c:axId val="179606023"/>
      </c:scatterChart>
      <c:valAx>
        <c:axId val="179603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6023"/>
        <c:crosses val="autoZero"/>
        <c:crossBetween val="midCat"/>
      </c:valAx>
      <c:valAx>
        <c:axId val="17960602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Pout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3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Linéarité LNA Inductance Dégénérée - seul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'Point de compre - LNA-Ind-Degen'!$G$2:$H$2</c:f>
              <c:strCache>
                <c:ptCount val="2"/>
                <c:pt idx="0">
                  <c:v>Gain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'Point de compre - LNA-Ind-Degen'!$B$4:$B$19</c:f>
              <c:numCache>
                <c:formatCode>0</c:formatCode>
                <c:ptCount val="16"/>
                <c:pt idx="0">
                  <c:v>-60</c:v>
                </c:pt>
                <c:pt idx="1">
                  <c:v>-53.979400086720375</c:v>
                </c:pt>
                <c:pt idx="2">
                  <c:v>-50.457574905606748</c:v>
                </c:pt>
                <c:pt idx="3">
                  <c:v>-47.95880017344075</c:v>
                </c:pt>
                <c:pt idx="4">
                  <c:v>-46.020599913279625</c:v>
                </c:pt>
                <c:pt idx="5">
                  <c:v>-44.436974992327123</c:v>
                </c:pt>
                <c:pt idx="6">
                  <c:v>-43.098039199714862</c:v>
                </c:pt>
                <c:pt idx="7">
                  <c:v>-41.938200260161125</c:v>
                </c:pt>
                <c:pt idx="8">
                  <c:v>-40.915149811213503</c:v>
                </c:pt>
                <c:pt idx="9">
                  <c:v>-40</c:v>
                </c:pt>
                <c:pt idx="10">
                  <c:v>-33.979400086720375</c:v>
                </c:pt>
                <c:pt idx="11">
                  <c:v>-30.457574905606752</c:v>
                </c:pt>
                <c:pt idx="12">
                  <c:v>-27.95880017344075</c:v>
                </c:pt>
                <c:pt idx="13">
                  <c:v>-26.020599913279625</c:v>
                </c:pt>
                <c:pt idx="14">
                  <c:v>-24.436974992327126</c:v>
                </c:pt>
                <c:pt idx="15">
                  <c:v>-23.098039199714862</c:v>
                </c:pt>
              </c:numCache>
            </c:numRef>
          </c:xVal>
          <c:yVal>
            <c:numRef>
              <c:f>'Point de compre - LNA-Ind-Degen'!$F$4:$F$19</c:f>
              <c:numCache>
                <c:formatCode>General</c:formatCode>
                <c:ptCount val="16"/>
                <c:pt idx="0">
                  <c:v>-38.380259061782255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E-4300-B683-31886622E446}"/>
            </c:ext>
          </c:extLst>
        </c:ser>
        <c:ser>
          <c:idx val="1"/>
          <c:order val="1"/>
          <c:tx>
            <c:strRef>
              <c:f>'Point de compre - LNA-Ind-Degen'!$I$2:$I$3</c:f>
              <c:strCache>
                <c:ptCount val="2"/>
                <c:pt idx="0">
                  <c:v>Tangente Vout (dB)</c:v>
                </c:pt>
                <c:pt idx="1">
                  <c:v>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'Point de compre - LNA-Ind-Degen'!$B$4:$B$19</c:f>
              <c:numCache>
                <c:formatCode>0</c:formatCode>
                <c:ptCount val="16"/>
                <c:pt idx="0">
                  <c:v>-60</c:v>
                </c:pt>
                <c:pt idx="1">
                  <c:v>-53.979400086720375</c:v>
                </c:pt>
                <c:pt idx="2">
                  <c:v>-50.457574905606748</c:v>
                </c:pt>
                <c:pt idx="3">
                  <c:v>-47.95880017344075</c:v>
                </c:pt>
                <c:pt idx="4">
                  <c:v>-46.020599913279625</c:v>
                </c:pt>
                <c:pt idx="5">
                  <c:v>-44.436974992327123</c:v>
                </c:pt>
                <c:pt idx="6">
                  <c:v>-43.098039199714862</c:v>
                </c:pt>
                <c:pt idx="7">
                  <c:v>-41.938200260161125</c:v>
                </c:pt>
                <c:pt idx="8">
                  <c:v>-40.915149811213503</c:v>
                </c:pt>
                <c:pt idx="9">
                  <c:v>-40</c:v>
                </c:pt>
                <c:pt idx="10">
                  <c:v>-33.979400086720375</c:v>
                </c:pt>
                <c:pt idx="11">
                  <c:v>-30.457574905606752</c:v>
                </c:pt>
                <c:pt idx="12">
                  <c:v>-27.95880017344075</c:v>
                </c:pt>
                <c:pt idx="13">
                  <c:v>-26.020599913279625</c:v>
                </c:pt>
                <c:pt idx="14">
                  <c:v>-24.436974992327126</c:v>
                </c:pt>
                <c:pt idx="15">
                  <c:v>-23.098039199714862</c:v>
                </c:pt>
              </c:numCache>
            </c:numRef>
          </c:xVal>
          <c:yVal>
            <c:numRef>
              <c:f>'Point de compre - LNA-Ind-Degen'!$I$4:$I$19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CE-4300-B683-31886622E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19952"/>
        <c:axId val="161520912"/>
      </c:scatterChart>
      <c:valAx>
        <c:axId val="16151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Ve(dB)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520912"/>
        <c:crosses val="autoZero"/>
        <c:crossBetween val="midCat"/>
      </c:valAx>
      <c:valAx>
        <c:axId val="1615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Vout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51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Linéarité LNA Inductance Dégénérée - réseau adapation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'Point de compre - LNA-Ind-Degen'!$R$2:$S$2</c:f>
              <c:strCache>
                <c:ptCount val="2"/>
                <c:pt idx="0">
                  <c:v>Gain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'Point de compre - LNA-Ind-Degen'!$M$4:$M$19</c:f>
              <c:numCache>
                <c:formatCode>0</c:formatCode>
                <c:ptCount val="16"/>
                <c:pt idx="0">
                  <c:v>-60</c:v>
                </c:pt>
                <c:pt idx="1">
                  <c:v>-53.979400086720375</c:v>
                </c:pt>
                <c:pt idx="2">
                  <c:v>-50.457574905606748</c:v>
                </c:pt>
                <c:pt idx="3">
                  <c:v>-47.95880017344075</c:v>
                </c:pt>
                <c:pt idx="4">
                  <c:v>-46.020599913279625</c:v>
                </c:pt>
                <c:pt idx="5">
                  <c:v>-44.436974992327123</c:v>
                </c:pt>
                <c:pt idx="6">
                  <c:v>-43.098039199714862</c:v>
                </c:pt>
                <c:pt idx="7">
                  <c:v>-41.938200260161125</c:v>
                </c:pt>
                <c:pt idx="8">
                  <c:v>-40.915149811213503</c:v>
                </c:pt>
                <c:pt idx="9">
                  <c:v>-40</c:v>
                </c:pt>
                <c:pt idx="10">
                  <c:v>-33.979400086720375</c:v>
                </c:pt>
                <c:pt idx="11">
                  <c:v>-30.457574905606752</c:v>
                </c:pt>
                <c:pt idx="12">
                  <c:v>-27.95880017344075</c:v>
                </c:pt>
                <c:pt idx="13">
                  <c:v>-26.020599913279625</c:v>
                </c:pt>
                <c:pt idx="14">
                  <c:v>-24.436974992327126</c:v>
                </c:pt>
                <c:pt idx="15">
                  <c:v>-23.098039199714862</c:v>
                </c:pt>
              </c:numCache>
            </c:numRef>
          </c:xVal>
          <c:yVal>
            <c:numRef>
              <c:f>'Point de compre - LNA-Ind-Degen'!$Q$4:$Q$19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2-42FE-8768-DDFF5FED020F}"/>
            </c:ext>
          </c:extLst>
        </c:ser>
        <c:ser>
          <c:idx val="1"/>
          <c:order val="1"/>
          <c:tx>
            <c:strRef>
              <c:f>'Point de compre - LNA-Ind-Degen'!$T$2:$T$3</c:f>
              <c:strCache>
                <c:ptCount val="2"/>
                <c:pt idx="0">
                  <c:v>Tangente Vout (dB)</c:v>
                </c:pt>
                <c:pt idx="1">
                  <c:v>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'Point de compre - LNA-Ind-Degen'!$M$4:$M$19</c:f>
              <c:numCache>
                <c:formatCode>0</c:formatCode>
                <c:ptCount val="16"/>
                <c:pt idx="0">
                  <c:v>-60</c:v>
                </c:pt>
                <c:pt idx="1">
                  <c:v>-53.979400086720375</c:v>
                </c:pt>
                <c:pt idx="2">
                  <c:v>-50.457574905606748</c:v>
                </c:pt>
                <c:pt idx="3">
                  <c:v>-47.95880017344075</c:v>
                </c:pt>
                <c:pt idx="4">
                  <c:v>-46.020599913279625</c:v>
                </c:pt>
                <c:pt idx="5">
                  <c:v>-44.436974992327123</c:v>
                </c:pt>
                <c:pt idx="6">
                  <c:v>-43.098039199714862</c:v>
                </c:pt>
                <c:pt idx="7">
                  <c:v>-41.938200260161125</c:v>
                </c:pt>
                <c:pt idx="8">
                  <c:v>-40.915149811213503</c:v>
                </c:pt>
                <c:pt idx="9">
                  <c:v>-40</c:v>
                </c:pt>
                <c:pt idx="10">
                  <c:v>-33.979400086720375</c:v>
                </c:pt>
                <c:pt idx="11">
                  <c:v>-30.457574905606752</c:v>
                </c:pt>
                <c:pt idx="12">
                  <c:v>-27.95880017344075</c:v>
                </c:pt>
                <c:pt idx="13">
                  <c:v>-26.020599913279625</c:v>
                </c:pt>
                <c:pt idx="14">
                  <c:v>-24.436974992327126</c:v>
                </c:pt>
                <c:pt idx="15">
                  <c:v>-23.098039199714862</c:v>
                </c:pt>
              </c:numCache>
            </c:numRef>
          </c:xVal>
          <c:yVal>
            <c:numRef>
              <c:f>'Point de compre - LNA-Ind-Degen'!$T$4:$T$19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A2-42FE-8768-DDFF5FED0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19952"/>
        <c:axId val="161520912"/>
      </c:scatterChart>
      <c:valAx>
        <c:axId val="16151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Ve(dB)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520912"/>
        <c:crosses val="autoZero"/>
        <c:crossBetween val="midCat"/>
      </c:valAx>
      <c:valAx>
        <c:axId val="1615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Vout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51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Linéarité LNA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'Point de compression LNA+mixer'!$A$3:$A$29</c:f>
              <c:numCache>
                <c:formatCode>General</c:formatCode>
                <c:ptCount val="27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0.01</c:v>
                </c:pt>
                <c:pt idx="9">
                  <c:v>0.02</c:v>
                </c:pt>
                <c:pt idx="10">
                  <c:v>0.03</c:v>
                </c:pt>
                <c:pt idx="11">
                  <c:v>0.04</c:v>
                </c:pt>
                <c:pt idx="12">
                  <c:v>0.05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0.09</c:v>
                </c:pt>
                <c:pt idx="17">
                  <c:v>0.1</c:v>
                </c:pt>
                <c:pt idx="18">
                  <c:v>0.2</c:v>
                </c:pt>
                <c:pt idx="19">
                  <c:v>0.3</c:v>
                </c:pt>
                <c:pt idx="20">
                  <c:v>0.4</c:v>
                </c:pt>
                <c:pt idx="21">
                  <c:v>0.5</c:v>
                </c:pt>
                <c:pt idx="22">
                  <c:v>0.6</c:v>
                </c:pt>
                <c:pt idx="23">
                  <c:v>0.7</c:v>
                </c:pt>
                <c:pt idx="24">
                  <c:v>0.8</c:v>
                </c:pt>
                <c:pt idx="25">
                  <c:v>0.9</c:v>
                </c:pt>
                <c:pt idx="26">
                  <c:v>1</c:v>
                </c:pt>
              </c:numCache>
            </c:numRef>
          </c:xVal>
          <c:yVal>
            <c:numRef>
              <c:f>'Point de compression LNA+mixer'!$C$3:$C$29</c:f>
              <c:numCache>
                <c:formatCode>General</c:formatCode>
                <c:ptCount val="27"/>
                <c:pt idx="0">
                  <c:v>7.2499999999999995E-4</c:v>
                </c:pt>
                <c:pt idx="1">
                  <c:v>1.41E-3</c:v>
                </c:pt>
                <c:pt idx="2">
                  <c:v>2.2300000000000002E-3</c:v>
                </c:pt>
                <c:pt idx="3">
                  <c:v>7.1799999999999998E-3</c:v>
                </c:pt>
                <c:pt idx="4">
                  <c:v>1.44E-2</c:v>
                </c:pt>
                <c:pt idx="5">
                  <c:v>2.1999999999999999E-2</c:v>
                </c:pt>
                <c:pt idx="6">
                  <c:v>2.87E-2</c:v>
                </c:pt>
                <c:pt idx="7">
                  <c:v>3.5999999999999997E-2</c:v>
                </c:pt>
                <c:pt idx="8">
                  <c:v>7.51E-2</c:v>
                </c:pt>
                <c:pt idx="9">
                  <c:v>0.155</c:v>
                </c:pt>
                <c:pt idx="10">
                  <c:v>0.24399999999999999</c:v>
                </c:pt>
                <c:pt idx="11">
                  <c:v>0.33</c:v>
                </c:pt>
                <c:pt idx="12">
                  <c:v>0.40899999999999997</c:v>
                </c:pt>
                <c:pt idx="13">
                  <c:v>0.48699999999999999</c:v>
                </c:pt>
                <c:pt idx="14">
                  <c:v>0.61599999999999999</c:v>
                </c:pt>
                <c:pt idx="15">
                  <c:v>0.66600000000000004</c:v>
                </c:pt>
                <c:pt idx="16">
                  <c:v>0.73899999999999999</c:v>
                </c:pt>
                <c:pt idx="17">
                  <c:v>0.83599999999999997</c:v>
                </c:pt>
                <c:pt idx="18">
                  <c:v>1.766</c:v>
                </c:pt>
                <c:pt idx="19">
                  <c:v>2.3889999999999998</c:v>
                </c:pt>
                <c:pt idx="20">
                  <c:v>2.7549999999999999</c:v>
                </c:pt>
                <c:pt idx="21">
                  <c:v>3.0750000000000002</c:v>
                </c:pt>
                <c:pt idx="22">
                  <c:v>3.3780000000000001</c:v>
                </c:pt>
                <c:pt idx="23">
                  <c:v>3.6360000000000001</c:v>
                </c:pt>
                <c:pt idx="24">
                  <c:v>3.8919999999999999</c:v>
                </c:pt>
                <c:pt idx="25">
                  <c:v>4.0659999999999998</c:v>
                </c:pt>
                <c:pt idx="26">
                  <c:v>4.1109999999999998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91-454D-A3E1-AEBD83E81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79975"/>
        <c:axId val="405782023"/>
      </c:scatterChart>
      <c:valAx>
        <c:axId val="405779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82023"/>
        <c:crosses val="autoZero"/>
        <c:crossBetween val="midCat"/>
      </c:valAx>
      <c:valAx>
        <c:axId val="405782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Vout_LNA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79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Linéarité Mixer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'Point de compression LNA+mixer'!$C$3:$C$20</c:f>
              <c:numCache>
                <c:formatCode>General</c:formatCode>
                <c:ptCount val="18"/>
                <c:pt idx="0">
                  <c:v>7.2499999999999995E-4</c:v>
                </c:pt>
                <c:pt idx="1">
                  <c:v>1.41E-3</c:v>
                </c:pt>
                <c:pt idx="2">
                  <c:v>2.2300000000000002E-3</c:v>
                </c:pt>
                <c:pt idx="3">
                  <c:v>7.1799999999999998E-3</c:v>
                </c:pt>
                <c:pt idx="4">
                  <c:v>1.44E-2</c:v>
                </c:pt>
                <c:pt idx="5">
                  <c:v>2.1999999999999999E-2</c:v>
                </c:pt>
                <c:pt idx="6">
                  <c:v>2.87E-2</c:v>
                </c:pt>
                <c:pt idx="7">
                  <c:v>3.5999999999999997E-2</c:v>
                </c:pt>
                <c:pt idx="8">
                  <c:v>7.51E-2</c:v>
                </c:pt>
                <c:pt idx="9">
                  <c:v>0.155</c:v>
                </c:pt>
                <c:pt idx="10">
                  <c:v>0.24399999999999999</c:v>
                </c:pt>
                <c:pt idx="11">
                  <c:v>0.33</c:v>
                </c:pt>
                <c:pt idx="12">
                  <c:v>0.40899999999999997</c:v>
                </c:pt>
                <c:pt idx="13">
                  <c:v>0.48699999999999999</c:v>
                </c:pt>
                <c:pt idx="14">
                  <c:v>0.61599999999999999</c:v>
                </c:pt>
                <c:pt idx="15">
                  <c:v>0.66600000000000004</c:v>
                </c:pt>
                <c:pt idx="16">
                  <c:v>0.73899999999999999</c:v>
                </c:pt>
                <c:pt idx="17">
                  <c:v>0.83599999999999997</c:v>
                </c:pt>
              </c:numCache>
            </c:numRef>
          </c:xVal>
          <c:yVal>
            <c:numRef>
              <c:f>'Point de compression LNA+mixer'!$H$3:$H$20</c:f>
              <c:numCache>
                <c:formatCode>General</c:formatCode>
                <c:ptCount val="18"/>
                <c:pt idx="0">
                  <c:v>1.3799999999999999E-3</c:v>
                </c:pt>
                <c:pt idx="1">
                  <c:v>2.7299999999999998E-3</c:v>
                </c:pt>
                <c:pt idx="2">
                  <c:v>4.3E-3</c:v>
                </c:pt>
                <c:pt idx="3">
                  <c:v>1.3899999999999999E-2</c:v>
                </c:pt>
                <c:pt idx="4">
                  <c:v>2.8299999999999999E-2</c:v>
                </c:pt>
                <c:pt idx="5">
                  <c:v>4.2700000000000002E-2</c:v>
                </c:pt>
                <c:pt idx="6">
                  <c:v>5.4899999999999997E-2</c:v>
                </c:pt>
                <c:pt idx="7">
                  <c:v>7.0800000000000002E-2</c:v>
                </c:pt>
                <c:pt idx="8">
                  <c:v>0.14599999999999999</c:v>
                </c:pt>
                <c:pt idx="9">
                  <c:v>0.28799999999999998</c:v>
                </c:pt>
                <c:pt idx="10">
                  <c:v>0.439</c:v>
                </c:pt>
                <c:pt idx="11">
                  <c:v>0.51900000000000002</c:v>
                </c:pt>
                <c:pt idx="12">
                  <c:v>0.58699999999999997</c:v>
                </c:pt>
                <c:pt idx="13">
                  <c:v>0.64600000000000002</c:v>
                </c:pt>
                <c:pt idx="14">
                  <c:v>0.69099999999999995</c:v>
                </c:pt>
                <c:pt idx="15">
                  <c:v>0.70299999999999996</c:v>
                </c:pt>
                <c:pt idx="16">
                  <c:v>0.72399999999999998</c:v>
                </c:pt>
                <c:pt idx="17">
                  <c:v>0.72199999999999998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36-4214-952A-7902364D7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61959"/>
        <c:axId val="102464007"/>
      </c:scatterChart>
      <c:valAx>
        <c:axId val="102461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Vout_LNA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4007"/>
        <c:crosses val="autoZero"/>
        <c:crossBetween val="midCat"/>
      </c:valAx>
      <c:valAx>
        <c:axId val="102464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Vout_Mixer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1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Linéarité LNA en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Vout = f(Ve)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'Point de compression LNA+mixer'!$B$3:$B$29</c:f>
              <c:numCache>
                <c:formatCode>General</c:formatCode>
                <c:ptCount val="27"/>
                <c:pt idx="0">
                  <c:v>-80</c:v>
                </c:pt>
                <c:pt idx="1">
                  <c:v>-73.979400086720375</c:v>
                </c:pt>
                <c:pt idx="2">
                  <c:v>-70.457574905606748</c:v>
                </c:pt>
                <c:pt idx="3">
                  <c:v>-60</c:v>
                </c:pt>
                <c:pt idx="4">
                  <c:v>-53.979400086720375</c:v>
                </c:pt>
                <c:pt idx="5">
                  <c:v>-50.457574905606748</c:v>
                </c:pt>
                <c:pt idx="6">
                  <c:v>-47.95880017344075</c:v>
                </c:pt>
                <c:pt idx="7">
                  <c:v>-46.020599913279625</c:v>
                </c:pt>
                <c:pt idx="8">
                  <c:v>-40</c:v>
                </c:pt>
                <c:pt idx="9">
                  <c:v>-33.979400086720375</c:v>
                </c:pt>
                <c:pt idx="10">
                  <c:v>-30.457574905606752</c:v>
                </c:pt>
                <c:pt idx="11">
                  <c:v>-27.95880017344075</c:v>
                </c:pt>
                <c:pt idx="12">
                  <c:v>-26.020599913279625</c:v>
                </c:pt>
                <c:pt idx="13">
                  <c:v>-24.436974992327126</c:v>
                </c:pt>
                <c:pt idx="14">
                  <c:v>-23.098039199714862</c:v>
                </c:pt>
                <c:pt idx="15">
                  <c:v>-21.938200260161128</c:v>
                </c:pt>
                <c:pt idx="16">
                  <c:v>-20.915149811213503</c:v>
                </c:pt>
                <c:pt idx="17">
                  <c:v>-20</c:v>
                </c:pt>
                <c:pt idx="18">
                  <c:v>-13.979400086720375</c:v>
                </c:pt>
                <c:pt idx="19">
                  <c:v>-10.457574905606752</c:v>
                </c:pt>
                <c:pt idx="20">
                  <c:v>-7.9588001734407516</c:v>
                </c:pt>
                <c:pt idx="21">
                  <c:v>-6.0205999132796242</c:v>
                </c:pt>
                <c:pt idx="22">
                  <c:v>-4.4369749923271282</c:v>
                </c:pt>
                <c:pt idx="23">
                  <c:v>-3.0980391997148637</c:v>
                </c:pt>
                <c:pt idx="24">
                  <c:v>-1.9382002601611279</c:v>
                </c:pt>
                <c:pt idx="25">
                  <c:v>-0.91514981121350236</c:v>
                </c:pt>
                <c:pt idx="26">
                  <c:v>0</c:v>
                </c:pt>
              </c:numCache>
            </c:numRef>
          </c:xVal>
          <c:yVal>
            <c:numRef>
              <c:f>'Point de compression LNA+mixer'!$D$3:$D$29</c:f>
              <c:numCache>
                <c:formatCode>General</c:formatCode>
                <c:ptCount val="27"/>
                <c:pt idx="0">
                  <c:v>-62.79323986858013</c:v>
                </c:pt>
                <c:pt idx="1">
                  <c:v>-57.015617746892396</c:v>
                </c:pt>
                <c:pt idx="2">
                  <c:v>-53.03390273903679</c:v>
                </c:pt>
                <c:pt idx="3">
                  <c:v>-42.877511115153993</c:v>
                </c:pt>
                <c:pt idx="4">
                  <c:v>-36.83275015809501</c:v>
                </c:pt>
                <c:pt idx="5">
                  <c:v>-33.151546383555875</c:v>
                </c:pt>
                <c:pt idx="6">
                  <c:v>-30.842362065320152</c:v>
                </c:pt>
                <c:pt idx="7">
                  <c:v>-28.873949984654253</c:v>
                </c:pt>
                <c:pt idx="8">
                  <c:v>-22.487201259916635</c:v>
                </c:pt>
                <c:pt idx="9">
                  <c:v>-16.193366036594171</c:v>
                </c:pt>
                <c:pt idx="10">
                  <c:v>-12.252203473225411</c:v>
                </c:pt>
                <c:pt idx="11">
                  <c:v>-9.6297212024422496</c:v>
                </c:pt>
                <c:pt idx="12">
                  <c:v>-7.7655338398531644</c:v>
                </c:pt>
                <c:pt idx="13">
                  <c:v>-6.2494207757073141</c:v>
                </c:pt>
                <c:pt idx="14">
                  <c:v>-4.2083857567114906</c:v>
                </c:pt>
                <c:pt idx="15">
                  <c:v>-3.5305154165939783</c:v>
                </c:pt>
                <c:pt idx="16">
                  <c:v>-2.6271112321034855</c:v>
                </c:pt>
                <c:pt idx="17">
                  <c:v>-1.5558744512196725</c:v>
                </c:pt>
                <c:pt idx="18">
                  <c:v>4.9398139848309954</c:v>
                </c:pt>
                <c:pt idx="19">
                  <c:v>7.564322994997557</c:v>
                </c:pt>
                <c:pt idx="20">
                  <c:v>8.8024320637560773</c:v>
                </c:pt>
                <c:pt idx="21">
                  <c:v>9.756902402228711</c:v>
                </c:pt>
                <c:pt idx="22">
                  <c:v>10.573192904699798</c:v>
                </c:pt>
                <c:pt idx="23">
                  <c:v>11.212477490998598</c:v>
                </c:pt>
                <c:pt idx="24">
                  <c:v>11.803456631926286</c:v>
                </c:pt>
                <c:pt idx="25">
                  <c:v>12.183347486040395</c:v>
                </c:pt>
                <c:pt idx="26">
                  <c:v>12.278949535606996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C9-4968-99B6-B4A312C942BA}"/>
            </c:ext>
          </c:extLst>
        </c:ser>
        <c:ser>
          <c:idx val="2"/>
          <c:order val="2"/>
          <c:tx>
            <c:v>tangente</c:v>
          </c:tx>
          <c:spPr>
            <a:ln w="190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8358267716535437E-2"/>
                  <c:y val="4.683143203072842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'Point de compression LNA+mixer'!$B$3:$B$29</c:f>
              <c:numCache>
                <c:formatCode>General</c:formatCode>
                <c:ptCount val="27"/>
                <c:pt idx="0">
                  <c:v>-80</c:v>
                </c:pt>
                <c:pt idx="1">
                  <c:v>-73.979400086720375</c:v>
                </c:pt>
                <c:pt idx="2">
                  <c:v>-70.457574905606748</c:v>
                </c:pt>
                <c:pt idx="3">
                  <c:v>-60</c:v>
                </c:pt>
                <c:pt idx="4">
                  <c:v>-53.979400086720375</c:v>
                </c:pt>
                <c:pt idx="5">
                  <c:v>-50.457574905606748</c:v>
                </c:pt>
                <c:pt idx="6">
                  <c:v>-47.95880017344075</c:v>
                </c:pt>
                <c:pt idx="7">
                  <c:v>-46.020599913279625</c:v>
                </c:pt>
                <c:pt idx="8">
                  <c:v>-40</c:v>
                </c:pt>
                <c:pt idx="9">
                  <c:v>-33.979400086720375</c:v>
                </c:pt>
                <c:pt idx="10">
                  <c:v>-30.457574905606752</c:v>
                </c:pt>
                <c:pt idx="11">
                  <c:v>-27.95880017344075</c:v>
                </c:pt>
                <c:pt idx="12">
                  <c:v>-26.020599913279625</c:v>
                </c:pt>
                <c:pt idx="13">
                  <c:v>-24.436974992327126</c:v>
                </c:pt>
                <c:pt idx="14">
                  <c:v>-23.098039199714862</c:v>
                </c:pt>
                <c:pt idx="15">
                  <c:v>-21.938200260161128</c:v>
                </c:pt>
                <c:pt idx="16">
                  <c:v>-20.915149811213503</c:v>
                </c:pt>
                <c:pt idx="17">
                  <c:v>-20</c:v>
                </c:pt>
                <c:pt idx="18">
                  <c:v>-13.979400086720375</c:v>
                </c:pt>
                <c:pt idx="19">
                  <c:v>-10.457574905606752</c:v>
                </c:pt>
                <c:pt idx="20">
                  <c:v>-7.9588001734407516</c:v>
                </c:pt>
                <c:pt idx="21">
                  <c:v>-6.0205999132796242</c:v>
                </c:pt>
                <c:pt idx="22">
                  <c:v>-4.4369749923271282</c:v>
                </c:pt>
                <c:pt idx="23">
                  <c:v>-3.0980391997148637</c:v>
                </c:pt>
                <c:pt idx="24">
                  <c:v>-1.9382002601611279</c:v>
                </c:pt>
                <c:pt idx="25">
                  <c:v>-0.91514981121350236</c:v>
                </c:pt>
                <c:pt idx="26">
                  <c:v>0</c:v>
                </c:pt>
              </c:numCache>
            </c:numRef>
          </c:xVal>
          <c:yVal>
            <c:numRef>
              <c:f>'Point de compression LNA+mixer'!$E$3:$E$29</c:f>
              <c:numCache>
                <c:formatCode>General</c:formatCode>
                <c:ptCount val="27"/>
                <c:pt idx="0">
                  <c:v>-63.158999999999992</c:v>
                </c:pt>
                <c:pt idx="1">
                  <c:v>-56.977650069035803</c:v>
                </c:pt>
                <c:pt idx="2">
                  <c:v>-53.361792155586443</c:v>
                </c:pt>
                <c:pt idx="3">
                  <c:v>-42.625</c:v>
                </c:pt>
                <c:pt idx="4">
                  <c:v>-36.443650069035812</c:v>
                </c:pt>
                <c:pt idx="5">
                  <c:v>-32.827792155586451</c:v>
                </c:pt>
                <c:pt idx="6">
                  <c:v>-30.262300138071613</c:v>
                </c:pt>
                <c:pt idx="7">
                  <c:v>-28.272349930964186</c:v>
                </c:pt>
                <c:pt idx="8">
                  <c:v>-22.090999999999998</c:v>
                </c:pt>
                <c:pt idx="9">
                  <c:v>-15.909650069035809</c:v>
                </c:pt>
                <c:pt idx="10">
                  <c:v>-12.293792155586448</c:v>
                </c:pt>
                <c:pt idx="11">
                  <c:v>-9.7283001380716172</c:v>
                </c:pt>
                <c:pt idx="12">
                  <c:v>-7.7383499309641905</c:v>
                </c:pt>
                <c:pt idx="13">
                  <c:v>-6.1124422246222601</c:v>
                </c:pt>
                <c:pt idx="14">
                  <c:v>-4.7377568463472457</c:v>
                </c:pt>
                <c:pt idx="15">
                  <c:v>-3.5469502071074288</c:v>
                </c:pt>
                <c:pt idx="16">
                  <c:v>-2.4965843111729029</c:v>
                </c:pt>
                <c:pt idx="17">
                  <c:v>-1.5569999999999986</c:v>
                </c:pt>
                <c:pt idx="18">
                  <c:v>4.6243499309641916</c:v>
                </c:pt>
                <c:pt idx="19">
                  <c:v>8.2402078444135487</c:v>
                </c:pt>
                <c:pt idx="20">
                  <c:v>10.805699861928382</c:v>
                </c:pt>
                <c:pt idx="21">
                  <c:v>12.79565006903581</c:v>
                </c:pt>
                <c:pt idx="22">
                  <c:v>14.421557775377739</c:v>
                </c:pt>
                <c:pt idx="23">
                  <c:v>15.79624315365275</c:v>
                </c:pt>
                <c:pt idx="24">
                  <c:v>16.98704979289257</c:v>
                </c:pt>
                <c:pt idx="25">
                  <c:v>18.037415688827096</c:v>
                </c:pt>
                <c:pt idx="26">
                  <c:v>18.977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CB-44B2-BE49-42E1863EB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54663"/>
        <c:axId val="3828567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jsp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'Point de compression LNA+mixer'!$B$3:$B$20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-80</c:v>
                      </c:pt>
                      <c:pt idx="1">
                        <c:v>-73.979400086720375</c:v>
                      </c:pt>
                      <c:pt idx="2">
                        <c:v>-70.457574905606748</c:v>
                      </c:pt>
                      <c:pt idx="3">
                        <c:v>-60</c:v>
                      </c:pt>
                      <c:pt idx="4">
                        <c:v>-53.979400086720375</c:v>
                      </c:pt>
                      <c:pt idx="5">
                        <c:v>-50.457574905606748</c:v>
                      </c:pt>
                      <c:pt idx="6">
                        <c:v>-47.95880017344075</c:v>
                      </c:pt>
                      <c:pt idx="7">
                        <c:v>-46.020599913279625</c:v>
                      </c:pt>
                      <c:pt idx="8">
                        <c:v>-40</c:v>
                      </c:pt>
                      <c:pt idx="9">
                        <c:v>-33.979400086720375</c:v>
                      </c:pt>
                      <c:pt idx="10">
                        <c:v>-30.457574905606752</c:v>
                      </c:pt>
                      <c:pt idx="11">
                        <c:v>-27.95880017344075</c:v>
                      </c:pt>
                      <c:pt idx="12">
                        <c:v>-26.020599913279625</c:v>
                      </c:pt>
                      <c:pt idx="13">
                        <c:v>-24.436974992327126</c:v>
                      </c:pt>
                      <c:pt idx="14">
                        <c:v>-23.098039199714862</c:v>
                      </c:pt>
                      <c:pt idx="15">
                        <c:v>-21.938200260161128</c:v>
                      </c:pt>
                      <c:pt idx="16">
                        <c:v>-20.915149811213503</c:v>
                      </c:pt>
                      <c:pt idx="17">
                        <c:v>-20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'Point de compression LNA+mixer'!$D$3:$D$20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-62.79323986858013</c:v>
                      </c:pt>
                      <c:pt idx="1">
                        <c:v>-57.015617746892396</c:v>
                      </c:pt>
                      <c:pt idx="2">
                        <c:v>-53.03390273903679</c:v>
                      </c:pt>
                      <c:pt idx="3">
                        <c:v>-42.877511115153993</c:v>
                      </c:pt>
                      <c:pt idx="4">
                        <c:v>-36.83275015809501</c:v>
                      </c:pt>
                      <c:pt idx="5">
                        <c:v>-33.151546383555875</c:v>
                      </c:pt>
                      <c:pt idx="6">
                        <c:v>-30.842362065320152</c:v>
                      </c:pt>
                      <c:pt idx="7">
                        <c:v>-28.873949984654253</c:v>
                      </c:pt>
                      <c:pt idx="8">
                        <c:v>-22.487201259916635</c:v>
                      </c:pt>
                      <c:pt idx="9">
                        <c:v>-16.193366036594171</c:v>
                      </c:pt>
                      <c:pt idx="10">
                        <c:v>-12.252203473225411</c:v>
                      </c:pt>
                      <c:pt idx="11">
                        <c:v>-9.6297212024422496</c:v>
                      </c:pt>
                      <c:pt idx="12">
                        <c:v>-7.7655338398531644</c:v>
                      </c:pt>
                      <c:pt idx="13">
                        <c:v>-6.2494207757073141</c:v>
                      </c:pt>
                      <c:pt idx="14">
                        <c:v>-4.2083857567114906</c:v>
                      </c:pt>
                      <c:pt idx="15">
                        <c:v>-3.5305154165939783</c:v>
                      </c:pt>
                      <c:pt idx="16">
                        <c:v>-2.6271112321034855</c:v>
                      </c:pt>
                      <c:pt idx="17">
                        <c:v>-1.5558744512196725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1CB-44B2-BE49-42E1863EB61F}"/>
                  </c:ext>
                </c:extLst>
              </c15:ser>
            </c15:filteredScatterSeries>
          </c:ext>
        </c:extLst>
      </c:scatterChart>
      <c:valAx>
        <c:axId val="382854663"/>
        <c:scaling>
          <c:orientation val="minMax"/>
          <c:max val="10"/>
          <c:min val="-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56711"/>
        <c:crosses val="autoZero"/>
        <c:crossBetween val="midCat"/>
      </c:valAx>
      <c:valAx>
        <c:axId val="382856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Vout_LNA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54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Linéarité Mixer en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VOUT_MIXER</c:v>
          </c:tx>
          <c:spPr>
            <a:ln w="1905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'Point de compression LNA+mixer'!$D$3:$D$21</c:f>
              <c:numCache>
                <c:formatCode>General</c:formatCode>
                <c:ptCount val="19"/>
                <c:pt idx="0">
                  <c:v>-62.79323986858013</c:v>
                </c:pt>
                <c:pt idx="1">
                  <c:v>-57.015617746892396</c:v>
                </c:pt>
                <c:pt idx="2">
                  <c:v>-53.03390273903679</c:v>
                </c:pt>
                <c:pt idx="3">
                  <c:v>-42.877511115153993</c:v>
                </c:pt>
                <c:pt idx="4">
                  <c:v>-36.83275015809501</c:v>
                </c:pt>
                <c:pt idx="5">
                  <c:v>-33.151546383555875</c:v>
                </c:pt>
                <c:pt idx="6">
                  <c:v>-30.842362065320152</c:v>
                </c:pt>
                <c:pt idx="7">
                  <c:v>-28.873949984654253</c:v>
                </c:pt>
                <c:pt idx="8">
                  <c:v>-22.487201259916635</c:v>
                </c:pt>
                <c:pt idx="9">
                  <c:v>-16.193366036594171</c:v>
                </c:pt>
                <c:pt idx="10">
                  <c:v>-12.252203473225411</c:v>
                </c:pt>
                <c:pt idx="11">
                  <c:v>-9.6297212024422496</c:v>
                </c:pt>
                <c:pt idx="12">
                  <c:v>-7.7655338398531644</c:v>
                </c:pt>
                <c:pt idx="13">
                  <c:v>-6.2494207757073141</c:v>
                </c:pt>
                <c:pt idx="14">
                  <c:v>-4.2083857567114906</c:v>
                </c:pt>
                <c:pt idx="15">
                  <c:v>-3.5305154165939783</c:v>
                </c:pt>
                <c:pt idx="16">
                  <c:v>-2.6271112321034855</c:v>
                </c:pt>
                <c:pt idx="17">
                  <c:v>-1.5558744512196725</c:v>
                </c:pt>
                <c:pt idx="18">
                  <c:v>4.9398139848309954</c:v>
                </c:pt>
              </c:numCache>
            </c:numRef>
          </c:xVal>
          <c:yVal>
            <c:numRef>
              <c:f>'Point de compression LNA+mixer'!$I$3:$I$21</c:f>
              <c:numCache>
                <c:formatCode>General</c:formatCode>
                <c:ptCount val="19"/>
                <c:pt idx="0">
                  <c:v>-57.202418271975269</c:v>
                </c:pt>
                <c:pt idx="1">
                  <c:v>-51.276747059184878</c:v>
                </c:pt>
                <c:pt idx="2">
                  <c:v>-47.330630888408265</c:v>
                </c:pt>
                <c:pt idx="3">
                  <c:v>-37.139703994918101</c:v>
                </c:pt>
                <c:pt idx="4">
                  <c:v>-30.964271289514194</c:v>
                </c:pt>
                <c:pt idx="5">
                  <c:v>-27.391442499499522</c:v>
                </c:pt>
                <c:pt idx="6">
                  <c:v>-25.20855311099816</c:v>
                </c:pt>
                <c:pt idx="7">
                  <c:v>-22.999334846204619</c:v>
                </c:pt>
                <c:pt idx="8">
                  <c:v>-16.712942884311261</c:v>
                </c:pt>
                <c:pt idx="9">
                  <c:v>-10.812150244815385</c:v>
                </c:pt>
                <c:pt idx="10">
                  <c:v>-7.150709595157573</c:v>
                </c:pt>
                <c:pt idx="11">
                  <c:v>-5.6966528430308427</c:v>
                </c:pt>
                <c:pt idx="12">
                  <c:v>-4.6272379750477111</c:v>
                </c:pt>
                <c:pt idx="13">
                  <c:v>-3.7953496400983178</c:v>
                </c:pt>
                <c:pt idx="14">
                  <c:v>-3.2104390525160325</c:v>
                </c:pt>
                <c:pt idx="15">
                  <c:v>-3.0608934996035213</c:v>
                </c:pt>
                <c:pt idx="16">
                  <c:v>-2.8052286760570624</c:v>
                </c:pt>
                <c:pt idx="17">
                  <c:v>-2.8292560486072178</c:v>
                </c:pt>
                <c:pt idx="18">
                  <c:v>-2.4525730826045189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E2-4A92-AC95-0AEFC248A314}"/>
            </c:ext>
          </c:extLst>
        </c:ser>
        <c:ser>
          <c:idx val="2"/>
          <c:order val="2"/>
          <c:tx>
            <c:v>tangente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3911854768153974E-2"/>
                  <c:y val="-2.500729075532225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'Point de compression LNA+mixer'!$D$3:$D$21</c:f>
              <c:numCache>
                <c:formatCode>General</c:formatCode>
                <c:ptCount val="19"/>
                <c:pt idx="0">
                  <c:v>-62.79323986858013</c:v>
                </c:pt>
                <c:pt idx="1">
                  <c:v>-57.015617746892396</c:v>
                </c:pt>
                <c:pt idx="2">
                  <c:v>-53.03390273903679</c:v>
                </c:pt>
                <c:pt idx="3">
                  <c:v>-42.877511115153993</c:v>
                </c:pt>
                <c:pt idx="4">
                  <c:v>-36.83275015809501</c:v>
                </c:pt>
                <c:pt idx="5">
                  <c:v>-33.151546383555875</c:v>
                </c:pt>
                <c:pt idx="6">
                  <c:v>-30.842362065320152</c:v>
                </c:pt>
                <c:pt idx="7">
                  <c:v>-28.873949984654253</c:v>
                </c:pt>
                <c:pt idx="8">
                  <c:v>-22.487201259916635</c:v>
                </c:pt>
                <c:pt idx="9">
                  <c:v>-16.193366036594171</c:v>
                </c:pt>
                <c:pt idx="10">
                  <c:v>-12.252203473225411</c:v>
                </c:pt>
                <c:pt idx="11">
                  <c:v>-9.6297212024422496</c:v>
                </c:pt>
                <c:pt idx="12">
                  <c:v>-7.7655338398531644</c:v>
                </c:pt>
                <c:pt idx="13">
                  <c:v>-6.2494207757073141</c:v>
                </c:pt>
                <c:pt idx="14">
                  <c:v>-4.2083857567114906</c:v>
                </c:pt>
                <c:pt idx="15">
                  <c:v>-3.5305154165939783</c:v>
                </c:pt>
                <c:pt idx="16">
                  <c:v>-2.6271112321034855</c:v>
                </c:pt>
                <c:pt idx="17">
                  <c:v>-1.5558744512196725</c:v>
                </c:pt>
                <c:pt idx="18">
                  <c:v>4.9398139848309954</c:v>
                </c:pt>
              </c:numCache>
            </c:numRef>
          </c:xVal>
          <c:yVal>
            <c:numRef>
              <c:f>'Point de compression LNA+mixer'!$J$3:$J$21</c:f>
              <c:numCache>
                <c:formatCode>General</c:formatCode>
                <c:ptCount val="19"/>
                <c:pt idx="0">
                  <c:v>-57.056087980737836</c:v>
                </c:pt>
                <c:pt idx="1">
                  <c:v>-51.285399005596126</c:v>
                </c:pt>
                <c:pt idx="2">
                  <c:v>-47.308462055749949</c:v>
                </c:pt>
                <c:pt idx="3">
                  <c:v>-37.164258101815811</c:v>
                </c:pt>
                <c:pt idx="4">
                  <c:v>-31.1267508579053</c:v>
                </c:pt>
                <c:pt idx="5">
                  <c:v>-27.449964527895609</c:v>
                </c:pt>
                <c:pt idx="6">
                  <c:v>-25.143551230841769</c:v>
                </c:pt>
                <c:pt idx="7">
                  <c:v>-23.177501244672669</c:v>
                </c:pt>
                <c:pt idx="8">
                  <c:v>-16.798416618404737</c:v>
                </c:pt>
                <c:pt idx="9">
                  <c:v>-10.512133997350258</c:v>
                </c:pt>
                <c:pt idx="10">
                  <c:v>-6.5757008290575394</c:v>
                </c:pt>
                <c:pt idx="11">
                  <c:v>-3.9563655369993187</c:v>
                </c:pt>
                <c:pt idx="12">
                  <c:v>-2.0944151992453399</c:v>
                </c:pt>
                <c:pt idx="13">
                  <c:v>-0.58012147077646503</c:v>
                </c:pt>
                <c:pt idx="14">
                  <c:v>1.4584643061965634</c:v>
                </c:pt>
                <c:pt idx="15">
                  <c:v>2.1355212019059349</c:v>
                </c:pt>
                <c:pt idx="16">
                  <c:v>3.0378413013750389</c:v>
                </c:pt>
                <c:pt idx="17">
                  <c:v>4.107792598121792</c:v>
                </c:pt>
                <c:pt idx="18">
                  <c:v>10.595686208049198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50-434B-9A2F-0E457494E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934599"/>
        <c:axId val="8859366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jsp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'Point de compression LNA+mixer'!$D$3:$D$12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-62.79323986858013</c:v>
                      </c:pt>
                      <c:pt idx="1">
                        <c:v>-57.015617746892396</c:v>
                      </c:pt>
                      <c:pt idx="2">
                        <c:v>-53.03390273903679</c:v>
                      </c:pt>
                      <c:pt idx="3">
                        <c:v>-42.877511115153993</c:v>
                      </c:pt>
                      <c:pt idx="4">
                        <c:v>-36.83275015809501</c:v>
                      </c:pt>
                      <c:pt idx="5">
                        <c:v>-33.151546383555875</c:v>
                      </c:pt>
                      <c:pt idx="6">
                        <c:v>-30.842362065320152</c:v>
                      </c:pt>
                      <c:pt idx="7">
                        <c:v>-28.873949984654253</c:v>
                      </c:pt>
                      <c:pt idx="8">
                        <c:v>-22.487201259916635</c:v>
                      </c:pt>
                      <c:pt idx="9">
                        <c:v>-16.193366036594171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'Point de compression LNA+mixer'!$I$3:$I$12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-57.202418271975269</c:v>
                      </c:pt>
                      <c:pt idx="1">
                        <c:v>-51.276747059184878</c:v>
                      </c:pt>
                      <c:pt idx="2">
                        <c:v>-47.330630888408265</c:v>
                      </c:pt>
                      <c:pt idx="3">
                        <c:v>-37.139703994918101</c:v>
                      </c:pt>
                      <c:pt idx="4">
                        <c:v>-30.964271289514194</c:v>
                      </c:pt>
                      <c:pt idx="5">
                        <c:v>-27.391442499499522</c:v>
                      </c:pt>
                      <c:pt idx="6">
                        <c:v>-25.20855311099816</c:v>
                      </c:pt>
                      <c:pt idx="7">
                        <c:v>-22.999334846204619</c:v>
                      </c:pt>
                      <c:pt idx="8">
                        <c:v>-16.712942884311261</c:v>
                      </c:pt>
                      <c:pt idx="9">
                        <c:v>-10.812150244815385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450-434B-9A2F-0E457494E0D3}"/>
                  </c:ext>
                </c:extLst>
              </c15:ser>
            </c15:filteredScatterSeries>
          </c:ext>
        </c:extLst>
      </c:scatterChart>
      <c:valAx>
        <c:axId val="885934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Vout_LNA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36647"/>
        <c:crosses val="autoZero"/>
        <c:crossBetween val="midCat"/>
      </c:valAx>
      <c:valAx>
        <c:axId val="885936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Vout_Mixer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34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76200</xdr:rowOff>
    </xdr:from>
    <xdr:to>
      <xdr:col>5</xdr:col>
      <xdr:colOff>343527</xdr:colOff>
      <xdr:row>27</xdr:row>
      <xdr:rowOff>19364</xdr:rowOff>
    </xdr:to>
    <xdr:grpSp>
      <xdr:nvGrpSpPr>
        <xdr:cNvPr id="246" name="Groupe 245">
          <a:extLst>
            <a:ext uri="{FF2B5EF4-FFF2-40B4-BE49-F238E27FC236}">
              <a16:creationId xmlns:a16="http://schemas.microsoft.com/office/drawing/2014/main" id="{EB659948-B18E-D330-F275-89E3ABD3F8A0}"/>
            </a:ext>
          </a:extLst>
        </xdr:cNvPr>
        <xdr:cNvGrpSpPr/>
      </xdr:nvGrpSpPr>
      <xdr:grpSpPr>
        <a:xfrm>
          <a:off x="790575" y="476250"/>
          <a:ext cx="3362952" cy="4715189"/>
          <a:chOff x="1224435" y="1774659"/>
          <a:chExt cx="3362952" cy="4470714"/>
        </a:xfrm>
      </xdr:grpSpPr>
      <xdr:sp macro="" textlink="">
        <xdr:nvSpPr>
          <xdr:cNvPr id="247" name="Rectangle 246">
            <a:extLst>
              <a:ext uri="{FF2B5EF4-FFF2-40B4-BE49-F238E27FC236}">
                <a16:creationId xmlns:a16="http://schemas.microsoft.com/office/drawing/2014/main" id="{84DD041D-77A8-84DF-B94D-CD546AFB5D94}"/>
              </a:ext>
            </a:extLst>
          </xdr:cNvPr>
          <xdr:cNvSpPr/>
        </xdr:nvSpPr>
        <xdr:spPr>
          <a:xfrm>
            <a:off x="1339411" y="1774659"/>
            <a:ext cx="2775389" cy="447071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pic>
        <xdr:nvPicPr>
          <xdr:cNvPr id="248" name="Picture 6" descr="symbole d'inducteur électrique, inducteur électrique : image vectorielle de  stock (libre de droits) 2174383067 | Shutterstock">
            <a:extLst>
              <a:ext uri="{FF2B5EF4-FFF2-40B4-BE49-F238E27FC236}">
                <a16:creationId xmlns:a16="http://schemas.microsoft.com/office/drawing/2014/main" id="{7F63BB45-6067-9A0B-B931-E221058A4978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2672" t="29403" r="10534" b="50298"/>
          <a:stretch/>
        </xdr:blipFill>
        <xdr:spPr bwMode="auto">
          <a:xfrm>
            <a:off x="1433059" y="4501455"/>
            <a:ext cx="760244" cy="22753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49" name="Picture 6" descr="symbole d'inducteur électrique, inducteur électrique : image vectorielle de  stock (libre de droits) 2174383067 | Shutterstock">
            <a:extLst>
              <a:ext uri="{FF2B5EF4-FFF2-40B4-BE49-F238E27FC236}">
                <a16:creationId xmlns:a16="http://schemas.microsoft.com/office/drawing/2014/main" id="{016D1B7A-DE64-4E20-0222-3C49D0BEA8A7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2672" t="29403" r="10534" b="50298"/>
          <a:stretch/>
        </xdr:blipFill>
        <xdr:spPr bwMode="auto">
          <a:xfrm rot="5400000">
            <a:off x="2366021" y="5449183"/>
            <a:ext cx="760244" cy="22753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50" name="ZoneTexte 126">
                <a:extLst>
                  <a:ext uri="{FF2B5EF4-FFF2-40B4-BE49-F238E27FC236}">
                    <a16:creationId xmlns:a16="http://schemas.microsoft.com/office/drawing/2014/main" id="{C5DF24F8-5E31-8017-FE40-7EE34251DE12}"/>
                  </a:ext>
                </a:extLst>
              </xdr:cNvPr>
              <xdr:cNvSpPr txBox="1"/>
            </xdr:nvSpPr>
            <xdr:spPr>
              <a:xfrm>
                <a:off x="2414781" y="5388574"/>
                <a:ext cx="1212849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fr-FR" b="0" i="1">
                          <a:latin typeface="Cambria Math" panose="02040503050406030204" pitchFamily="18" charset="0"/>
                        </a:rPr>
                        <m:t>𝐿</m:t>
                      </m:r>
                      <m:r>
                        <a:rPr lang="fr-FR" b="0" i="1" baseline="-25000">
                          <a:latin typeface="Cambria Math" panose="02040503050406030204" pitchFamily="18" charset="0"/>
                        </a:rPr>
                        <m:t>2</m:t>
                      </m:r>
                    </m:oMath>
                  </m:oMathPara>
                </a14:m>
                <a:endParaRPr lang="fr-FR" baseline="-25000"/>
              </a:p>
            </xdr:txBody>
          </xdr:sp>
        </mc:Choice>
        <mc:Fallback xmlns="">
          <xdr:sp macro="" textlink="">
            <xdr:nvSpPr>
              <xdr:cNvPr id="250" name="ZoneTexte 126">
                <a:extLst>
                  <a:ext uri="{FF2B5EF4-FFF2-40B4-BE49-F238E27FC236}">
                    <a16:creationId xmlns:a16="http://schemas.microsoft.com/office/drawing/2014/main" id="{C5DF24F8-5E31-8017-FE40-7EE34251DE12}"/>
                  </a:ext>
                </a:extLst>
              </xdr:cNvPr>
              <xdr:cNvSpPr txBox="1"/>
            </xdr:nvSpPr>
            <xdr:spPr>
              <a:xfrm>
                <a:off x="2414781" y="5388574"/>
                <a:ext cx="1212849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fr-FR" b="0" i="0">
                    <a:latin typeface="Cambria Math" panose="02040503050406030204" pitchFamily="18" charset="0"/>
                  </a:rPr>
                  <a:t>𝐿</a:t>
                </a:r>
                <a:r>
                  <a:rPr lang="fr-FR" b="0" i="0" baseline="-25000">
                    <a:latin typeface="Cambria Math" panose="02040503050406030204" pitchFamily="18" charset="0"/>
                  </a:rPr>
                  <a:t>2</a:t>
                </a:r>
                <a:endParaRPr lang="fr-FR" baseline="-25000"/>
              </a:p>
            </xdr:txBody>
          </xdr:sp>
        </mc:Fallback>
      </mc:AlternateContent>
      <xdr:pic>
        <xdr:nvPicPr>
          <xdr:cNvPr id="251" name="Picture 6" descr="symbole d'inducteur électrique, inducteur électrique : image vectorielle de  stock (libre de droits) 2174383067 | Shutterstock">
            <a:extLst>
              <a:ext uri="{FF2B5EF4-FFF2-40B4-BE49-F238E27FC236}">
                <a16:creationId xmlns:a16="http://schemas.microsoft.com/office/drawing/2014/main" id="{EFEEB3F2-BEA2-0E13-F920-F153485D455C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2672" t="29403" r="10534" b="50298"/>
          <a:stretch/>
        </xdr:blipFill>
        <xdr:spPr bwMode="auto">
          <a:xfrm rot="5400000">
            <a:off x="1853276" y="2427747"/>
            <a:ext cx="760244" cy="22753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52" name="Picture 2" descr="Résistances – SOA">
            <a:extLst>
              <a:ext uri="{FF2B5EF4-FFF2-40B4-BE49-F238E27FC236}">
                <a16:creationId xmlns:a16="http://schemas.microsoft.com/office/drawing/2014/main" id="{E91EC13A-169D-1496-F0D7-F94C3749C661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204" r="9048"/>
          <a:stretch/>
        </xdr:blipFill>
        <xdr:spPr bwMode="auto">
          <a:xfrm rot="5400000">
            <a:off x="2382288" y="2305121"/>
            <a:ext cx="569291" cy="52338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253" name="Groupe 252">
            <a:extLst>
              <a:ext uri="{FF2B5EF4-FFF2-40B4-BE49-F238E27FC236}">
                <a16:creationId xmlns:a16="http://schemas.microsoft.com/office/drawing/2014/main" id="{467B4227-9B16-9E70-14C0-DDB11E439B9D}"/>
              </a:ext>
            </a:extLst>
          </xdr:cNvPr>
          <xdr:cNvGrpSpPr/>
        </xdr:nvGrpSpPr>
        <xdr:grpSpPr>
          <a:xfrm rot="16200000">
            <a:off x="3604180" y="1926473"/>
            <a:ext cx="753566" cy="1212849"/>
            <a:chOff x="3095627" y="987425"/>
            <a:chExt cx="847724" cy="1212849"/>
          </a:xfrm>
        </xdr:grpSpPr>
        <xdr:cxnSp macro="">
          <xdr:nvCxnSpPr>
            <xdr:cNvPr id="298" name="Connecteur droit 297">
              <a:extLst>
                <a:ext uri="{FF2B5EF4-FFF2-40B4-BE49-F238E27FC236}">
                  <a16:creationId xmlns:a16="http://schemas.microsoft.com/office/drawing/2014/main" id="{B10C70A9-0425-1190-329A-CC9D1F926101}"/>
                </a:ext>
              </a:extLst>
            </xdr:cNvPr>
            <xdr:cNvCxnSpPr>
              <a:cxnSpLocks/>
            </xdr:cNvCxnSpPr>
          </xdr:nvCxnSpPr>
          <xdr:spPr>
            <a:xfrm rot="5400000" flipV="1">
              <a:off x="3765551" y="1009650"/>
              <a:ext cx="6350" cy="34925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99" name="ZoneTexte 9">
                  <a:extLst>
                    <a:ext uri="{FF2B5EF4-FFF2-40B4-BE49-F238E27FC236}">
                      <a16:creationId xmlns:a16="http://schemas.microsoft.com/office/drawing/2014/main" id="{45BE2622-F6FE-AAC5-8998-ED3E3A63797E}"/>
                    </a:ext>
                  </a:extLst>
                </xdr:cNvPr>
                <xdr:cNvSpPr txBox="1"/>
              </xdr:nvSpPr>
              <xdr:spPr>
                <a:xfrm rot="5400000">
                  <a:off x="2935937" y="1389680"/>
                  <a:ext cx="1212849" cy="408339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m:rPr>
                            <m:sty m:val="p"/>
                          </m:rPr>
                          <a:rPr lang="fr-FR" b="0" i="0">
                            <a:latin typeface="Cambria Math" panose="02040503050406030204" pitchFamily="18" charset="0"/>
                          </a:rPr>
                          <m:t>C</m:t>
                        </m:r>
                      </m:oMath>
                    </m:oMathPara>
                  </a14:m>
                  <a:endParaRPr lang="fr-FR" baseline="-25000"/>
                </a:p>
              </xdr:txBody>
            </xdr:sp>
          </mc:Choice>
          <mc:Fallback xmlns="">
            <xdr:sp macro="" textlink="">
              <xdr:nvSpPr>
                <xdr:cNvPr id="299" name="ZoneTexte 9">
                  <a:extLst>
                    <a:ext uri="{FF2B5EF4-FFF2-40B4-BE49-F238E27FC236}">
                      <a16:creationId xmlns:a16="http://schemas.microsoft.com/office/drawing/2014/main" id="{45BE2622-F6FE-AAC5-8998-ED3E3A63797E}"/>
                    </a:ext>
                  </a:extLst>
                </xdr:cNvPr>
                <xdr:cNvSpPr txBox="1"/>
              </xdr:nvSpPr>
              <xdr:spPr>
                <a:xfrm rot="5400000">
                  <a:off x="2935937" y="1389680"/>
                  <a:ext cx="1212849" cy="408339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fr-FR" b="0" i="0">
                      <a:latin typeface="Cambria Math" panose="02040503050406030204" pitchFamily="18" charset="0"/>
                    </a:rPr>
                    <a:t>C</a:t>
                  </a:r>
                  <a:endParaRPr lang="fr-FR" baseline="-25000"/>
                </a:p>
              </xdr:txBody>
            </xdr:sp>
          </mc:Fallback>
        </mc:AlternateContent>
        <xdr:cxnSp macro="">
          <xdr:nvCxnSpPr>
            <xdr:cNvPr id="300" name="Connecteur droit 299">
              <a:extLst>
                <a:ext uri="{FF2B5EF4-FFF2-40B4-BE49-F238E27FC236}">
                  <a16:creationId xmlns:a16="http://schemas.microsoft.com/office/drawing/2014/main" id="{40D03861-3142-B231-A1B8-DC8058B78317}"/>
                </a:ext>
              </a:extLst>
            </xdr:cNvPr>
            <xdr:cNvCxnSpPr>
              <a:cxnSpLocks/>
            </xdr:cNvCxnSpPr>
          </xdr:nvCxnSpPr>
          <xdr:spPr>
            <a:xfrm rot="5400000" flipH="1">
              <a:off x="3254377" y="1181101"/>
              <a:ext cx="387350" cy="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1" name="Connecteur droit 300">
              <a:extLst>
                <a:ext uri="{FF2B5EF4-FFF2-40B4-BE49-F238E27FC236}">
                  <a16:creationId xmlns:a16="http://schemas.microsoft.com/office/drawing/2014/main" id="{98516A97-2282-6A7F-A9CE-916D348F2E56}"/>
                </a:ext>
              </a:extLst>
            </xdr:cNvPr>
            <xdr:cNvCxnSpPr>
              <a:cxnSpLocks/>
            </xdr:cNvCxnSpPr>
          </xdr:nvCxnSpPr>
          <xdr:spPr>
            <a:xfrm rot="5400000" flipH="1">
              <a:off x="3406777" y="1181100"/>
              <a:ext cx="387350" cy="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2" name="Connecteur droit 301">
              <a:extLst>
                <a:ext uri="{FF2B5EF4-FFF2-40B4-BE49-F238E27FC236}">
                  <a16:creationId xmlns:a16="http://schemas.microsoft.com/office/drawing/2014/main" id="{DDF0E202-30D6-D82F-4468-71EC194B9D2D}"/>
                </a:ext>
              </a:extLst>
            </xdr:cNvPr>
            <xdr:cNvCxnSpPr>
              <a:cxnSpLocks/>
            </xdr:cNvCxnSpPr>
          </xdr:nvCxnSpPr>
          <xdr:spPr>
            <a:xfrm rot="5400000" flipV="1">
              <a:off x="3267077" y="1009650"/>
              <a:ext cx="6350" cy="34925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54" name="Groupe 253">
            <a:extLst>
              <a:ext uri="{FF2B5EF4-FFF2-40B4-BE49-F238E27FC236}">
                <a16:creationId xmlns:a16="http://schemas.microsoft.com/office/drawing/2014/main" id="{85DA8F61-F8DA-0EB7-10F2-8C648BE09716}"/>
              </a:ext>
            </a:extLst>
          </xdr:cNvPr>
          <xdr:cNvGrpSpPr/>
        </xdr:nvGrpSpPr>
        <xdr:grpSpPr>
          <a:xfrm>
            <a:off x="2124843" y="2985446"/>
            <a:ext cx="542544" cy="1208778"/>
            <a:chOff x="9287256" y="548140"/>
            <a:chExt cx="542544" cy="1208778"/>
          </a:xfrm>
        </xdr:grpSpPr>
        <xdr:cxnSp macro="">
          <xdr:nvCxnSpPr>
            <xdr:cNvPr id="291" name="Connecteur droit 290">
              <a:extLst>
                <a:ext uri="{FF2B5EF4-FFF2-40B4-BE49-F238E27FC236}">
                  <a16:creationId xmlns:a16="http://schemas.microsoft.com/office/drawing/2014/main" id="{74CFEB28-0638-8ABF-F16A-3B59C8EDB775}"/>
                </a:ext>
              </a:extLst>
            </xdr:cNvPr>
            <xdr:cNvCxnSpPr/>
          </xdr:nvCxnSpPr>
          <xdr:spPr>
            <a:xfrm>
              <a:off x="9829800" y="548140"/>
              <a:ext cx="0" cy="37896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2" name="Connecteur droit 291">
              <a:extLst>
                <a:ext uri="{FF2B5EF4-FFF2-40B4-BE49-F238E27FC236}">
                  <a16:creationId xmlns:a16="http://schemas.microsoft.com/office/drawing/2014/main" id="{527BFACD-B357-D061-B6D1-94931E02C3A3}"/>
                </a:ext>
              </a:extLst>
            </xdr:cNvPr>
            <xdr:cNvCxnSpPr>
              <a:cxnSpLocks/>
            </xdr:cNvCxnSpPr>
          </xdr:nvCxnSpPr>
          <xdr:spPr>
            <a:xfrm>
              <a:off x="9601200" y="910709"/>
              <a:ext cx="0" cy="467241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3" name="Connecteur droit 292">
              <a:extLst>
                <a:ext uri="{FF2B5EF4-FFF2-40B4-BE49-F238E27FC236}">
                  <a16:creationId xmlns:a16="http://schemas.microsoft.com/office/drawing/2014/main" id="{A1F63B46-34F6-EC54-ADB4-07C691F6CC56}"/>
                </a:ext>
              </a:extLst>
            </xdr:cNvPr>
            <xdr:cNvCxnSpPr>
              <a:cxnSpLocks/>
            </xdr:cNvCxnSpPr>
          </xdr:nvCxnSpPr>
          <xdr:spPr>
            <a:xfrm flipH="1">
              <a:off x="9596628" y="916240"/>
              <a:ext cx="228600" cy="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4" name="Connecteur droit 293">
              <a:extLst>
                <a:ext uri="{FF2B5EF4-FFF2-40B4-BE49-F238E27FC236}">
                  <a16:creationId xmlns:a16="http://schemas.microsoft.com/office/drawing/2014/main" id="{D27A03AD-39AC-6E71-A65F-D4DD77378A18}"/>
                </a:ext>
              </a:extLst>
            </xdr:cNvPr>
            <xdr:cNvCxnSpPr>
              <a:cxnSpLocks/>
            </xdr:cNvCxnSpPr>
          </xdr:nvCxnSpPr>
          <xdr:spPr>
            <a:xfrm flipH="1">
              <a:off x="9287256" y="1144329"/>
              <a:ext cx="228600" cy="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5" name="Connecteur droit 294">
              <a:extLst>
                <a:ext uri="{FF2B5EF4-FFF2-40B4-BE49-F238E27FC236}">
                  <a16:creationId xmlns:a16="http://schemas.microsoft.com/office/drawing/2014/main" id="{5CF36248-9320-6294-78D4-000DB0411D7D}"/>
                </a:ext>
              </a:extLst>
            </xdr:cNvPr>
            <xdr:cNvCxnSpPr/>
          </xdr:nvCxnSpPr>
          <xdr:spPr>
            <a:xfrm>
              <a:off x="9829800" y="1377950"/>
              <a:ext cx="0" cy="37896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6" name="Connecteur droit 295">
              <a:extLst>
                <a:ext uri="{FF2B5EF4-FFF2-40B4-BE49-F238E27FC236}">
                  <a16:creationId xmlns:a16="http://schemas.microsoft.com/office/drawing/2014/main" id="{929FF9F0-13F1-43E3-0ABF-A33F34706C34}"/>
                </a:ext>
              </a:extLst>
            </xdr:cNvPr>
            <xdr:cNvCxnSpPr>
              <a:cxnSpLocks/>
            </xdr:cNvCxnSpPr>
          </xdr:nvCxnSpPr>
          <xdr:spPr>
            <a:xfrm>
              <a:off x="9515856" y="910708"/>
              <a:ext cx="0" cy="467241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7" name="Connecteur droit avec flèche 296">
              <a:extLst>
                <a:ext uri="{FF2B5EF4-FFF2-40B4-BE49-F238E27FC236}">
                  <a16:creationId xmlns:a16="http://schemas.microsoft.com/office/drawing/2014/main" id="{E38B0A3E-DF85-62DC-C875-088096B47D98}"/>
                </a:ext>
              </a:extLst>
            </xdr:cNvPr>
            <xdr:cNvCxnSpPr>
              <a:cxnSpLocks/>
            </xdr:cNvCxnSpPr>
          </xdr:nvCxnSpPr>
          <xdr:spPr>
            <a:xfrm>
              <a:off x="9596628" y="1377949"/>
              <a:ext cx="228600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55" name="Groupe 254">
            <a:extLst>
              <a:ext uri="{FF2B5EF4-FFF2-40B4-BE49-F238E27FC236}">
                <a16:creationId xmlns:a16="http://schemas.microsoft.com/office/drawing/2014/main" id="{EA60A1A3-1F09-ADA4-3DD0-15225F917B6C}"/>
              </a:ext>
            </a:extLst>
          </xdr:cNvPr>
          <xdr:cNvGrpSpPr/>
        </xdr:nvGrpSpPr>
        <xdr:grpSpPr>
          <a:xfrm>
            <a:off x="1628924" y="1774659"/>
            <a:ext cx="1945639" cy="386199"/>
            <a:chOff x="5357573" y="1925201"/>
            <a:chExt cx="1945639" cy="386199"/>
          </a:xfrm>
        </xdr:grpSpPr>
        <xdr:cxnSp macro="">
          <xdr:nvCxnSpPr>
            <xdr:cNvPr id="289" name="Connecteur droit 288">
              <a:extLst>
                <a:ext uri="{FF2B5EF4-FFF2-40B4-BE49-F238E27FC236}">
                  <a16:creationId xmlns:a16="http://schemas.microsoft.com/office/drawing/2014/main" id="{376870C3-CDE8-2FA1-49CC-04ED238304AF}"/>
                </a:ext>
              </a:extLst>
            </xdr:cNvPr>
            <xdr:cNvCxnSpPr>
              <a:cxnSpLocks/>
            </xdr:cNvCxnSpPr>
          </xdr:nvCxnSpPr>
          <xdr:spPr>
            <a:xfrm>
              <a:off x="5357573" y="2311400"/>
              <a:ext cx="1945639" cy="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90" name="ZoneTexte 70">
                  <a:extLst>
                    <a:ext uri="{FF2B5EF4-FFF2-40B4-BE49-F238E27FC236}">
                      <a16:creationId xmlns:a16="http://schemas.microsoft.com/office/drawing/2014/main" id="{D4BD822D-4726-24F0-EB72-6C32B7C1217C}"/>
                    </a:ext>
                  </a:extLst>
                </xdr:cNvPr>
                <xdr:cNvSpPr txBox="1"/>
              </xdr:nvSpPr>
              <xdr:spPr>
                <a:xfrm>
                  <a:off x="5569758" y="1925201"/>
                  <a:ext cx="1212849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fr-FR" b="0" i="1">
                            <a:latin typeface="Cambria Math" panose="02040503050406030204" pitchFamily="18" charset="0"/>
                          </a:rPr>
                          <m:t>𝑉𝑑𝑑</m:t>
                        </m:r>
                      </m:oMath>
                    </m:oMathPara>
                  </a14:m>
                  <a:endParaRPr lang="fr-FR"/>
                </a:p>
              </xdr:txBody>
            </xdr:sp>
          </mc:Choice>
          <mc:Fallback xmlns="">
            <xdr:sp macro="" textlink="">
              <xdr:nvSpPr>
                <xdr:cNvPr id="290" name="ZoneTexte 70">
                  <a:extLst>
                    <a:ext uri="{FF2B5EF4-FFF2-40B4-BE49-F238E27FC236}">
                      <a16:creationId xmlns:a16="http://schemas.microsoft.com/office/drawing/2014/main" id="{D4BD822D-4726-24F0-EB72-6C32B7C1217C}"/>
                    </a:ext>
                  </a:extLst>
                </xdr:cNvPr>
                <xdr:cNvSpPr txBox="1"/>
              </xdr:nvSpPr>
              <xdr:spPr>
                <a:xfrm>
                  <a:off x="5569758" y="1925201"/>
                  <a:ext cx="1212849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fr-FR" b="0" i="0">
                      <a:latin typeface="Cambria Math" panose="02040503050406030204" pitchFamily="18" charset="0"/>
                    </a:rPr>
                    <a:t>𝑉𝑑𝑑</a:t>
                  </a:r>
                  <a:endParaRPr lang="fr-FR"/>
                </a:p>
              </xdr:txBody>
            </xdr:sp>
          </mc:Fallback>
        </mc:AlternateContent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56" name="ZoneTexte 85">
                <a:extLst>
                  <a:ext uri="{FF2B5EF4-FFF2-40B4-BE49-F238E27FC236}">
                    <a16:creationId xmlns:a16="http://schemas.microsoft.com/office/drawing/2014/main" id="{5858624E-F7D9-6E5E-45A9-BA0C51C6A6D3}"/>
                  </a:ext>
                </a:extLst>
              </xdr:cNvPr>
              <xdr:cNvSpPr txBox="1"/>
            </xdr:nvSpPr>
            <xdr:spPr>
              <a:xfrm>
                <a:off x="2539371" y="4529546"/>
                <a:ext cx="50824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fr-FR" b="0" i="1">
                          <a:latin typeface="Cambria Math" panose="02040503050406030204" pitchFamily="18" charset="0"/>
                        </a:rPr>
                        <m:t>𝑁</m:t>
                      </m:r>
                      <m:r>
                        <a:rPr lang="fr-FR" b="0" i="1" baseline="-25000">
                          <a:latin typeface="Cambria Math" panose="02040503050406030204" pitchFamily="18" charset="0"/>
                        </a:rPr>
                        <m:t>1</m:t>
                      </m:r>
                    </m:oMath>
                  </m:oMathPara>
                </a14:m>
                <a:endParaRPr lang="fr-FR" baseline="-25000"/>
              </a:p>
            </xdr:txBody>
          </xdr:sp>
        </mc:Choice>
        <mc:Fallback xmlns="">
          <xdr:sp macro="" textlink="">
            <xdr:nvSpPr>
              <xdr:cNvPr id="256" name="ZoneTexte 85">
                <a:extLst>
                  <a:ext uri="{FF2B5EF4-FFF2-40B4-BE49-F238E27FC236}">
                    <a16:creationId xmlns:a16="http://schemas.microsoft.com/office/drawing/2014/main" id="{5858624E-F7D9-6E5E-45A9-BA0C51C6A6D3}"/>
                  </a:ext>
                </a:extLst>
              </xdr:cNvPr>
              <xdr:cNvSpPr txBox="1"/>
            </xdr:nvSpPr>
            <xdr:spPr>
              <a:xfrm>
                <a:off x="2539371" y="4529546"/>
                <a:ext cx="50824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fr-FR" b="0" i="0">
                    <a:latin typeface="Cambria Math" panose="02040503050406030204" pitchFamily="18" charset="0"/>
                  </a:rPr>
                  <a:t>𝑁</a:t>
                </a:r>
                <a:r>
                  <a:rPr lang="fr-FR" b="0" i="0" baseline="-25000">
                    <a:latin typeface="Cambria Math" panose="02040503050406030204" pitchFamily="18" charset="0"/>
                  </a:rPr>
                  <a:t>1</a:t>
                </a:r>
                <a:endParaRPr lang="fr-FR" baseline="-25000"/>
              </a:p>
            </xdr:txBody>
          </xdr:sp>
        </mc:Fallback>
      </mc:AlternateContent>
      <xdr:cxnSp macro="">
        <xdr:nvCxnSpPr>
          <xdr:cNvPr id="257" name="Connecteur droit 256">
            <a:extLst>
              <a:ext uri="{FF2B5EF4-FFF2-40B4-BE49-F238E27FC236}">
                <a16:creationId xmlns:a16="http://schemas.microsoft.com/office/drawing/2014/main" id="{0841EB22-10AF-6292-EF63-33DA3BB0B0F4}"/>
              </a:ext>
            </a:extLst>
          </xdr:cNvPr>
          <xdr:cNvCxnSpPr>
            <a:cxnSpLocks/>
          </xdr:cNvCxnSpPr>
        </xdr:nvCxnSpPr>
        <xdr:spPr>
          <a:xfrm flipH="1">
            <a:off x="2663879" y="2160715"/>
            <a:ext cx="1233" cy="1718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58" name="ZoneTexte 90">
                <a:extLst>
                  <a:ext uri="{FF2B5EF4-FFF2-40B4-BE49-F238E27FC236}">
                    <a16:creationId xmlns:a16="http://schemas.microsoft.com/office/drawing/2014/main" id="{570A86D1-4B98-9629-1B5A-ACA8A2855A05}"/>
                  </a:ext>
                </a:extLst>
              </xdr:cNvPr>
              <xdr:cNvSpPr txBox="1"/>
            </xdr:nvSpPr>
            <xdr:spPr>
              <a:xfrm>
                <a:off x="2393840" y="2367623"/>
                <a:ext cx="1212849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fr-FR" b="0" i="1">
                          <a:latin typeface="Cambria Math" panose="02040503050406030204" pitchFamily="18" charset="0"/>
                        </a:rPr>
                        <m:t>𝑅</m:t>
                      </m:r>
                    </m:oMath>
                  </m:oMathPara>
                </a14:m>
                <a:endParaRPr lang="fr-FR" baseline="-25000"/>
              </a:p>
            </xdr:txBody>
          </xdr:sp>
        </mc:Choice>
        <mc:Fallback xmlns="">
          <xdr:sp macro="" textlink="">
            <xdr:nvSpPr>
              <xdr:cNvPr id="258" name="ZoneTexte 90">
                <a:extLst>
                  <a:ext uri="{FF2B5EF4-FFF2-40B4-BE49-F238E27FC236}">
                    <a16:creationId xmlns:a16="http://schemas.microsoft.com/office/drawing/2014/main" id="{570A86D1-4B98-9629-1B5A-ACA8A2855A05}"/>
                  </a:ext>
                </a:extLst>
              </xdr:cNvPr>
              <xdr:cNvSpPr txBox="1"/>
            </xdr:nvSpPr>
            <xdr:spPr>
              <a:xfrm>
                <a:off x="2393840" y="2367623"/>
                <a:ext cx="1212849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fr-FR" b="0" i="0">
                    <a:latin typeface="Cambria Math" panose="02040503050406030204" pitchFamily="18" charset="0"/>
                  </a:rPr>
                  <a:t>𝑅</a:t>
                </a:r>
                <a:endParaRPr lang="fr-FR" baseline="-250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59" name="ZoneTexte 91">
                <a:extLst>
                  <a:ext uri="{FF2B5EF4-FFF2-40B4-BE49-F238E27FC236}">
                    <a16:creationId xmlns:a16="http://schemas.microsoft.com/office/drawing/2014/main" id="{9E60EBF4-BC91-92E3-5D35-631EBA908D8F}"/>
                  </a:ext>
                </a:extLst>
              </xdr:cNvPr>
              <xdr:cNvSpPr txBox="1"/>
            </xdr:nvSpPr>
            <xdr:spPr>
              <a:xfrm>
                <a:off x="1339411" y="2327904"/>
                <a:ext cx="1212849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fr-FR" b="0" i="1">
                          <a:latin typeface="Cambria Math" panose="02040503050406030204" pitchFamily="18" charset="0"/>
                        </a:rPr>
                        <m:t>𝐿</m:t>
                      </m:r>
                    </m:oMath>
                  </m:oMathPara>
                </a14:m>
                <a:endParaRPr lang="fr-FR" baseline="-25000"/>
              </a:p>
            </xdr:txBody>
          </xdr:sp>
        </mc:Choice>
        <mc:Fallback xmlns="">
          <xdr:sp macro="" textlink="">
            <xdr:nvSpPr>
              <xdr:cNvPr id="259" name="ZoneTexte 91">
                <a:extLst>
                  <a:ext uri="{FF2B5EF4-FFF2-40B4-BE49-F238E27FC236}">
                    <a16:creationId xmlns:a16="http://schemas.microsoft.com/office/drawing/2014/main" id="{9E60EBF4-BC91-92E3-5D35-631EBA908D8F}"/>
                  </a:ext>
                </a:extLst>
              </xdr:cNvPr>
              <xdr:cNvSpPr txBox="1"/>
            </xdr:nvSpPr>
            <xdr:spPr>
              <a:xfrm>
                <a:off x="1339411" y="2327904"/>
                <a:ext cx="1212849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fr-FR" b="0" i="0">
                    <a:latin typeface="Cambria Math" panose="02040503050406030204" pitchFamily="18" charset="0"/>
                  </a:rPr>
                  <a:t>𝐿</a:t>
                </a:r>
                <a:endParaRPr lang="fr-FR" baseline="-25000"/>
              </a:p>
            </xdr:txBody>
          </xdr:sp>
        </mc:Fallback>
      </mc:AlternateContent>
      <xdr:cxnSp macro="">
        <xdr:nvCxnSpPr>
          <xdr:cNvPr id="260" name="Connecteur droit 259">
            <a:extLst>
              <a:ext uri="{FF2B5EF4-FFF2-40B4-BE49-F238E27FC236}">
                <a16:creationId xmlns:a16="http://schemas.microsoft.com/office/drawing/2014/main" id="{E3417998-DA83-19B7-362B-B767A47BBE4D}"/>
              </a:ext>
            </a:extLst>
          </xdr:cNvPr>
          <xdr:cNvCxnSpPr>
            <a:cxnSpLocks/>
          </xdr:cNvCxnSpPr>
        </xdr:nvCxnSpPr>
        <xdr:spPr>
          <a:xfrm>
            <a:off x="2154378" y="2915660"/>
            <a:ext cx="1417043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61" name="Connecteur droit 260">
            <a:extLst>
              <a:ext uri="{FF2B5EF4-FFF2-40B4-BE49-F238E27FC236}">
                <a16:creationId xmlns:a16="http://schemas.microsoft.com/office/drawing/2014/main" id="{A59D4FDB-A823-530E-45FA-EF96D9D2E41E}"/>
              </a:ext>
            </a:extLst>
          </xdr:cNvPr>
          <xdr:cNvCxnSpPr>
            <a:cxnSpLocks/>
          </xdr:cNvCxnSpPr>
        </xdr:nvCxnSpPr>
        <xdr:spPr>
          <a:xfrm>
            <a:off x="2667387" y="2756454"/>
            <a:ext cx="0" cy="33452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grpSp>
        <xdr:nvGrpSpPr>
          <xdr:cNvPr id="262" name="Groupe 261">
            <a:extLst>
              <a:ext uri="{FF2B5EF4-FFF2-40B4-BE49-F238E27FC236}">
                <a16:creationId xmlns:a16="http://schemas.microsoft.com/office/drawing/2014/main" id="{CFEF02DF-59AC-0FA5-222C-454CE7554BCB}"/>
              </a:ext>
            </a:extLst>
          </xdr:cNvPr>
          <xdr:cNvGrpSpPr/>
        </xdr:nvGrpSpPr>
        <xdr:grpSpPr>
          <a:xfrm>
            <a:off x="2122568" y="4095293"/>
            <a:ext cx="542544" cy="1208778"/>
            <a:chOff x="9287256" y="548140"/>
            <a:chExt cx="542544" cy="1208778"/>
          </a:xfrm>
        </xdr:grpSpPr>
        <xdr:cxnSp macro="">
          <xdr:nvCxnSpPr>
            <xdr:cNvPr id="282" name="Connecteur droit 281">
              <a:extLst>
                <a:ext uri="{FF2B5EF4-FFF2-40B4-BE49-F238E27FC236}">
                  <a16:creationId xmlns:a16="http://schemas.microsoft.com/office/drawing/2014/main" id="{5072CB4A-40A5-275F-F796-56B7EEA9C718}"/>
                </a:ext>
              </a:extLst>
            </xdr:cNvPr>
            <xdr:cNvCxnSpPr/>
          </xdr:nvCxnSpPr>
          <xdr:spPr>
            <a:xfrm>
              <a:off x="9829800" y="548140"/>
              <a:ext cx="0" cy="37896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3" name="Connecteur droit 282">
              <a:extLst>
                <a:ext uri="{FF2B5EF4-FFF2-40B4-BE49-F238E27FC236}">
                  <a16:creationId xmlns:a16="http://schemas.microsoft.com/office/drawing/2014/main" id="{5C1F9A08-C9CB-F12B-DD81-D1CB78698396}"/>
                </a:ext>
              </a:extLst>
            </xdr:cNvPr>
            <xdr:cNvCxnSpPr>
              <a:cxnSpLocks/>
            </xdr:cNvCxnSpPr>
          </xdr:nvCxnSpPr>
          <xdr:spPr>
            <a:xfrm>
              <a:off x="9601200" y="910709"/>
              <a:ext cx="0" cy="467241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4" name="Connecteur droit 283">
              <a:extLst>
                <a:ext uri="{FF2B5EF4-FFF2-40B4-BE49-F238E27FC236}">
                  <a16:creationId xmlns:a16="http://schemas.microsoft.com/office/drawing/2014/main" id="{B8267D76-008C-AE21-DD78-61A1DE6BBC9A}"/>
                </a:ext>
              </a:extLst>
            </xdr:cNvPr>
            <xdr:cNvCxnSpPr>
              <a:cxnSpLocks/>
            </xdr:cNvCxnSpPr>
          </xdr:nvCxnSpPr>
          <xdr:spPr>
            <a:xfrm flipH="1">
              <a:off x="9596628" y="916240"/>
              <a:ext cx="228600" cy="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5" name="Connecteur droit 284">
              <a:extLst>
                <a:ext uri="{FF2B5EF4-FFF2-40B4-BE49-F238E27FC236}">
                  <a16:creationId xmlns:a16="http://schemas.microsoft.com/office/drawing/2014/main" id="{A7D07A51-E28B-06B8-45AE-A339AF906493}"/>
                </a:ext>
              </a:extLst>
            </xdr:cNvPr>
            <xdr:cNvCxnSpPr>
              <a:cxnSpLocks/>
            </xdr:cNvCxnSpPr>
          </xdr:nvCxnSpPr>
          <xdr:spPr>
            <a:xfrm flipH="1">
              <a:off x="9287256" y="1144329"/>
              <a:ext cx="228600" cy="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6" name="Connecteur droit 285">
              <a:extLst>
                <a:ext uri="{FF2B5EF4-FFF2-40B4-BE49-F238E27FC236}">
                  <a16:creationId xmlns:a16="http://schemas.microsoft.com/office/drawing/2014/main" id="{EE26EA36-4AC2-43DC-657F-407542C69B8B}"/>
                </a:ext>
              </a:extLst>
            </xdr:cNvPr>
            <xdr:cNvCxnSpPr/>
          </xdr:nvCxnSpPr>
          <xdr:spPr>
            <a:xfrm>
              <a:off x="9829800" y="1377950"/>
              <a:ext cx="0" cy="37896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7" name="Connecteur droit 286">
              <a:extLst>
                <a:ext uri="{FF2B5EF4-FFF2-40B4-BE49-F238E27FC236}">
                  <a16:creationId xmlns:a16="http://schemas.microsoft.com/office/drawing/2014/main" id="{AB99F3A6-A84D-8427-C6C8-A41046567C07}"/>
                </a:ext>
              </a:extLst>
            </xdr:cNvPr>
            <xdr:cNvCxnSpPr>
              <a:cxnSpLocks/>
            </xdr:cNvCxnSpPr>
          </xdr:nvCxnSpPr>
          <xdr:spPr>
            <a:xfrm>
              <a:off x="9515856" y="910708"/>
              <a:ext cx="0" cy="467241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8" name="Connecteur droit avec flèche 287">
              <a:extLst>
                <a:ext uri="{FF2B5EF4-FFF2-40B4-BE49-F238E27FC236}">
                  <a16:creationId xmlns:a16="http://schemas.microsoft.com/office/drawing/2014/main" id="{4699B06C-141A-9D22-BD6B-EA42653CF361}"/>
                </a:ext>
              </a:extLst>
            </xdr:cNvPr>
            <xdr:cNvCxnSpPr>
              <a:cxnSpLocks/>
            </xdr:cNvCxnSpPr>
          </xdr:nvCxnSpPr>
          <xdr:spPr>
            <a:xfrm>
              <a:off x="9596628" y="1377949"/>
              <a:ext cx="228600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63" name="ZoneTexte 104">
                <a:extLst>
                  <a:ext uri="{FF2B5EF4-FFF2-40B4-BE49-F238E27FC236}">
                    <a16:creationId xmlns:a16="http://schemas.microsoft.com/office/drawing/2014/main" id="{D651844D-46A5-5D27-C82D-AD3E905302C3}"/>
                  </a:ext>
                </a:extLst>
              </xdr:cNvPr>
              <xdr:cNvSpPr txBox="1"/>
            </xdr:nvSpPr>
            <xdr:spPr>
              <a:xfrm>
                <a:off x="2492024" y="3390638"/>
                <a:ext cx="50824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fr-FR" b="0" i="1">
                          <a:latin typeface="Cambria Math" panose="02040503050406030204" pitchFamily="18" charset="0"/>
                        </a:rPr>
                        <m:t>𝑁</m:t>
                      </m:r>
                      <m:r>
                        <a:rPr lang="fr-FR" b="0" i="1" baseline="-25000">
                          <a:latin typeface="Cambria Math" panose="02040503050406030204" pitchFamily="18" charset="0"/>
                        </a:rPr>
                        <m:t>2</m:t>
                      </m:r>
                    </m:oMath>
                  </m:oMathPara>
                </a14:m>
                <a:endParaRPr lang="fr-FR" baseline="-25000"/>
              </a:p>
            </xdr:txBody>
          </xdr:sp>
        </mc:Choice>
        <mc:Fallback xmlns="">
          <xdr:sp macro="" textlink="">
            <xdr:nvSpPr>
              <xdr:cNvPr id="263" name="ZoneTexte 104">
                <a:extLst>
                  <a:ext uri="{FF2B5EF4-FFF2-40B4-BE49-F238E27FC236}">
                    <a16:creationId xmlns:a16="http://schemas.microsoft.com/office/drawing/2014/main" id="{D651844D-46A5-5D27-C82D-AD3E905302C3}"/>
                  </a:ext>
                </a:extLst>
              </xdr:cNvPr>
              <xdr:cNvSpPr txBox="1"/>
            </xdr:nvSpPr>
            <xdr:spPr>
              <a:xfrm>
                <a:off x="2492024" y="3390638"/>
                <a:ext cx="50824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fr-FR" b="0" i="0">
                    <a:latin typeface="Cambria Math" panose="02040503050406030204" pitchFamily="18" charset="0"/>
                  </a:rPr>
                  <a:t>𝑁</a:t>
                </a:r>
                <a:r>
                  <a:rPr lang="fr-FR" b="0" i="0" baseline="-25000">
                    <a:latin typeface="Cambria Math" panose="02040503050406030204" pitchFamily="18" charset="0"/>
                  </a:rPr>
                  <a:t>2</a:t>
                </a:r>
                <a:endParaRPr lang="fr-FR" baseline="-25000"/>
              </a:p>
            </xdr:txBody>
          </xdr:sp>
        </mc:Fallback>
      </mc:AlternateContent>
      <xdr:grpSp>
        <xdr:nvGrpSpPr>
          <xdr:cNvPr id="264" name="Groupe 263">
            <a:extLst>
              <a:ext uri="{FF2B5EF4-FFF2-40B4-BE49-F238E27FC236}">
                <a16:creationId xmlns:a16="http://schemas.microsoft.com/office/drawing/2014/main" id="{C8AB5B0B-B9AB-6552-2D7E-8FD75EA0D071}"/>
              </a:ext>
            </a:extLst>
          </xdr:cNvPr>
          <xdr:cNvGrpSpPr/>
        </xdr:nvGrpSpPr>
        <xdr:grpSpPr>
          <a:xfrm>
            <a:off x="2332717" y="5832331"/>
            <a:ext cx="535739" cy="365175"/>
            <a:chOff x="5650011" y="4392707"/>
            <a:chExt cx="535739" cy="365175"/>
          </a:xfrm>
        </xdr:grpSpPr>
        <xdr:cxnSp macro="">
          <xdr:nvCxnSpPr>
            <xdr:cNvPr id="276" name="Connecteur droit 275">
              <a:extLst>
                <a:ext uri="{FF2B5EF4-FFF2-40B4-BE49-F238E27FC236}">
                  <a16:creationId xmlns:a16="http://schemas.microsoft.com/office/drawing/2014/main" id="{89DAFCA8-F3BE-EB2E-CDCF-D75CF231EBB3}"/>
                </a:ext>
              </a:extLst>
            </xdr:cNvPr>
            <xdr:cNvCxnSpPr>
              <a:cxnSpLocks/>
            </xdr:cNvCxnSpPr>
          </xdr:nvCxnSpPr>
          <xdr:spPr>
            <a:xfrm>
              <a:off x="5785700" y="4646707"/>
              <a:ext cx="400050" cy="317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7" name="Connecteur droit 276">
              <a:extLst>
                <a:ext uri="{FF2B5EF4-FFF2-40B4-BE49-F238E27FC236}">
                  <a16:creationId xmlns:a16="http://schemas.microsoft.com/office/drawing/2014/main" id="{D81156D3-2F09-F30E-6808-06074AC03B7A}"/>
                </a:ext>
              </a:extLst>
            </xdr:cNvPr>
            <xdr:cNvCxnSpPr/>
          </xdr:nvCxnSpPr>
          <xdr:spPr>
            <a:xfrm flipV="1">
              <a:off x="5650011" y="4645871"/>
              <a:ext cx="139700" cy="1080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8" name="Connecteur droit 277">
              <a:extLst>
                <a:ext uri="{FF2B5EF4-FFF2-40B4-BE49-F238E27FC236}">
                  <a16:creationId xmlns:a16="http://schemas.microsoft.com/office/drawing/2014/main" id="{91611408-E1E4-C6DD-3429-170466A0909F}"/>
                </a:ext>
              </a:extLst>
            </xdr:cNvPr>
            <xdr:cNvCxnSpPr/>
          </xdr:nvCxnSpPr>
          <xdr:spPr>
            <a:xfrm flipV="1">
              <a:off x="5902415" y="4649882"/>
              <a:ext cx="139700" cy="1080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9" name="Connecteur droit 278">
              <a:extLst>
                <a:ext uri="{FF2B5EF4-FFF2-40B4-BE49-F238E27FC236}">
                  <a16:creationId xmlns:a16="http://schemas.microsoft.com/office/drawing/2014/main" id="{AE523091-FADF-585E-F4AF-7F4F3491D9B6}"/>
                </a:ext>
              </a:extLst>
            </xdr:cNvPr>
            <xdr:cNvCxnSpPr/>
          </xdr:nvCxnSpPr>
          <xdr:spPr>
            <a:xfrm flipV="1">
              <a:off x="6042092" y="4649882"/>
              <a:ext cx="139700" cy="1080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0" name="Connecteur droit 279">
              <a:extLst>
                <a:ext uri="{FF2B5EF4-FFF2-40B4-BE49-F238E27FC236}">
                  <a16:creationId xmlns:a16="http://schemas.microsoft.com/office/drawing/2014/main" id="{4A8C8F51-58B7-9DEC-C805-83F92BD04583}"/>
                </a:ext>
              </a:extLst>
            </xdr:cNvPr>
            <xdr:cNvCxnSpPr>
              <a:cxnSpLocks/>
            </xdr:cNvCxnSpPr>
          </xdr:nvCxnSpPr>
          <xdr:spPr>
            <a:xfrm flipV="1">
              <a:off x="5985725" y="4392707"/>
              <a:ext cx="0" cy="2540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1" name="Connecteur droit 280">
              <a:extLst>
                <a:ext uri="{FF2B5EF4-FFF2-40B4-BE49-F238E27FC236}">
                  <a16:creationId xmlns:a16="http://schemas.microsoft.com/office/drawing/2014/main" id="{FEDC5006-2A2B-C3FA-9DE8-3BA75064326B}"/>
                </a:ext>
              </a:extLst>
            </xdr:cNvPr>
            <xdr:cNvCxnSpPr/>
          </xdr:nvCxnSpPr>
          <xdr:spPr>
            <a:xfrm flipV="1">
              <a:off x="5771749" y="4649882"/>
              <a:ext cx="139700" cy="1080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5" name="Connecteur droit 264">
            <a:extLst>
              <a:ext uri="{FF2B5EF4-FFF2-40B4-BE49-F238E27FC236}">
                <a16:creationId xmlns:a16="http://schemas.microsoft.com/office/drawing/2014/main" id="{BA1B0A46-A120-06CF-12EA-937AC4F30AB0}"/>
              </a:ext>
            </a:extLst>
          </xdr:cNvPr>
          <xdr:cNvCxnSpPr>
            <a:cxnSpLocks/>
          </xdr:cNvCxnSpPr>
        </xdr:nvCxnSpPr>
        <xdr:spPr>
          <a:xfrm flipV="1">
            <a:off x="1633519" y="2156120"/>
            <a:ext cx="0" cy="142804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66" name="Connecteur droit 265">
            <a:extLst>
              <a:ext uri="{FF2B5EF4-FFF2-40B4-BE49-F238E27FC236}">
                <a16:creationId xmlns:a16="http://schemas.microsoft.com/office/drawing/2014/main" id="{03003FE4-7CB3-17BD-B4C3-7D8AB37A1AAA}"/>
              </a:ext>
            </a:extLst>
          </xdr:cNvPr>
          <xdr:cNvCxnSpPr>
            <a:cxnSpLocks/>
          </xdr:cNvCxnSpPr>
        </xdr:nvCxnSpPr>
        <xdr:spPr>
          <a:xfrm>
            <a:off x="1628924" y="3585409"/>
            <a:ext cx="604474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67" name="ZoneTexte 1041">
                <a:extLst>
                  <a:ext uri="{FF2B5EF4-FFF2-40B4-BE49-F238E27FC236}">
                    <a16:creationId xmlns:a16="http://schemas.microsoft.com/office/drawing/2014/main" id="{B88E8991-5354-DA3B-78BF-0106F509A59C}"/>
                  </a:ext>
                </a:extLst>
              </xdr:cNvPr>
              <xdr:cNvSpPr txBox="1"/>
            </xdr:nvSpPr>
            <xdr:spPr>
              <a:xfrm>
                <a:off x="1224435" y="4092076"/>
                <a:ext cx="1212849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fr-FR" b="0" i="1">
                          <a:latin typeface="Cambria Math" panose="02040503050406030204" pitchFamily="18" charset="0"/>
                        </a:rPr>
                        <m:t>𝐿</m:t>
                      </m:r>
                      <m:r>
                        <a:rPr lang="fr-FR" b="0" i="1" baseline="-25000">
                          <a:latin typeface="Cambria Math" panose="02040503050406030204" pitchFamily="18" charset="0"/>
                        </a:rPr>
                        <m:t>1</m:t>
                      </m:r>
                    </m:oMath>
                  </m:oMathPara>
                </a14:m>
                <a:endParaRPr lang="fr-FR" baseline="-25000"/>
              </a:p>
            </xdr:txBody>
          </xdr:sp>
        </mc:Choice>
        <mc:Fallback xmlns="">
          <xdr:sp macro="" textlink="">
            <xdr:nvSpPr>
              <xdr:cNvPr id="267" name="ZoneTexte 1041">
                <a:extLst>
                  <a:ext uri="{FF2B5EF4-FFF2-40B4-BE49-F238E27FC236}">
                    <a16:creationId xmlns:a16="http://schemas.microsoft.com/office/drawing/2014/main" id="{B88E8991-5354-DA3B-78BF-0106F509A59C}"/>
                  </a:ext>
                </a:extLst>
              </xdr:cNvPr>
              <xdr:cNvSpPr txBox="1"/>
            </xdr:nvSpPr>
            <xdr:spPr>
              <a:xfrm>
                <a:off x="1224435" y="4092076"/>
                <a:ext cx="1212849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fr-FR" b="0" i="0">
                    <a:latin typeface="Cambria Math" panose="02040503050406030204" pitchFamily="18" charset="0"/>
                  </a:rPr>
                  <a:t>𝐿</a:t>
                </a:r>
                <a:r>
                  <a:rPr lang="fr-FR" b="0" i="0" baseline="-25000">
                    <a:latin typeface="Cambria Math" panose="02040503050406030204" pitchFamily="18" charset="0"/>
                  </a:rPr>
                  <a:t>1</a:t>
                </a:r>
                <a:endParaRPr lang="fr-FR" baseline="-25000"/>
              </a:p>
            </xdr:txBody>
          </xdr:sp>
        </mc:Fallback>
      </mc:AlternateContent>
      <xdr:grpSp>
        <xdr:nvGrpSpPr>
          <xdr:cNvPr id="268" name="Groupe 267">
            <a:extLst>
              <a:ext uri="{FF2B5EF4-FFF2-40B4-BE49-F238E27FC236}">
                <a16:creationId xmlns:a16="http://schemas.microsoft.com/office/drawing/2014/main" id="{DFC15EBC-D575-DE68-1B85-27F702D723B7}"/>
              </a:ext>
            </a:extLst>
          </xdr:cNvPr>
          <xdr:cNvGrpSpPr/>
        </xdr:nvGrpSpPr>
        <xdr:grpSpPr>
          <a:xfrm>
            <a:off x="1996779" y="5042071"/>
            <a:ext cx="651960" cy="481300"/>
            <a:chOff x="2730875" y="987425"/>
            <a:chExt cx="1437327" cy="895476"/>
          </a:xfrm>
        </xdr:grpSpPr>
        <xdr:cxnSp macro="">
          <xdr:nvCxnSpPr>
            <xdr:cNvPr id="271" name="Connecteur droit 270">
              <a:extLst>
                <a:ext uri="{FF2B5EF4-FFF2-40B4-BE49-F238E27FC236}">
                  <a16:creationId xmlns:a16="http://schemas.microsoft.com/office/drawing/2014/main" id="{FDD60CD7-F205-2F6D-9E76-68CBCFD1B6A8}"/>
                </a:ext>
              </a:extLst>
            </xdr:cNvPr>
            <xdr:cNvCxnSpPr>
              <a:cxnSpLocks/>
            </xdr:cNvCxnSpPr>
          </xdr:nvCxnSpPr>
          <xdr:spPr>
            <a:xfrm>
              <a:off x="3594100" y="1181099"/>
              <a:ext cx="349250" cy="635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72" name="ZoneTexte 1098">
                  <a:extLst>
                    <a:ext uri="{FF2B5EF4-FFF2-40B4-BE49-F238E27FC236}">
                      <a16:creationId xmlns:a16="http://schemas.microsoft.com/office/drawing/2014/main" id="{1F873DD3-3F35-7D41-C885-6FDCA16C36D1}"/>
                    </a:ext>
                  </a:extLst>
                </xdr:cNvPr>
                <xdr:cNvSpPr txBox="1"/>
              </xdr:nvSpPr>
              <xdr:spPr>
                <a:xfrm>
                  <a:off x="2730875" y="1207640"/>
                  <a:ext cx="1437327" cy="67526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m:rPr>
                            <m:sty m:val="p"/>
                          </m:rPr>
                          <a:rPr lang="fr-FR" b="0" i="0">
                            <a:latin typeface="Cambria Math" panose="02040503050406030204" pitchFamily="18" charset="0"/>
                          </a:rPr>
                          <m:t>C</m:t>
                        </m:r>
                        <m:r>
                          <m:rPr>
                            <m:sty m:val="p"/>
                          </m:rPr>
                          <a:rPr lang="fr-FR" b="0" i="0" baseline="-25000">
                            <a:latin typeface="Cambria Math" panose="02040503050406030204" pitchFamily="18" charset="0"/>
                          </a:rPr>
                          <m:t>g</m:t>
                        </m:r>
                      </m:oMath>
                    </m:oMathPara>
                  </a14:m>
                  <a:endParaRPr lang="fr-FR" baseline="-25000"/>
                </a:p>
              </xdr:txBody>
            </xdr:sp>
          </mc:Choice>
          <mc:Fallback xmlns="">
            <xdr:sp macro="" textlink="">
              <xdr:nvSpPr>
                <xdr:cNvPr id="272" name="ZoneTexte 1098">
                  <a:extLst>
                    <a:ext uri="{FF2B5EF4-FFF2-40B4-BE49-F238E27FC236}">
                      <a16:creationId xmlns:a16="http://schemas.microsoft.com/office/drawing/2014/main" id="{1F873DD3-3F35-7D41-C885-6FDCA16C36D1}"/>
                    </a:ext>
                  </a:extLst>
                </xdr:cNvPr>
                <xdr:cNvSpPr txBox="1"/>
              </xdr:nvSpPr>
              <xdr:spPr>
                <a:xfrm>
                  <a:off x="2730875" y="1207640"/>
                  <a:ext cx="1437327" cy="67526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fr-FR" b="0" i="0">
                      <a:latin typeface="Cambria Math" panose="02040503050406030204" pitchFamily="18" charset="0"/>
                    </a:rPr>
                    <a:t>C</a:t>
                  </a:r>
                  <a:r>
                    <a:rPr lang="fr-FR" b="0" i="0" baseline="-25000">
                      <a:latin typeface="Cambria Math" panose="02040503050406030204" pitchFamily="18" charset="0"/>
                    </a:rPr>
                    <a:t>g</a:t>
                  </a:r>
                  <a:endParaRPr lang="fr-FR" baseline="-25000"/>
                </a:p>
              </xdr:txBody>
            </xdr:sp>
          </mc:Fallback>
        </mc:AlternateContent>
        <xdr:cxnSp macro="">
          <xdr:nvCxnSpPr>
            <xdr:cNvPr id="273" name="Connecteur droit 272">
              <a:extLst>
                <a:ext uri="{FF2B5EF4-FFF2-40B4-BE49-F238E27FC236}">
                  <a16:creationId xmlns:a16="http://schemas.microsoft.com/office/drawing/2014/main" id="{F544B2DC-DEF3-6C2F-1F70-92AF701E883C}"/>
                </a:ext>
              </a:extLst>
            </xdr:cNvPr>
            <xdr:cNvCxnSpPr>
              <a:cxnSpLocks/>
            </xdr:cNvCxnSpPr>
          </xdr:nvCxnSpPr>
          <xdr:spPr>
            <a:xfrm flipV="1">
              <a:off x="3448053" y="987425"/>
              <a:ext cx="0" cy="387351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4" name="Connecteur droit 273">
              <a:extLst>
                <a:ext uri="{FF2B5EF4-FFF2-40B4-BE49-F238E27FC236}">
                  <a16:creationId xmlns:a16="http://schemas.microsoft.com/office/drawing/2014/main" id="{F3CCC283-D9BB-6A0B-107A-09FF87A9EF4A}"/>
                </a:ext>
              </a:extLst>
            </xdr:cNvPr>
            <xdr:cNvCxnSpPr>
              <a:cxnSpLocks/>
            </xdr:cNvCxnSpPr>
          </xdr:nvCxnSpPr>
          <xdr:spPr>
            <a:xfrm flipV="1">
              <a:off x="3600452" y="987425"/>
              <a:ext cx="0" cy="387351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5" name="Connecteur droit 274">
              <a:extLst>
                <a:ext uri="{FF2B5EF4-FFF2-40B4-BE49-F238E27FC236}">
                  <a16:creationId xmlns:a16="http://schemas.microsoft.com/office/drawing/2014/main" id="{CE6D603A-2505-CA4E-ABFD-5221A6354CD3}"/>
                </a:ext>
              </a:extLst>
            </xdr:cNvPr>
            <xdr:cNvCxnSpPr>
              <a:cxnSpLocks/>
            </xdr:cNvCxnSpPr>
          </xdr:nvCxnSpPr>
          <xdr:spPr>
            <a:xfrm>
              <a:off x="3095628" y="1181099"/>
              <a:ext cx="349250" cy="635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9" name="Connecteur droit 268">
            <a:extLst>
              <a:ext uri="{FF2B5EF4-FFF2-40B4-BE49-F238E27FC236}">
                <a16:creationId xmlns:a16="http://schemas.microsoft.com/office/drawing/2014/main" id="{6C368406-059C-C29B-8EA6-623D8F4A94BB}"/>
              </a:ext>
            </a:extLst>
          </xdr:cNvPr>
          <xdr:cNvCxnSpPr>
            <a:cxnSpLocks/>
          </xdr:cNvCxnSpPr>
        </xdr:nvCxnSpPr>
        <xdr:spPr>
          <a:xfrm flipV="1">
            <a:off x="2171481" y="4677887"/>
            <a:ext cx="11612" cy="46800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70" name="Connecteur droit 269">
            <a:extLst>
              <a:ext uri="{FF2B5EF4-FFF2-40B4-BE49-F238E27FC236}">
                <a16:creationId xmlns:a16="http://schemas.microsoft.com/office/drawing/2014/main" id="{0BA2CC90-61BC-8D5D-EFF3-828C2658F141}"/>
              </a:ext>
            </a:extLst>
          </xdr:cNvPr>
          <xdr:cNvCxnSpPr>
            <a:cxnSpLocks/>
          </xdr:cNvCxnSpPr>
        </xdr:nvCxnSpPr>
        <xdr:spPr>
          <a:xfrm>
            <a:off x="2486594" y="5147005"/>
            <a:ext cx="180000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6</xdr:col>
      <xdr:colOff>476250</xdr:colOff>
      <xdr:row>2</xdr:row>
      <xdr:rowOff>152400</xdr:rowOff>
    </xdr:from>
    <xdr:to>
      <xdr:col>11</xdr:col>
      <xdr:colOff>28575</xdr:colOff>
      <xdr:row>24</xdr:row>
      <xdr:rowOff>47625</xdr:rowOff>
    </xdr:to>
    <xdr:pic>
      <xdr:nvPicPr>
        <xdr:cNvPr id="43" name="Image 3">
          <a:extLst>
            <a:ext uri="{FF2B5EF4-FFF2-40B4-BE49-F238E27FC236}">
              <a16:creationId xmlns:a16="http://schemas.microsoft.com/office/drawing/2014/main" id="{6B18BA29-4F35-810F-9A98-E81E6C2AF8CB}"/>
            </a:ext>
            <a:ext uri="{147F2762-F138-4A5C-976F-8EAC2B608ADB}">
              <a16:predDERef xmlns:a16="http://schemas.microsoft.com/office/drawing/2014/main" pred="{EB659948-B18E-D330-F275-89E3ABD3F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l="5330" t="4538"/>
        <a:stretch/>
      </xdr:blipFill>
      <xdr:spPr>
        <a:xfrm>
          <a:off x="5048250" y="533400"/>
          <a:ext cx="3829050" cy="3876675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2</xdr:row>
      <xdr:rowOff>104775</xdr:rowOff>
    </xdr:from>
    <xdr:to>
      <xdr:col>17</xdr:col>
      <xdr:colOff>133350</xdr:colOff>
      <xdr:row>24</xdr:row>
      <xdr:rowOff>47625</xdr:rowOff>
    </xdr:to>
    <xdr:pic>
      <xdr:nvPicPr>
        <xdr:cNvPr id="42" name="Image 4">
          <a:extLst>
            <a:ext uri="{FF2B5EF4-FFF2-40B4-BE49-F238E27FC236}">
              <a16:creationId xmlns:a16="http://schemas.microsoft.com/office/drawing/2014/main" id="{84263D82-BACC-0BD3-A714-D76A465D9DB9}"/>
            </a:ext>
            <a:ext uri="{147F2762-F138-4A5C-976F-8EAC2B608ADB}">
              <a16:predDERef xmlns:a16="http://schemas.microsoft.com/office/drawing/2014/main" pred="{6B18BA29-4F35-810F-9A98-E81E6C2AF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l="8447" t="6983" r="4018"/>
        <a:stretch/>
      </xdr:blipFill>
      <xdr:spPr>
        <a:xfrm>
          <a:off x="11363325" y="485775"/>
          <a:ext cx="4467225" cy="392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114300</xdr:colOff>
      <xdr:row>25</xdr:row>
      <xdr:rowOff>66675</xdr:rowOff>
    </xdr:from>
    <xdr:to>
      <xdr:col>17</xdr:col>
      <xdr:colOff>781050</xdr:colOff>
      <xdr:row>30</xdr:row>
      <xdr:rowOff>142875</xdr:rowOff>
    </xdr:to>
    <xdr:pic>
      <xdr:nvPicPr>
        <xdr:cNvPr id="45" name="Image 21">
          <a:extLst>
            <a:ext uri="{FF2B5EF4-FFF2-40B4-BE49-F238E27FC236}">
              <a16:creationId xmlns:a16="http://schemas.microsoft.com/office/drawing/2014/main" id="{21E0EAE2-8A16-3515-BC15-829F48D7BE10}"/>
            </a:ext>
            <a:ext uri="{147F2762-F138-4A5C-976F-8EAC2B608ADB}">
              <a16:predDERef xmlns:a16="http://schemas.microsoft.com/office/drawing/2014/main" pred="{84263D82-BACC-0BD3-A714-D76A465D9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25025" y="4829175"/>
          <a:ext cx="4572000" cy="990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151086</xdr:colOff>
      <xdr:row>19</xdr:row>
      <xdr:rowOff>190500</xdr:rowOff>
    </xdr:from>
    <xdr:to>
      <xdr:col>4</xdr:col>
      <xdr:colOff>453259</xdr:colOff>
      <xdr:row>21</xdr:row>
      <xdr:rowOff>105103</xdr:rowOff>
    </xdr:to>
    <xdr:sp macro="" textlink="">
      <xdr:nvSpPr>
        <xdr:cNvPr id="4" name="Flèche : droite 1">
          <a:extLst>
            <a:ext uri="{FF2B5EF4-FFF2-40B4-BE49-F238E27FC236}">
              <a16:creationId xmlns:a16="http://schemas.microsoft.com/office/drawing/2014/main" id="{9D6E8BD8-548B-F54D-1CD6-2AA8F307A5C4}"/>
            </a:ext>
          </a:extLst>
        </xdr:cNvPr>
        <xdr:cNvSpPr/>
      </xdr:nvSpPr>
      <xdr:spPr>
        <a:xfrm>
          <a:off x="2423948" y="3987362"/>
          <a:ext cx="302173" cy="3415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119555</xdr:colOff>
      <xdr:row>19</xdr:row>
      <xdr:rowOff>185245</xdr:rowOff>
    </xdr:from>
    <xdr:to>
      <xdr:col>7</xdr:col>
      <xdr:colOff>421728</xdr:colOff>
      <xdr:row>21</xdr:row>
      <xdr:rowOff>99848</xdr:rowOff>
    </xdr:to>
    <xdr:sp macro="" textlink="">
      <xdr:nvSpPr>
        <xdr:cNvPr id="5" name="Flèche : droite 2">
          <a:extLst>
            <a:ext uri="{FF2B5EF4-FFF2-40B4-BE49-F238E27FC236}">
              <a16:creationId xmlns:a16="http://schemas.microsoft.com/office/drawing/2014/main" id="{4372036C-6602-F8BA-3494-7F4EBC8F9B2E}"/>
            </a:ext>
          </a:extLst>
        </xdr:cNvPr>
        <xdr:cNvSpPr/>
      </xdr:nvSpPr>
      <xdr:spPr>
        <a:xfrm>
          <a:off x="4928038" y="3982107"/>
          <a:ext cx="302173" cy="3415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726832</xdr:colOff>
      <xdr:row>6</xdr:row>
      <xdr:rowOff>133351</xdr:rowOff>
    </xdr:from>
    <xdr:to>
      <xdr:col>18</xdr:col>
      <xdr:colOff>183174</xdr:colOff>
      <xdr:row>21</xdr:row>
      <xdr:rowOff>29210</xdr:rowOff>
    </xdr:to>
    <xdr:pic>
      <xdr:nvPicPr>
        <xdr:cNvPr id="4" name="Image 1">
          <a:extLst>
            <a:ext uri="{FF2B5EF4-FFF2-40B4-BE49-F238E27FC236}">
              <a16:creationId xmlns:a16="http://schemas.microsoft.com/office/drawing/2014/main" id="{C2EE77FF-3FBF-E415-068B-4774CA77E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1707" y="1276351"/>
          <a:ext cx="2980592" cy="26771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14</xdr:row>
      <xdr:rowOff>85725</xdr:rowOff>
    </xdr:to>
    <xdr:graphicFrame macro="">
      <xdr:nvGraphicFramePr>
        <xdr:cNvPr id="12" name="Graphique 1">
          <a:extLst>
            <a:ext uri="{FF2B5EF4-FFF2-40B4-BE49-F238E27FC236}">
              <a16:creationId xmlns:a16="http://schemas.microsoft.com/office/drawing/2014/main" id="{3D0DF1E0-C204-6549-AC59-D363EE60C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14</xdr:row>
      <xdr:rowOff>180975</xdr:rowOff>
    </xdr:from>
    <xdr:to>
      <xdr:col>12</xdr:col>
      <xdr:colOff>314325</xdr:colOff>
      <xdr:row>29</xdr:row>
      <xdr:rowOff>76200</xdr:rowOff>
    </xdr:to>
    <xdr:graphicFrame macro="">
      <xdr:nvGraphicFramePr>
        <xdr:cNvPr id="13" name="Graphique 2">
          <a:extLst>
            <a:ext uri="{FF2B5EF4-FFF2-40B4-BE49-F238E27FC236}">
              <a16:creationId xmlns:a16="http://schemas.microsoft.com/office/drawing/2014/main" id="{D60FD657-20C6-4DDC-EF8C-22B88CF63BCF}"/>
            </a:ext>
            <a:ext uri="{147F2762-F138-4A5C-976F-8EAC2B608ADB}">
              <a16:predDERef xmlns:a16="http://schemas.microsoft.com/office/drawing/2014/main" pred="{3D0DF1E0-C204-6549-AC59-D363EE60C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3</xdr:row>
      <xdr:rowOff>76200</xdr:rowOff>
    </xdr:from>
    <xdr:to>
      <xdr:col>23</xdr:col>
      <xdr:colOff>152400</xdr:colOff>
      <xdr:row>17</xdr:row>
      <xdr:rowOff>152400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3DEBCDE-9238-F590-F1C6-41EBCB95906C}"/>
            </a:ext>
            <a:ext uri="{147F2762-F138-4A5C-976F-8EAC2B608ADB}">
              <a16:predDERef xmlns:a16="http://schemas.microsoft.com/office/drawing/2014/main" pred="{210E34BD-F20D-4554-B062-8898593B6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390525</xdr:colOff>
      <xdr:row>5</xdr:row>
      <xdr:rowOff>123825</xdr:rowOff>
    </xdr:from>
    <xdr:to>
      <xdr:col>22</xdr:col>
      <xdr:colOff>409575</xdr:colOff>
      <xdr:row>9</xdr:row>
      <xdr:rowOff>114300</xdr:rowOff>
    </xdr:to>
    <xdr:cxnSp macro="">
      <xdr:nvCxnSpPr>
        <xdr:cNvPr id="8" name="Lien droit 7">
          <a:extLst>
            <a:ext uri="{FF2B5EF4-FFF2-40B4-BE49-F238E27FC236}">
              <a16:creationId xmlns:a16="http://schemas.microsoft.com/office/drawing/2014/main" id="{BA5169E1-1D35-15BC-73AB-E78C15A6E601}"/>
            </a:ext>
            <a:ext uri="{147F2762-F138-4A5C-976F-8EAC2B608ADB}">
              <a16:predDERef xmlns:a16="http://schemas.microsoft.com/office/drawing/2014/main" pred="{F3DEBCDE-9238-F590-F1C6-41EBCB95906C}"/>
            </a:ext>
          </a:extLst>
        </xdr:cNvPr>
        <xdr:cNvCxnSpPr>
          <a:cxnSpLocks/>
        </xdr:cNvCxnSpPr>
      </xdr:nvCxnSpPr>
      <xdr:spPr>
        <a:xfrm flipV="1">
          <a:off x="13325475" y="1076325"/>
          <a:ext cx="3676650" cy="7524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390525</xdr:colOff>
      <xdr:row>3</xdr:row>
      <xdr:rowOff>171450</xdr:rowOff>
    </xdr:from>
    <xdr:to>
      <xdr:col>23</xdr:col>
      <xdr:colOff>485775</xdr:colOff>
      <xdr:row>13</xdr:row>
      <xdr:rowOff>161925</xdr:rowOff>
    </xdr:to>
    <xdr:cxnSp macro="">
      <xdr:nvCxnSpPr>
        <xdr:cNvPr id="9" name="Lien droit 8">
          <a:extLst>
            <a:ext uri="{FF2B5EF4-FFF2-40B4-BE49-F238E27FC236}">
              <a16:creationId xmlns:a16="http://schemas.microsoft.com/office/drawing/2014/main" id="{A8859E5A-11FF-EC53-F8FE-897FDFB44212}"/>
            </a:ext>
            <a:ext uri="{147F2762-F138-4A5C-976F-8EAC2B608ADB}">
              <a16:predDERef xmlns:a16="http://schemas.microsoft.com/office/drawing/2014/main" pred="{BA5169E1-1D35-15BC-73AB-E78C15A6E601}"/>
            </a:ext>
          </a:extLst>
        </xdr:cNvPr>
        <xdr:cNvCxnSpPr>
          <a:cxnSpLocks/>
        </xdr:cNvCxnSpPr>
      </xdr:nvCxnSpPr>
      <xdr:spPr>
        <a:xfrm flipV="1">
          <a:off x="13325475" y="742950"/>
          <a:ext cx="4362450" cy="189547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247650</xdr:colOff>
      <xdr:row>3</xdr:row>
      <xdr:rowOff>66675</xdr:rowOff>
    </xdr:from>
    <xdr:to>
      <xdr:col>22</xdr:col>
      <xdr:colOff>247650</xdr:colOff>
      <xdr:row>13</xdr:row>
      <xdr:rowOff>133350</xdr:rowOff>
    </xdr:to>
    <xdr:cxnSp macro="">
      <xdr:nvCxnSpPr>
        <xdr:cNvPr id="11" name="Lien droit 10">
          <a:extLst>
            <a:ext uri="{FF2B5EF4-FFF2-40B4-BE49-F238E27FC236}">
              <a16:creationId xmlns:a16="http://schemas.microsoft.com/office/drawing/2014/main" id="{2E9E6224-630E-5F16-20CD-7C7E98C37300}"/>
            </a:ext>
            <a:ext uri="{147F2762-F138-4A5C-976F-8EAC2B608ADB}">
              <a16:predDERef xmlns:a16="http://schemas.microsoft.com/office/drawing/2014/main" pred="{A8859E5A-11FF-EC53-F8FE-897FDFB44212}"/>
            </a:ext>
          </a:extLst>
        </xdr:cNvPr>
        <xdr:cNvCxnSpPr>
          <a:cxnSpLocks/>
        </xdr:cNvCxnSpPr>
      </xdr:nvCxnSpPr>
      <xdr:spPr>
        <a:xfrm>
          <a:off x="16840200" y="638175"/>
          <a:ext cx="0" cy="1971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101165</xdr:colOff>
      <xdr:row>35</xdr:row>
      <xdr:rowOff>18103</xdr:rowOff>
    </xdr:from>
    <xdr:to>
      <xdr:col>8</xdr:col>
      <xdr:colOff>1510392</xdr:colOff>
      <xdr:row>56</xdr:row>
      <xdr:rowOff>108857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2123D6A-E00F-37AE-2FE2-723DB5B8A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238462</xdr:colOff>
      <xdr:row>35</xdr:row>
      <xdr:rowOff>36362</xdr:rowOff>
    </xdr:from>
    <xdr:to>
      <xdr:col>20</xdr:col>
      <xdr:colOff>612323</xdr:colOff>
      <xdr:row>57</xdr:row>
      <xdr:rowOff>13607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C4639C4-6C1B-40D0-9E84-82BD836BA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607696</xdr:colOff>
      <xdr:row>0</xdr:row>
      <xdr:rowOff>146318</xdr:rowOff>
    </xdr:from>
    <xdr:to>
      <xdr:col>31</xdr:col>
      <xdr:colOff>302896</xdr:colOff>
      <xdr:row>15</xdr:row>
      <xdr:rowOff>33875</xdr:rowOff>
    </xdr:to>
    <xdr:graphicFrame macro="">
      <xdr:nvGraphicFramePr>
        <xdr:cNvPr id="12" name="Graphique 4">
          <a:extLst>
            <a:ext uri="{FF2B5EF4-FFF2-40B4-BE49-F238E27FC236}">
              <a16:creationId xmlns:a16="http://schemas.microsoft.com/office/drawing/2014/main" id="{2BD72D03-FCD7-4878-AFCA-910654119FFE}"/>
            </a:ext>
            <a:ext uri="{147F2762-F138-4A5C-976F-8EAC2B608ADB}">
              <a16:predDERef xmlns:a16="http://schemas.microsoft.com/office/drawing/2014/main" pred="{9C387835-3FEF-45A3-AB2A-84C0BCBEA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589189</xdr:colOff>
      <xdr:row>15</xdr:row>
      <xdr:rowOff>85726</xdr:rowOff>
    </xdr:from>
    <xdr:to>
      <xdr:col>31</xdr:col>
      <xdr:colOff>284389</xdr:colOff>
      <xdr:row>30</xdr:row>
      <xdr:rowOff>156482</xdr:rowOff>
    </xdr:to>
    <xdr:graphicFrame macro="">
      <xdr:nvGraphicFramePr>
        <xdr:cNvPr id="13" name="Graphique 5">
          <a:extLst>
            <a:ext uri="{FF2B5EF4-FFF2-40B4-BE49-F238E27FC236}">
              <a16:creationId xmlns:a16="http://schemas.microsoft.com/office/drawing/2014/main" id="{B4CED469-8C0E-4EA7-9FCC-7B47C90BC79E}"/>
            </a:ext>
            <a:ext uri="{147F2762-F138-4A5C-976F-8EAC2B608ADB}">
              <a16:predDERef xmlns:a16="http://schemas.microsoft.com/office/drawing/2014/main" pred="{2BD72D03-FCD7-4878-AFCA-910654119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790575</xdr:colOff>
      <xdr:row>0</xdr:row>
      <xdr:rowOff>0</xdr:rowOff>
    </xdr:from>
    <xdr:to>
      <xdr:col>22</xdr:col>
      <xdr:colOff>200025</xdr:colOff>
      <xdr:row>13</xdr:row>
      <xdr:rowOff>66675</xdr:rowOff>
    </xdr:to>
    <xdr:graphicFrame macro="">
      <xdr:nvGraphicFramePr>
        <xdr:cNvPr id="22" name="Graphique 5">
          <a:extLst>
            <a:ext uri="{FF2B5EF4-FFF2-40B4-BE49-F238E27FC236}">
              <a16:creationId xmlns:a16="http://schemas.microsoft.com/office/drawing/2014/main" id="{A10045F5-D06E-F5A7-D303-7290D220761D}"/>
            </a:ext>
            <a:ext uri="{147F2762-F138-4A5C-976F-8EAC2B608ADB}">
              <a16:predDERef xmlns:a16="http://schemas.microsoft.com/office/drawing/2014/main" pred="{B4CED469-8C0E-4EA7-9FCC-7B47C90BC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819150</xdr:colOff>
      <xdr:row>13</xdr:row>
      <xdr:rowOff>66675</xdr:rowOff>
    </xdr:from>
    <xdr:to>
      <xdr:col>21</xdr:col>
      <xdr:colOff>466725</xdr:colOff>
      <xdr:row>29</xdr:row>
      <xdr:rowOff>66675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65E6A46-1BF3-4B7C-F9C4-14764E0C2737}"/>
            </a:ext>
            <a:ext uri="{147F2762-F138-4A5C-976F-8EAC2B608ADB}">
              <a16:predDERef xmlns:a16="http://schemas.microsoft.com/office/drawing/2014/main" pred="{A10045F5-D06E-F5A7-D303-7290D2207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00C2B-59CB-48F8-A013-E5ED37A27393}">
  <sheetPr>
    <outlinePr summaryBelow="0" summaryRight="0"/>
  </sheetPr>
  <dimension ref="A1:K35"/>
  <sheetViews>
    <sheetView workbookViewId="0">
      <selection activeCell="B8" sqref="B8"/>
    </sheetView>
  </sheetViews>
  <sheetFormatPr defaultColWidth="12.5703125" defaultRowHeight="15.75" customHeight="1"/>
  <cols>
    <col min="1" max="1" width="17.42578125" style="29" customWidth="1"/>
    <col min="2" max="2" width="12.5703125" style="29"/>
    <col min="3" max="3" width="11" style="29" bestFit="1" customWidth="1"/>
    <col min="4" max="4" width="12.5703125" style="29"/>
    <col min="5" max="5" width="15.7109375" style="29" bestFit="1" customWidth="1"/>
    <col min="6" max="16384" width="12.5703125" style="29"/>
  </cols>
  <sheetData>
    <row r="1" spans="1:11" ht="13.5">
      <c r="A1" s="34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7"/>
    </row>
    <row r="2" spans="1:11" ht="13.5">
      <c r="B2" s="30">
        <v>310</v>
      </c>
      <c r="C2" s="36">
        <f>8.854*10^-12</f>
        <v>8.8539999999999992E-12</v>
      </c>
      <c r="D2" s="32">
        <f>3.95*C2</f>
        <v>3.4973300000000002E-11</v>
      </c>
      <c r="E2" s="31">
        <f>2.45</f>
        <v>2.4500000000000002</v>
      </c>
      <c r="F2" s="32">
        <f>10*10^-6</f>
        <v>9.9999999999999991E-6</v>
      </c>
      <c r="G2" s="32">
        <f>130*10^-9</f>
        <v>1.3E-7</v>
      </c>
      <c r="H2" s="30">
        <f>0.5</f>
        <v>0.5</v>
      </c>
      <c r="I2" s="30">
        <v>1.2</v>
      </c>
      <c r="J2" s="32">
        <f>480*F2</f>
        <v>4.7999999999999996E-3</v>
      </c>
      <c r="K2" s="37"/>
    </row>
    <row r="3" spans="1:11" ht="13.5">
      <c r="B3" s="29">
        <v>0.03</v>
      </c>
      <c r="K3" s="37"/>
    </row>
    <row r="4" spans="1:11" ht="13.5">
      <c r="A4" s="34" t="s">
        <v>10</v>
      </c>
      <c r="B4" s="33" t="s">
        <v>11</v>
      </c>
      <c r="C4" s="33" t="s">
        <v>12</v>
      </c>
    </row>
    <row r="5" spans="1:11" ht="13.5">
      <c r="B5" s="32">
        <f>(D2)/(E2*10^-9)</f>
        <v>1.4274816326530611E-2</v>
      </c>
      <c r="C5" s="31">
        <f>B5*(10^15/(10^6)^2)</f>
        <v>14.27481632653061</v>
      </c>
    </row>
    <row r="7" spans="1:11" ht="13.5">
      <c r="A7" s="34" t="s">
        <v>13</v>
      </c>
      <c r="B7" s="33" t="s">
        <v>14</v>
      </c>
      <c r="C7" s="33" t="s">
        <v>15</v>
      </c>
    </row>
    <row r="8" spans="1:11" ht="13.5">
      <c r="B8" s="32">
        <f>B2*10^-4*B5/2</f>
        <v>2.2125965306122447E-4</v>
      </c>
      <c r="C8" s="31">
        <f>B8*10^6</f>
        <v>221.25965306122447</v>
      </c>
    </row>
    <row r="9" spans="1:11" ht="15.75" customHeight="1">
      <c r="A9" s="29" t="s">
        <v>16</v>
      </c>
    </row>
    <row r="10" spans="1:11" ht="13.5">
      <c r="A10" s="34" t="s">
        <v>17</v>
      </c>
      <c r="B10" s="35" t="s">
        <v>18</v>
      </c>
    </row>
    <row r="11" spans="1:11" ht="13.5">
      <c r="B11" s="31">
        <f>SQRT(((J2)*G2*2)/((F2*B2*10^-4*B5)))</f>
        <v>0.53105705324397456</v>
      </c>
    </row>
    <row r="13" spans="1:11" ht="13.5">
      <c r="A13" s="34" t="s">
        <v>19</v>
      </c>
      <c r="B13" s="33" t="s">
        <v>20</v>
      </c>
    </row>
    <row r="14" spans="1:11" ht="13.5">
      <c r="B14" s="30">
        <f>(2*J2)/B11</f>
        <v>1.8077153747150465E-2</v>
      </c>
    </row>
    <row r="16" spans="1:11" ht="13.5">
      <c r="A16" s="34" t="s">
        <v>21</v>
      </c>
      <c r="B16" s="33" t="s">
        <v>22</v>
      </c>
      <c r="C16" s="33" t="s">
        <v>23</v>
      </c>
      <c r="D16" s="33" t="s">
        <v>24</v>
      </c>
      <c r="E16" s="33" t="s">
        <v>25</v>
      </c>
    </row>
    <row r="17" spans="1:10" ht="13.5">
      <c r="B17" s="32">
        <f>0.5*B5*(F2*G2)</f>
        <v>9.2786306122448959E-15</v>
      </c>
      <c r="C17" s="32">
        <f>B17*10^15</f>
        <v>9.2786306122448963</v>
      </c>
      <c r="D17" s="30">
        <v>0.36</v>
      </c>
      <c r="E17" s="30">
        <v>0.95</v>
      </c>
    </row>
    <row r="19" spans="1:10" ht="13.5">
      <c r="A19" s="34" t="s">
        <v>26</v>
      </c>
      <c r="B19" s="33" t="s">
        <v>27</v>
      </c>
      <c r="C19" s="33" t="s">
        <v>2</v>
      </c>
      <c r="D19" s="33" t="s">
        <v>3</v>
      </c>
      <c r="E19" s="33" t="s">
        <v>4</v>
      </c>
      <c r="F19" s="33" t="s">
        <v>5</v>
      </c>
      <c r="G19" s="33" t="s">
        <v>6</v>
      </c>
      <c r="H19" s="33" t="s">
        <v>7</v>
      </c>
      <c r="I19" s="33" t="s">
        <v>8</v>
      </c>
      <c r="J19" s="33" t="s">
        <v>9</v>
      </c>
    </row>
    <row r="20" spans="1:10" ht="13.5">
      <c r="B20" s="30">
        <v>200</v>
      </c>
      <c r="C20" s="36">
        <f>8.854*10^-12</f>
        <v>8.8539999999999992E-12</v>
      </c>
      <c r="D20" s="32">
        <f>3.95*C20</f>
        <v>3.4973300000000002E-11</v>
      </c>
      <c r="E20" s="31">
        <f>2.45</f>
        <v>2.4500000000000002</v>
      </c>
      <c r="F20" s="32">
        <f>10*10^-6</f>
        <v>9.9999999999999991E-6</v>
      </c>
      <c r="G20" s="32">
        <f>130*10^-9</f>
        <v>1.3E-7</v>
      </c>
      <c r="H20" s="30">
        <f>0.47</f>
        <v>0.47</v>
      </c>
      <c r="I20" s="30">
        <v>1.2</v>
      </c>
      <c r="J20" s="32">
        <f>215*F20</f>
        <v>2.15E-3</v>
      </c>
    </row>
    <row r="22" spans="1:10" ht="13.5">
      <c r="A22" s="34" t="s">
        <v>10</v>
      </c>
      <c r="B22" s="33" t="s">
        <v>11</v>
      </c>
      <c r="C22" s="33" t="s">
        <v>12</v>
      </c>
    </row>
    <row r="23" spans="1:10" ht="13.5">
      <c r="B23" s="32">
        <f>(D20)/(E20*10^-9)</f>
        <v>1.4274816326530611E-2</v>
      </c>
      <c r="C23" s="31">
        <f>B23*(10^15/(10^6)^2)</f>
        <v>14.27481632653061</v>
      </c>
    </row>
    <row r="25" spans="1:10" ht="13.5">
      <c r="A25" s="34" t="s">
        <v>28</v>
      </c>
      <c r="B25" s="33" t="s">
        <v>29</v>
      </c>
      <c r="C25" s="33" t="s">
        <v>30</v>
      </c>
    </row>
    <row r="26" spans="1:10" ht="13.5">
      <c r="B26" s="32">
        <f>B20*10^-4*B23/2</f>
        <v>1.4274816326530611E-4</v>
      </c>
      <c r="C26" s="31">
        <f>B26*10^6</f>
        <v>142.74816326530612</v>
      </c>
    </row>
    <row r="28" spans="1:10" ht="13.5">
      <c r="A28" s="34" t="s">
        <v>17</v>
      </c>
      <c r="B28" s="35" t="s">
        <v>18</v>
      </c>
    </row>
    <row r="29" spans="1:10" ht="13.5">
      <c r="B29" s="31">
        <f>SQRT(((J20)*G20*2)/((F20*B20*10^-4*B23)))</f>
        <v>0.44249222246909764</v>
      </c>
    </row>
    <row r="31" spans="1:10" ht="13.5">
      <c r="A31" s="34" t="s">
        <v>19</v>
      </c>
      <c r="B31" s="33" t="s">
        <v>20</v>
      </c>
    </row>
    <row r="32" spans="1:10" ht="13.5">
      <c r="B32" s="31">
        <f>(2*J20)/B29</f>
        <v>9.7176849256379854E-3</v>
      </c>
    </row>
    <row r="34" spans="1:5" ht="13.5">
      <c r="A34" s="34" t="s">
        <v>21</v>
      </c>
      <c r="B34" s="33" t="s">
        <v>22</v>
      </c>
      <c r="C34" s="33" t="s">
        <v>23</v>
      </c>
      <c r="D34" s="33" t="s">
        <v>24</v>
      </c>
      <c r="E34" s="33" t="s">
        <v>25</v>
      </c>
    </row>
    <row r="35" spans="1:5" ht="13.5">
      <c r="B35" s="32">
        <f>0.5*B23*(F20*G20)</f>
        <v>9.2786306122448959E-15</v>
      </c>
      <c r="C35" s="31">
        <f>B35*10^15</f>
        <v>9.2786306122448963</v>
      </c>
      <c r="D35" s="30">
        <v>0.36</v>
      </c>
      <c r="E35" s="30">
        <v>0.95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0432-6C65-4DDF-88BE-3A5D6BF59468}">
  <dimension ref="B1:T34"/>
  <sheetViews>
    <sheetView topLeftCell="A4" workbookViewId="0">
      <selection activeCell="J26" sqref="J26"/>
    </sheetView>
  </sheetViews>
  <sheetFormatPr defaultColWidth="11.42578125" defaultRowHeight="15"/>
  <cols>
    <col min="7" max="7" width="18.42578125" bestFit="1" customWidth="1"/>
    <col min="13" max="13" width="21" bestFit="1" customWidth="1"/>
    <col min="14" max="14" width="13.140625" bestFit="1" customWidth="1"/>
    <col min="15" max="15" width="15.7109375" bestFit="1" customWidth="1"/>
    <col min="16" max="16" width="29.140625" bestFit="1" customWidth="1"/>
    <col min="17" max="17" width="12.28515625" bestFit="1" customWidth="1"/>
    <col min="18" max="18" width="17.85546875" bestFit="1" customWidth="1"/>
    <col min="20" max="20" width="10.28515625" customWidth="1"/>
    <col min="21" max="21" width="9.140625" customWidth="1"/>
  </cols>
  <sheetData>
    <row r="1" spans="2:20" ht="15.75" thickBot="1"/>
    <row r="2" spans="2:20" ht="15.75" thickBot="1">
      <c r="B2" s="180" t="s">
        <v>31</v>
      </c>
      <c r="C2" s="181"/>
      <c r="D2" s="181"/>
      <c r="E2" s="182"/>
      <c r="G2" s="183" t="s">
        <v>32</v>
      </c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5"/>
    </row>
    <row r="3" spans="2:20">
      <c r="B3" s="42"/>
      <c r="E3" s="43"/>
      <c r="G3" s="48"/>
      <c r="R3" s="49"/>
      <c r="T3" s="63"/>
    </row>
    <row r="4" spans="2:20">
      <c r="B4" s="42"/>
      <c r="E4" s="43"/>
      <c r="G4" s="48"/>
      <c r="R4" s="49"/>
    </row>
    <row r="5" spans="2:20">
      <c r="B5" s="42"/>
      <c r="E5" s="43"/>
      <c r="G5" s="48"/>
      <c r="R5" s="49"/>
    </row>
    <row r="6" spans="2:20">
      <c r="B6" s="42"/>
      <c r="E6" s="43"/>
      <c r="G6" s="48"/>
      <c r="R6" s="49"/>
    </row>
    <row r="7" spans="2:20">
      <c r="B7" s="42"/>
      <c r="E7" s="43"/>
      <c r="G7" s="48"/>
      <c r="R7" s="49"/>
    </row>
    <row r="8" spans="2:20">
      <c r="B8" s="42"/>
      <c r="E8" s="43"/>
      <c r="G8" s="48"/>
      <c r="R8" s="49"/>
    </row>
    <row r="9" spans="2:20">
      <c r="B9" s="42"/>
      <c r="E9" s="43"/>
      <c r="G9" s="48"/>
      <c r="R9" s="49"/>
    </row>
    <row r="10" spans="2:20">
      <c r="B10" s="42"/>
      <c r="E10" s="43"/>
      <c r="G10" s="48"/>
      <c r="R10" s="49"/>
    </row>
    <row r="11" spans="2:20">
      <c r="B11" s="42"/>
      <c r="E11" s="43"/>
      <c r="G11" s="48"/>
      <c r="R11" s="49"/>
    </row>
    <row r="12" spans="2:20">
      <c r="B12" s="42"/>
      <c r="E12" s="43"/>
      <c r="G12" s="48"/>
      <c r="R12" s="49"/>
    </row>
    <row r="13" spans="2:20">
      <c r="B13" s="42"/>
      <c r="E13" s="43"/>
      <c r="G13" s="48"/>
      <c r="R13" s="49"/>
    </row>
    <row r="14" spans="2:20">
      <c r="B14" s="42"/>
      <c r="E14" s="43"/>
      <c r="G14" s="48"/>
      <c r="R14" s="49"/>
    </row>
    <row r="15" spans="2:20">
      <c r="B15" s="42"/>
      <c r="E15" s="43"/>
      <c r="G15" s="48"/>
      <c r="R15" s="49"/>
    </row>
    <row r="16" spans="2:20">
      <c r="B16" s="42"/>
      <c r="E16" s="43"/>
      <c r="G16" s="48"/>
      <c r="R16" s="49"/>
    </row>
    <row r="17" spans="2:18">
      <c r="B17" s="42"/>
      <c r="E17" s="43"/>
      <c r="G17" s="48"/>
      <c r="R17" s="49"/>
    </row>
    <row r="18" spans="2:18">
      <c r="B18" s="42"/>
      <c r="E18" s="43"/>
      <c r="G18" s="48"/>
      <c r="R18" s="49"/>
    </row>
    <row r="19" spans="2:18">
      <c r="B19" s="42"/>
      <c r="E19" s="43"/>
      <c r="G19" s="48"/>
      <c r="R19" s="49"/>
    </row>
    <row r="20" spans="2:18">
      <c r="B20" s="42"/>
      <c r="E20" s="43"/>
      <c r="G20" s="48"/>
      <c r="R20" s="49"/>
    </row>
    <row r="21" spans="2:18">
      <c r="B21" s="42"/>
      <c r="E21" s="43"/>
      <c r="G21" s="48"/>
      <c r="R21" s="49"/>
    </row>
    <row r="22" spans="2:18">
      <c r="B22" s="42"/>
      <c r="E22" s="43"/>
      <c r="G22" s="48"/>
      <c r="R22" s="49"/>
    </row>
    <row r="23" spans="2:18">
      <c r="B23" s="42"/>
      <c r="E23" s="43"/>
      <c r="G23" s="48"/>
      <c r="R23" s="49"/>
    </row>
    <row r="24" spans="2:18">
      <c r="B24" s="42"/>
      <c r="E24" s="43"/>
      <c r="G24" s="48"/>
      <c r="R24" s="49"/>
    </row>
    <row r="25" spans="2:18" ht="15.75" thickBot="1">
      <c r="B25" s="42"/>
      <c r="E25" s="43"/>
      <c r="G25" s="50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2"/>
    </row>
    <row r="26" spans="2:18">
      <c r="B26" s="42"/>
      <c r="E26" s="43"/>
    </row>
    <row r="27" spans="2:18">
      <c r="B27" s="42"/>
      <c r="E27" s="43"/>
    </row>
    <row r="28" spans="2:18" ht="15.75" thickBot="1">
      <c r="B28" s="44"/>
      <c r="C28" s="45"/>
      <c r="D28" s="45"/>
      <c r="E28" s="46"/>
    </row>
    <row r="32" spans="2:18">
      <c r="M32" t="s">
        <v>33</v>
      </c>
      <c r="N32" t="s">
        <v>34</v>
      </c>
    </row>
    <row r="33" spans="13:19">
      <c r="M33" t="s">
        <v>35</v>
      </c>
      <c r="N33" t="s">
        <v>36</v>
      </c>
      <c r="O33" t="s">
        <v>37</v>
      </c>
      <c r="P33" t="s">
        <v>38</v>
      </c>
      <c r="R33" t="s">
        <v>39</v>
      </c>
      <c r="S33" t="s">
        <v>40</v>
      </c>
    </row>
    <row r="34" spans="13:19">
      <c r="P34" t="s">
        <v>41</v>
      </c>
    </row>
  </sheetData>
  <mergeCells count="2">
    <mergeCell ref="B2:E2"/>
    <mergeCell ref="G2:R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23"/>
  <sheetViews>
    <sheetView zoomScale="90" zoomScaleNormal="145" workbookViewId="0">
      <selection activeCell="M22" sqref="M22"/>
    </sheetView>
  </sheetViews>
  <sheetFormatPr defaultColWidth="8.7109375" defaultRowHeight="15"/>
  <cols>
    <col min="1" max="1" width="8.7109375" style="2"/>
    <col min="2" max="2" width="8.42578125" style="2" bestFit="1" customWidth="1"/>
    <col min="3" max="3" width="12.28515625" style="2" customWidth="1"/>
    <col min="4" max="4" width="8.85546875" style="2" bestFit="1" customWidth="1"/>
    <col min="5" max="5" width="8.5703125" style="2" bestFit="1" customWidth="1"/>
    <col min="6" max="6" width="20.28515625" style="2" bestFit="1" customWidth="1"/>
    <col min="7" max="7" width="8.42578125" style="2" bestFit="1" customWidth="1"/>
    <col min="8" max="8" width="9.28515625" style="2" bestFit="1" customWidth="1"/>
    <col min="9" max="9" width="15.7109375" style="2" bestFit="1" customWidth="1"/>
    <col min="10" max="10" width="8.42578125" style="2" bestFit="1" customWidth="1"/>
    <col min="11" max="11" width="9" style="2" bestFit="1" customWidth="1"/>
    <col min="12" max="12" width="8.5703125" style="2" bestFit="1" customWidth="1"/>
    <col min="13" max="13" width="8" style="2" bestFit="1" customWidth="1"/>
    <col min="14" max="14" width="9" style="2" bestFit="1" customWidth="1"/>
    <col min="15" max="15" width="11.85546875" style="2" bestFit="1" customWidth="1"/>
    <col min="16" max="16" width="9.5703125" style="2" bestFit="1" customWidth="1"/>
    <col min="17" max="17" width="11.140625" style="2" bestFit="1" customWidth="1"/>
    <col min="18" max="18" width="11.7109375" style="2" bestFit="1" customWidth="1"/>
    <col min="19" max="19" width="20.42578125" style="2" bestFit="1" customWidth="1"/>
    <col min="20" max="20" width="8" style="2" bestFit="1" customWidth="1"/>
    <col min="21" max="21" width="10.140625" style="2" bestFit="1" customWidth="1"/>
    <col min="22" max="23" width="9.5703125" style="2" bestFit="1" customWidth="1"/>
    <col min="24" max="24" width="8.42578125" style="2" bestFit="1" customWidth="1"/>
    <col min="25" max="25" width="9.140625" style="2" bestFit="1" customWidth="1"/>
    <col min="26" max="26" width="9" style="2" bestFit="1" customWidth="1"/>
    <col min="27" max="27" width="4.140625" style="2" bestFit="1" customWidth="1"/>
    <col min="28" max="29" width="7" style="2" bestFit="1" customWidth="1"/>
    <col min="30" max="16384" width="8.7109375" style="2"/>
  </cols>
  <sheetData>
    <row r="1" spans="2:30" ht="15.75" thickBot="1"/>
    <row r="2" spans="2:30" ht="15.75" thickBot="1">
      <c r="B2" s="189" t="s">
        <v>42</v>
      </c>
      <c r="C2" s="190"/>
      <c r="D2" s="190"/>
      <c r="E2" s="190"/>
      <c r="F2" s="190"/>
      <c r="G2" s="190"/>
      <c r="H2" s="190"/>
      <c r="I2" s="190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64"/>
    </row>
    <row r="3" spans="2:30" ht="18.75" thickBot="1">
      <c r="B3" s="65"/>
      <c r="C3" s="194" t="s">
        <v>43</v>
      </c>
      <c r="D3" s="195"/>
      <c r="E3" s="195"/>
      <c r="F3" s="195"/>
      <c r="G3" s="195"/>
      <c r="H3" s="195"/>
      <c r="I3" s="195"/>
      <c r="J3" s="195"/>
      <c r="K3" s="196"/>
      <c r="M3" s="194" t="s">
        <v>44</v>
      </c>
      <c r="N3" s="196"/>
      <c r="P3" s="24" t="s">
        <v>45</v>
      </c>
      <c r="Q3" s="25" t="s">
        <v>46</v>
      </c>
      <c r="S3" s="55" t="s">
        <v>47</v>
      </c>
      <c r="T3" s="55" t="s">
        <v>48</v>
      </c>
      <c r="U3" s="55" t="s">
        <v>49</v>
      </c>
      <c r="W3" s="186" t="s">
        <v>50</v>
      </c>
      <c r="X3" s="187"/>
      <c r="Y3" s="187"/>
      <c r="Z3" s="187"/>
      <c r="AA3" s="187"/>
      <c r="AB3" s="187"/>
      <c r="AC3" s="188"/>
      <c r="AD3" s="66"/>
    </row>
    <row r="4" spans="2:30" ht="18.75" thickBot="1">
      <c r="B4" s="65"/>
      <c r="C4" s="9" t="s">
        <v>51</v>
      </c>
      <c r="D4" s="10" t="s">
        <v>52</v>
      </c>
      <c r="E4" s="11" t="s">
        <v>53</v>
      </c>
      <c r="F4" s="11" t="s">
        <v>54</v>
      </c>
      <c r="G4" s="11" t="s">
        <v>55</v>
      </c>
      <c r="H4" s="10" t="s">
        <v>56</v>
      </c>
      <c r="I4" s="10" t="s">
        <v>57</v>
      </c>
      <c r="J4" s="10" t="s">
        <v>58</v>
      </c>
      <c r="K4" s="17" t="s">
        <v>59</v>
      </c>
      <c r="M4" s="4" t="s">
        <v>60</v>
      </c>
      <c r="N4" s="5" t="s">
        <v>61</v>
      </c>
      <c r="P4" s="41">
        <f>'paramètres techno'!B8</f>
        <v>2.2125965306122447E-4</v>
      </c>
      <c r="Q4" s="16">
        <f>'paramètres techno'!B5</f>
        <v>1.4274816326530611E-2</v>
      </c>
      <c r="S4" s="53">
        <f>1/(50*I5*D5)</f>
        <v>1.2992240252399618E-12</v>
      </c>
      <c r="T4" s="53">
        <f>C10/((K10+N10)*2*PI())</f>
        <v>3955692566.6604905</v>
      </c>
      <c r="U4" s="53">
        <f>2*PI()*T4</f>
        <v>24854349414.560699</v>
      </c>
      <c r="W4" s="18" t="s">
        <v>62</v>
      </c>
      <c r="X4" s="23" t="s">
        <v>63</v>
      </c>
      <c r="Y4" s="27" t="s">
        <v>64</v>
      </c>
      <c r="Z4" s="20" t="s">
        <v>65</v>
      </c>
      <c r="AA4" s="18" t="s">
        <v>66</v>
      </c>
      <c r="AB4" s="19" t="s">
        <v>67</v>
      </c>
      <c r="AC4" s="20" t="s">
        <v>68</v>
      </c>
      <c r="AD4" s="66"/>
    </row>
    <row r="5" spans="2:30" ht="15.75" thickBot="1">
      <c r="B5" s="65"/>
      <c r="C5" s="12">
        <v>3.5</v>
      </c>
      <c r="D5" s="13">
        <v>1</v>
      </c>
      <c r="E5" s="13">
        <v>2</v>
      </c>
      <c r="F5" s="13">
        <v>20</v>
      </c>
      <c r="G5" s="13">
        <v>50</v>
      </c>
      <c r="H5" s="14">
        <v>2450000000</v>
      </c>
      <c r="I5" s="14">
        <f>2*PI()*H5</f>
        <v>15393804002.589987</v>
      </c>
      <c r="J5" s="15">
        <f>0.000000003</f>
        <v>3E-9</v>
      </c>
      <c r="K5" s="16">
        <v>3000000</v>
      </c>
      <c r="M5" s="6">
        <f>10^(C5/10)</f>
        <v>2.2387211385683394</v>
      </c>
      <c r="N5" s="7">
        <f>10^(F5/20)</f>
        <v>10</v>
      </c>
      <c r="W5" s="12">
        <v>-5</v>
      </c>
      <c r="X5" s="26">
        <f>SQRT(2*50*10^-3*10^(W5/10))</f>
        <v>0.17782794100389229</v>
      </c>
      <c r="Y5" s="60">
        <f>(D5*X5/0.64)^2</f>
        <v>7.720404443770458E-2</v>
      </c>
      <c r="Z5" s="28">
        <f>(C10/2)*Y5</f>
        <v>1.2465121008096089E-3</v>
      </c>
      <c r="AA5" s="54">
        <f>(Z5/P4)*(1/(Y5^2))</f>
        <v>945.17922597075437</v>
      </c>
      <c r="AB5" s="21">
        <v>1.3E-7</v>
      </c>
      <c r="AC5" s="22">
        <f>AA5*AB5</f>
        <v>1.2287329937619808E-4</v>
      </c>
      <c r="AD5" s="66"/>
    </row>
    <row r="6" spans="2:30">
      <c r="B6" s="65"/>
      <c r="AD6" s="66"/>
    </row>
    <row r="7" spans="2:30">
      <c r="B7" s="65"/>
      <c r="AD7" s="66"/>
    </row>
    <row r="8" spans="2:30" ht="15.75" thickBot="1">
      <c r="B8" s="65"/>
      <c r="AD8" s="66"/>
    </row>
    <row r="9" spans="2:30" ht="18">
      <c r="B9" s="65"/>
      <c r="C9" s="38" t="s">
        <v>69</v>
      </c>
      <c r="D9" s="39" t="s">
        <v>70</v>
      </c>
      <c r="E9" s="40" t="s">
        <v>71</v>
      </c>
      <c r="G9" s="27" t="s">
        <v>65</v>
      </c>
      <c r="H9" s="19" t="s">
        <v>66</v>
      </c>
      <c r="I9" s="20" t="s">
        <v>68</v>
      </c>
      <c r="K9" s="18" t="s">
        <v>72</v>
      </c>
      <c r="L9" s="19" t="s">
        <v>73</v>
      </c>
      <c r="M9" s="19" t="s">
        <v>74</v>
      </c>
      <c r="N9" s="20" t="s">
        <v>75</v>
      </c>
      <c r="AD9" s="66"/>
    </row>
    <row r="10" spans="2:30" ht="15.75" thickBot="1">
      <c r="B10" s="65"/>
      <c r="C10" s="103">
        <f>(E5/((G5*D5^2)*(M5-1)))</f>
        <v>3.2291367891106044E-2</v>
      </c>
      <c r="D10" s="14">
        <f>1/(I5^2*J5)</f>
        <v>1.4066525564672742E-12</v>
      </c>
      <c r="E10" s="56">
        <f>N5/C10*D5</f>
        <v>309.68028464208487</v>
      </c>
      <c r="G10" s="57">
        <v>1.5E-3</v>
      </c>
      <c r="H10" s="58">
        <f>C10^2/(4*P4*G10)</f>
        <v>785.45156173760347</v>
      </c>
      <c r="I10" s="22">
        <f>H10*AB5</f>
        <v>1.0210870302588845E-4</v>
      </c>
      <c r="K10" s="47">
        <f>(2/3)*Q4*I10*AB5</f>
        <v>1.2632385835635087E-13</v>
      </c>
      <c r="L10" s="59">
        <f>1/(I5^2*(N10+K10))-M10</f>
        <v>1.2363397333491717E-9</v>
      </c>
      <c r="M10" s="59">
        <f>G5/U4</f>
        <v>2.0117203297507334E-9</v>
      </c>
      <c r="N10" s="95">
        <f>S4-K10</f>
        <v>1.172900166883611E-12</v>
      </c>
      <c r="AD10" s="66"/>
    </row>
    <row r="11" spans="2:30">
      <c r="B11" s="65"/>
      <c r="AD11" s="66"/>
    </row>
    <row r="12" spans="2:30" ht="15.75" thickBot="1">
      <c r="B12" s="67"/>
      <c r="C12" s="68"/>
      <c r="D12" s="68"/>
      <c r="E12" s="68"/>
      <c r="F12" s="68"/>
      <c r="G12" s="69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70"/>
    </row>
    <row r="14" spans="2:30">
      <c r="N14" s="2">
        <f>30000000000/600</f>
        <v>50000000</v>
      </c>
    </row>
    <row r="15" spans="2:30">
      <c r="R15" s="3"/>
      <c r="S15" s="8"/>
      <c r="T15" s="8"/>
    </row>
    <row r="16" spans="2:30">
      <c r="P16" s="2" t="s">
        <v>76</v>
      </c>
      <c r="T16" s="8"/>
    </row>
    <row r="17" spans="2:16" ht="15.75" thickBot="1">
      <c r="P17" s="101">
        <f>G10*'paramètres techno'!I2</f>
        <v>1.8E-3</v>
      </c>
    </row>
    <row r="18" spans="2:16">
      <c r="B18" s="172"/>
      <c r="C18" s="193" t="s">
        <v>77</v>
      </c>
      <c r="D18" s="193"/>
      <c r="E18" s="193"/>
      <c r="F18" s="193"/>
      <c r="G18" s="193"/>
      <c r="H18" s="193"/>
      <c r="I18" s="173"/>
      <c r="J18" s="64"/>
    </row>
    <row r="19" spans="2:16" ht="15.75" thickBot="1">
      <c r="B19" s="65"/>
      <c r="J19" s="66"/>
      <c r="M19" s="2">
        <v>100</v>
      </c>
      <c r="N19" s="2">
        <f>N5/M19</f>
        <v>0.1</v>
      </c>
    </row>
    <row r="20" spans="2:16" ht="15.75" thickBot="1">
      <c r="B20" s="65"/>
      <c r="C20" s="191" t="s">
        <v>78</v>
      </c>
      <c r="D20" s="192"/>
      <c r="F20" s="191" t="s">
        <v>79</v>
      </c>
      <c r="G20" s="192"/>
      <c r="I20" s="99" t="s">
        <v>80</v>
      </c>
      <c r="J20" s="66"/>
      <c r="L20" s="3"/>
    </row>
    <row r="21" spans="2:16" ht="18">
      <c r="B21" s="65"/>
      <c r="C21" s="100" t="s">
        <v>74</v>
      </c>
      <c r="D21" s="100" t="s">
        <v>72</v>
      </c>
      <c r="F21" s="96" t="s">
        <v>47</v>
      </c>
      <c r="G21" s="20" t="s">
        <v>75</v>
      </c>
      <c r="I21" s="100" t="s">
        <v>73</v>
      </c>
      <c r="J21" s="66"/>
    </row>
    <row r="22" spans="2:16" ht="15.75" thickBot="1">
      <c r="B22" s="65"/>
      <c r="C22" s="98">
        <v>1.5E-9</v>
      </c>
      <c r="D22" s="97">
        <f>K10</f>
        <v>1.2632385835635087E-13</v>
      </c>
      <c r="F22" s="97">
        <f>(C22*C10)/50</f>
        <v>9.6874103673318132E-13</v>
      </c>
      <c r="G22" s="22">
        <f>F22-D22</f>
        <v>8.424171783768305E-13</v>
      </c>
      <c r="I22" s="98">
        <f>(1/(I5^2*F22))-C22</f>
        <v>2.8561256407930186E-9</v>
      </c>
      <c r="J22" s="66"/>
      <c r="K22" s="3"/>
    </row>
    <row r="23" spans="2:16" ht="15.75" thickBot="1">
      <c r="B23" s="67"/>
      <c r="C23" s="68"/>
      <c r="D23" s="68"/>
      <c r="E23" s="68"/>
      <c r="F23" s="68"/>
      <c r="G23" s="68"/>
      <c r="H23" s="68"/>
      <c r="I23" s="68"/>
      <c r="J23" s="70"/>
    </row>
  </sheetData>
  <mergeCells count="7">
    <mergeCell ref="W3:AC3"/>
    <mergeCell ref="B2:I2"/>
    <mergeCell ref="C20:D20"/>
    <mergeCell ref="F20:G20"/>
    <mergeCell ref="C18:H18"/>
    <mergeCell ref="C3:K3"/>
    <mergeCell ref="M3:N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2D4C-50C3-42B0-9E2A-99F328BEE698}">
  <dimension ref="A2:E6"/>
  <sheetViews>
    <sheetView workbookViewId="0">
      <selection activeCell="A7" sqref="A7"/>
    </sheetView>
  </sheetViews>
  <sheetFormatPr defaultColWidth="11.42578125" defaultRowHeight="15"/>
  <cols>
    <col min="1" max="1" width="16.140625" customWidth="1"/>
    <col min="2" max="2" width="14.7109375" customWidth="1"/>
  </cols>
  <sheetData>
    <row r="2" spans="1:5">
      <c r="A2" t="s">
        <v>81</v>
      </c>
      <c r="B2" t="s">
        <v>82</v>
      </c>
      <c r="D2" s="104" t="s">
        <v>83</v>
      </c>
      <c r="E2" s="105">
        <f>0.0000000000007</f>
        <v>7.0000000000000005E-13</v>
      </c>
    </row>
    <row r="3" spans="1:5">
      <c r="A3" t="s">
        <v>84</v>
      </c>
      <c r="B3" t="s">
        <v>85</v>
      </c>
      <c r="D3" s="104" t="s">
        <v>86</v>
      </c>
      <c r="E3" s="105">
        <v>310</v>
      </c>
    </row>
    <row r="5" spans="1:5">
      <c r="A5" t="s">
        <v>87</v>
      </c>
      <c r="B5">
        <f>(E2*SQRT(50/E3))/(SQRT(50/E3)-1)</f>
        <v>-4.698049891766197E-13</v>
      </c>
    </row>
    <row r="6" spans="1:5">
      <c r="A6" t="s">
        <v>88</v>
      </c>
      <c r="B6">
        <f>(SQRT(50/E3)-1)*B5</f>
        <v>2.8112676511587456E-13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D1016-4AC7-48B5-979E-71C64E7D36F5}">
  <dimension ref="A1:AD36"/>
  <sheetViews>
    <sheetView tabSelected="1" zoomScale="130" zoomScaleNormal="130" workbookViewId="0">
      <selection activeCell="H17" sqref="H17"/>
    </sheetView>
  </sheetViews>
  <sheetFormatPr defaultColWidth="10.85546875" defaultRowHeight="15"/>
  <cols>
    <col min="1" max="1" width="10.42578125" style="1" bestFit="1" customWidth="1"/>
    <col min="2" max="6" width="9" style="1" bestFit="1" customWidth="1"/>
    <col min="7" max="7" width="10.7109375" style="1" bestFit="1" customWidth="1"/>
    <col min="8" max="8" width="12.5703125" style="1" bestFit="1" customWidth="1"/>
    <col min="9" max="9" width="9" style="1" bestFit="1" customWidth="1"/>
    <col min="10" max="10" width="13" style="1" customWidth="1"/>
    <col min="11" max="11" width="9" style="1" bestFit="1" customWidth="1"/>
    <col min="12" max="12" width="11.42578125" style="1" bestFit="1" customWidth="1"/>
    <col min="13" max="13" width="11.28515625" style="1" customWidth="1"/>
    <col min="14" max="14" width="11.5703125" style="1" bestFit="1" customWidth="1"/>
    <col min="15" max="15" width="13" style="1" bestFit="1" customWidth="1"/>
    <col min="16" max="16" width="9.5703125" style="1" bestFit="1" customWidth="1"/>
    <col min="17" max="17" width="8.28515625" style="1" customWidth="1"/>
    <col min="18" max="18" width="10.42578125" style="1" bestFit="1" customWidth="1"/>
    <col min="19" max="19" width="11.140625" style="1" bestFit="1" customWidth="1"/>
    <col min="20" max="20" width="10.85546875" style="1"/>
    <col min="21" max="21" width="9.42578125" style="1" bestFit="1" customWidth="1"/>
    <col min="22" max="22" width="9.28515625" style="1" bestFit="1" customWidth="1"/>
    <col min="23" max="23" width="9" style="1" bestFit="1" customWidth="1"/>
    <col min="24" max="24" width="11" style="1" bestFit="1" customWidth="1"/>
    <col min="25" max="25" width="10.7109375" style="1" bestFit="1" customWidth="1"/>
    <col min="26" max="26" width="8.28515625" style="1" bestFit="1" customWidth="1"/>
    <col min="27" max="27" width="18.85546875" style="1" bestFit="1" customWidth="1"/>
    <col min="28" max="28" width="13" style="1" bestFit="1" customWidth="1"/>
    <col min="29" max="29" width="4.140625" style="1" bestFit="1" customWidth="1"/>
    <col min="30" max="31" width="6.85546875" style="1" bestFit="1" customWidth="1"/>
    <col min="32" max="16384" width="10.85546875" style="1"/>
  </cols>
  <sheetData>
    <row r="1" spans="1:30">
      <c r="A1" s="198" t="s">
        <v>89</v>
      </c>
      <c r="B1" s="199"/>
      <c r="C1" s="61"/>
      <c r="D1" s="62" t="s">
        <v>90</v>
      </c>
      <c r="E1" s="62" t="s">
        <v>91</v>
      </c>
      <c r="F1" s="73" t="s">
        <v>60</v>
      </c>
      <c r="G1" s="73" t="s">
        <v>51</v>
      </c>
      <c r="H1" s="102" t="s">
        <v>92</v>
      </c>
      <c r="I1" s="2"/>
      <c r="J1" s="200" t="s">
        <v>93</v>
      </c>
      <c r="K1" s="201"/>
      <c r="L1" s="201"/>
      <c r="M1" s="202"/>
      <c r="O1" s="203" t="s">
        <v>94</v>
      </c>
      <c r="P1" s="204"/>
      <c r="Q1" s="204"/>
      <c r="R1" s="205"/>
      <c r="U1" s="223" t="s">
        <v>95</v>
      </c>
      <c r="V1" s="224"/>
      <c r="W1" s="224"/>
      <c r="X1" s="224"/>
      <c r="Y1" s="224"/>
      <c r="Z1" s="224"/>
      <c r="AA1" s="224"/>
      <c r="AB1" s="224"/>
      <c r="AC1" s="224"/>
      <c r="AD1" s="225"/>
    </row>
    <row r="2" spans="1:30">
      <c r="A2" s="84" t="s">
        <v>51</v>
      </c>
      <c r="B2" s="83">
        <v>3.5</v>
      </c>
      <c r="D2" s="74">
        <v>0.02</v>
      </c>
      <c r="E2" s="72">
        <f>D2*F5</f>
        <v>20</v>
      </c>
      <c r="F2" s="93">
        <f>1+B5+4*(B8/F5)</f>
        <v>3.2</v>
      </c>
      <c r="G2" s="91">
        <f>10*LOG10(F2)</f>
        <v>5.0514997831990609</v>
      </c>
      <c r="H2" s="94">
        <f>10*LOG10(E2)</f>
        <v>13.010299956639813</v>
      </c>
      <c r="I2" s="2"/>
      <c r="J2" s="106"/>
      <c r="M2" s="107"/>
      <c r="O2" s="124" t="s">
        <v>96</v>
      </c>
      <c r="P2" s="112">
        <v>0.9</v>
      </c>
      <c r="Q2" s="120" t="s">
        <v>97</v>
      </c>
      <c r="R2" s="121">
        <f>P3*(1-P2*P2)/B10</f>
        <v>6.1713141198898173E-10</v>
      </c>
      <c r="U2" s="226" t="s">
        <v>98</v>
      </c>
      <c r="V2" s="227" t="s">
        <v>99</v>
      </c>
      <c r="W2" s="227" t="s">
        <v>100</v>
      </c>
      <c r="X2" s="227" t="s">
        <v>101</v>
      </c>
      <c r="Y2" s="228" t="s">
        <v>102</v>
      </c>
      <c r="Z2" s="227" t="s">
        <v>103</v>
      </c>
      <c r="AA2" s="227" t="s">
        <v>104</v>
      </c>
      <c r="AB2" s="227" t="s">
        <v>105</v>
      </c>
      <c r="AC2" s="227" t="s">
        <v>106</v>
      </c>
      <c r="AD2" s="229" t="s">
        <v>107</v>
      </c>
    </row>
    <row r="3" spans="1:30">
      <c r="A3" s="85" t="s">
        <v>108</v>
      </c>
      <c r="B3" s="78">
        <f>10^(B2/10)</f>
        <v>2.2387211385683394</v>
      </c>
      <c r="I3" s="2"/>
      <c r="J3" s="200" t="s">
        <v>109</v>
      </c>
      <c r="K3" s="202"/>
      <c r="L3" s="118" t="s">
        <v>110</v>
      </c>
      <c r="M3" s="109">
        <f>K9/(B10*50)</f>
        <v>4.5844196099469548E-12</v>
      </c>
      <c r="O3" s="124" t="s">
        <v>111</v>
      </c>
      <c r="P3" s="112">
        <v>50</v>
      </c>
      <c r="Q3" s="120" t="s">
        <v>112</v>
      </c>
      <c r="R3" s="121">
        <f>P4*(1-P2*P2)/B10</f>
        <v>6.1713141198898172E-8</v>
      </c>
      <c r="U3" s="230" t="s">
        <v>113</v>
      </c>
      <c r="V3" s="231">
        <v>11.7</v>
      </c>
      <c r="W3" s="232">
        <f>20*LOG10(V3)</f>
        <v>21.363717234923236</v>
      </c>
      <c r="X3" s="231" t="s">
        <v>114</v>
      </c>
      <c r="Y3" s="231">
        <v>453.9</v>
      </c>
      <c r="Z3" s="231">
        <v>-4.5</v>
      </c>
      <c r="AA3" s="231" t="s">
        <v>115</v>
      </c>
      <c r="AB3" s="231" t="s">
        <v>116</v>
      </c>
      <c r="AC3" s="231">
        <v>277</v>
      </c>
      <c r="AD3" s="233">
        <v>8.0600000000000005E-2</v>
      </c>
    </row>
    <row r="4" spans="1:30">
      <c r="A4" s="85" t="s">
        <v>52</v>
      </c>
      <c r="B4" s="77">
        <v>1</v>
      </c>
      <c r="C4" s="2"/>
      <c r="D4" s="73" t="s">
        <v>117</v>
      </c>
      <c r="E4" s="73" t="s">
        <v>118</v>
      </c>
      <c r="F4" s="73" t="s">
        <v>119</v>
      </c>
      <c r="G4" s="73" t="s">
        <v>120</v>
      </c>
      <c r="J4" s="122" t="s">
        <v>121</v>
      </c>
      <c r="K4" s="1">
        <v>11.5</v>
      </c>
      <c r="L4" s="119" t="s">
        <v>122</v>
      </c>
      <c r="M4" s="90">
        <f>K4/(B10*K6)</f>
        <v>1.4066525564672744E-12</v>
      </c>
      <c r="O4" s="125" t="s">
        <v>123</v>
      </c>
      <c r="P4" s="113">
        <v>5000</v>
      </c>
      <c r="Q4" s="114"/>
      <c r="R4" s="113"/>
    </row>
    <row r="5" spans="1:30">
      <c r="A5" s="86" t="s">
        <v>53</v>
      </c>
      <c r="B5" s="77">
        <v>2</v>
      </c>
      <c r="D5" s="75">
        <v>3E-9</v>
      </c>
      <c r="E5" s="71">
        <f>1/(D5*B10^2)</f>
        <v>1.4066525564672742E-12</v>
      </c>
      <c r="F5" s="71">
        <v>1000</v>
      </c>
      <c r="G5" s="71">
        <f>50/B10</f>
        <v>3.2480600630999047E-9</v>
      </c>
      <c r="J5" s="122" t="s">
        <v>124</v>
      </c>
      <c r="K5" s="71">
        <v>3E-9</v>
      </c>
      <c r="L5" s="116" t="s">
        <v>125</v>
      </c>
      <c r="M5" s="108">
        <f>(M4*M3)/(M3-M4)</f>
        <v>2.0293134945776549E-12</v>
      </c>
      <c r="U5" s="222"/>
      <c r="V5" s="222"/>
      <c r="X5" s="222"/>
      <c r="Y5" s="222"/>
    </row>
    <row r="6" spans="1:30">
      <c r="A6" s="86" t="s">
        <v>54</v>
      </c>
      <c r="B6" s="77">
        <v>20</v>
      </c>
      <c r="J6" s="123" t="s">
        <v>126</v>
      </c>
      <c r="K6" s="108">
        <f>K4*B10*K5</f>
        <v>531.08623808935454</v>
      </c>
      <c r="M6" s="107"/>
    </row>
    <row r="7" spans="1:30">
      <c r="A7" s="85" t="s">
        <v>127</v>
      </c>
      <c r="B7" s="79">
        <f>10^(B6/20)</f>
        <v>10</v>
      </c>
      <c r="D7" s="73" t="s">
        <v>128</v>
      </c>
      <c r="E7" s="73" t="s">
        <v>129</v>
      </c>
      <c r="F7" s="73" t="s">
        <v>130</v>
      </c>
      <c r="G7" s="73" t="s">
        <v>131</v>
      </c>
      <c r="J7" s="106"/>
      <c r="M7" s="107"/>
    </row>
    <row r="8" spans="1:30" ht="15.75" customHeight="1">
      <c r="A8" s="87" t="s">
        <v>132</v>
      </c>
      <c r="B8" s="80">
        <v>50</v>
      </c>
      <c r="D8" s="1">
        <v>0.1</v>
      </c>
      <c r="E8" s="76">
        <f>D8+'paramètres techno'!H2</f>
        <v>0.6</v>
      </c>
      <c r="F8" s="71">
        <f>(D8*D2)/2</f>
        <v>1E-3</v>
      </c>
      <c r="G8" s="71">
        <f>F8*'paramètres techno'!I2</f>
        <v>1.1999999999999999E-3</v>
      </c>
      <c r="J8" s="115" t="s">
        <v>133</v>
      </c>
      <c r="K8" s="109">
        <f>K6/50</f>
        <v>10.621724761787091</v>
      </c>
      <c r="M8" s="107"/>
    </row>
    <row r="9" spans="1:30">
      <c r="A9" s="89" t="s">
        <v>134</v>
      </c>
      <c r="B9" s="81">
        <v>2450000000</v>
      </c>
      <c r="H9" s="82"/>
      <c r="I9" s="71"/>
      <c r="J9" s="116" t="s">
        <v>135</v>
      </c>
      <c r="K9" s="108">
        <f>K4/SQRT(K8)</f>
        <v>3.5285828470576734</v>
      </c>
      <c r="M9" s="107"/>
    </row>
    <row r="10" spans="1:30">
      <c r="A10" s="89" t="s">
        <v>136</v>
      </c>
      <c r="B10" s="81">
        <f>2*PI()*B9</f>
        <v>15393804002.589987</v>
      </c>
      <c r="D10" s="197" t="s">
        <v>137</v>
      </c>
      <c r="E10" s="197"/>
      <c r="F10" s="197"/>
      <c r="J10" s="106"/>
      <c r="M10" s="107"/>
    </row>
    <row r="11" spans="1:30">
      <c r="A11" s="85" t="s">
        <v>59</v>
      </c>
      <c r="B11" s="81">
        <v>3000000</v>
      </c>
      <c r="D11" s="73" t="s">
        <v>66</v>
      </c>
      <c r="E11" s="73" t="s">
        <v>138</v>
      </c>
      <c r="F11" s="73" t="s">
        <v>139</v>
      </c>
      <c r="G11" s="73" t="s">
        <v>140</v>
      </c>
      <c r="J11" s="117" t="s">
        <v>141</v>
      </c>
      <c r="K11" s="110">
        <f>0.012*K6</f>
        <v>6.3730348570722546</v>
      </c>
      <c r="L11" s="178"/>
      <c r="M11" s="111"/>
    </row>
    <row r="12" spans="1:30">
      <c r="A12" s="92" t="s">
        <v>142</v>
      </c>
      <c r="B12" s="90">
        <v>3.0000000000000001E-3</v>
      </c>
      <c r="D12" s="82">
        <f>F8/(D8*D8*'paramètres techno'!B8)</f>
        <v>451.95768237207307</v>
      </c>
      <c r="E12" s="71">
        <f>D12*F12</f>
        <v>5.8754498708369496E-5</v>
      </c>
      <c r="F12" s="71">
        <f>'paramètres techno'!G2</f>
        <v>1.3E-7</v>
      </c>
      <c r="G12" s="71">
        <f>2/3*('paramètres techno'!B5*E12*F12)</f>
        <v>7.2688172043010721E-14</v>
      </c>
      <c r="I12" s="2"/>
      <c r="J12" s="2"/>
    </row>
    <row r="13" spans="1:30">
      <c r="A13" s="88" t="s">
        <v>143</v>
      </c>
      <c r="B13" s="52">
        <v>50</v>
      </c>
      <c r="C13"/>
      <c r="D13"/>
      <c r="E13"/>
      <c r="F13"/>
      <c r="G13"/>
      <c r="H13"/>
      <c r="I13"/>
      <c r="J13"/>
    </row>
    <row r="14" spans="1:30">
      <c r="B14"/>
      <c r="C14"/>
      <c r="E14"/>
      <c r="F14"/>
      <c r="G14"/>
      <c r="H14"/>
      <c r="I14"/>
      <c r="J14"/>
    </row>
    <row r="15" spans="1:30" ht="15" customHeight="1"/>
    <row r="17" spans="1:19">
      <c r="A17" s="71"/>
      <c r="B17" s="71"/>
      <c r="C17" s="71"/>
      <c r="D17" s="71"/>
      <c r="F17" s="71"/>
    </row>
    <row r="18" spans="1:19">
      <c r="F18" s="71"/>
      <c r="M18" s="71"/>
    </row>
    <row r="19" spans="1:19">
      <c r="M19" s="82"/>
    </row>
    <row r="21" spans="1:19">
      <c r="I21" s="71"/>
    </row>
    <row r="22" spans="1:19">
      <c r="M22"/>
      <c r="N22"/>
      <c r="P22"/>
      <c r="Q22"/>
      <c r="R22"/>
      <c r="S22"/>
    </row>
    <row r="23" spans="1:19">
      <c r="P23"/>
      <c r="Q23"/>
      <c r="R23"/>
      <c r="S23"/>
    </row>
    <row r="24" spans="1:19">
      <c r="P24"/>
      <c r="Q24"/>
      <c r="R24"/>
      <c r="S24"/>
    </row>
    <row r="25" spans="1:19">
      <c r="M25"/>
      <c r="N25"/>
      <c r="O25"/>
      <c r="P25"/>
      <c r="Q25"/>
      <c r="R25"/>
      <c r="S25"/>
    </row>
    <row r="26" spans="1:19">
      <c r="P26"/>
      <c r="Q26"/>
      <c r="R26"/>
      <c r="S26"/>
    </row>
    <row r="27" spans="1:19">
      <c r="P27"/>
      <c r="Q27"/>
      <c r="R27"/>
      <c r="S27"/>
    </row>
    <row r="28" spans="1:19">
      <c r="M28"/>
      <c r="N28"/>
      <c r="O28"/>
      <c r="P28"/>
      <c r="Q28"/>
      <c r="R28"/>
      <c r="S28"/>
    </row>
    <row r="29" spans="1:19">
      <c r="O29"/>
      <c r="P29"/>
      <c r="Q29"/>
      <c r="R29"/>
      <c r="S29"/>
    </row>
    <row r="30" spans="1:19">
      <c r="O30"/>
      <c r="P30"/>
      <c r="Q30"/>
      <c r="R30"/>
      <c r="S30"/>
    </row>
    <row r="31" spans="1:19">
      <c r="M31"/>
      <c r="N31"/>
      <c r="O31"/>
      <c r="P31"/>
      <c r="Q31"/>
      <c r="R31"/>
      <c r="S31"/>
    </row>
    <row r="32" spans="1:19">
      <c r="O32"/>
      <c r="P32"/>
      <c r="Q32"/>
      <c r="R32"/>
      <c r="S32"/>
    </row>
    <row r="33" spans="13:19">
      <c r="O33"/>
      <c r="P33"/>
      <c r="Q33"/>
      <c r="R33"/>
      <c r="S33"/>
    </row>
    <row r="34" spans="13:19">
      <c r="M34"/>
      <c r="N34"/>
      <c r="O34"/>
      <c r="P34"/>
      <c r="Q34"/>
      <c r="R34"/>
      <c r="S34"/>
    </row>
    <row r="35" spans="13:19">
      <c r="R35"/>
      <c r="S35"/>
    </row>
    <row r="36" spans="13:19">
      <c r="R36"/>
      <c r="S36"/>
    </row>
  </sheetData>
  <mergeCells count="8">
    <mergeCell ref="U5:V5"/>
    <mergeCell ref="X5:Y5"/>
    <mergeCell ref="U1:AD1"/>
    <mergeCell ref="D10:F10"/>
    <mergeCell ref="A1:B1"/>
    <mergeCell ref="J1:M1"/>
    <mergeCell ref="J3:K3"/>
    <mergeCell ref="O1:R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C47A3-A9BF-48FF-A19E-783C173D2BFE}">
  <dimension ref="A1:E50"/>
  <sheetViews>
    <sheetView workbookViewId="0">
      <selection activeCell="N36" sqref="N36"/>
    </sheetView>
  </sheetViews>
  <sheetFormatPr defaultColWidth="9.140625" defaultRowHeight="15"/>
  <cols>
    <col min="1" max="1" width="6.85546875" bestFit="1" customWidth="1"/>
    <col min="2" max="3" width="12.28515625" bestFit="1" customWidth="1"/>
    <col min="4" max="4" width="12.28515625" customWidth="1"/>
    <col min="5" max="5" width="9.85546875" bestFit="1" customWidth="1"/>
  </cols>
  <sheetData>
    <row r="1" spans="1:5" s="2" customFormat="1">
      <c r="A1" s="206" t="s">
        <v>144</v>
      </c>
      <c r="B1" s="207" t="s">
        <v>145</v>
      </c>
      <c r="C1" s="207"/>
      <c r="D1" s="207"/>
    </row>
    <row r="2" spans="1:5" s="2" customFormat="1" ht="30">
      <c r="A2" s="206"/>
      <c r="B2" s="174" t="s">
        <v>146</v>
      </c>
      <c r="C2" s="174" t="s">
        <v>147</v>
      </c>
      <c r="D2" s="151" t="s">
        <v>148</v>
      </c>
    </row>
    <row r="3" spans="1:5">
      <c r="A3" s="126">
        <v>1E-4</v>
      </c>
      <c r="B3" s="126">
        <v>1.1000000000000001E-3</v>
      </c>
      <c r="C3" s="126">
        <f>B3/A3</f>
        <v>11</v>
      </c>
      <c r="D3" s="126">
        <f>20*LOG10(C3)</f>
        <v>20.827853703164504</v>
      </c>
      <c r="E3" s="145"/>
    </row>
    <row r="4" spans="1:5">
      <c r="A4" s="126">
        <v>2.0000000000000001E-4</v>
      </c>
      <c r="B4" s="126">
        <v>2.3E-3</v>
      </c>
      <c r="C4" s="126">
        <f t="shared" ref="C4:C29" si="0">B4/A4</f>
        <v>11.5</v>
      </c>
      <c r="D4" s="126">
        <f t="shared" ref="D4:D50" si="1">20*LOG10(C4)</f>
        <v>21.213956807072233</v>
      </c>
      <c r="E4" s="145"/>
    </row>
    <row r="5" spans="1:5">
      <c r="A5" s="126">
        <v>2.9999999999999997E-4</v>
      </c>
      <c r="B5" s="126">
        <v>3.5000000000000001E-3</v>
      </c>
      <c r="C5" s="126">
        <f t="shared" si="0"/>
        <v>11.666666666666668</v>
      </c>
      <c r="D5" s="126">
        <f t="shared" si="1"/>
        <v>21.338935792612265</v>
      </c>
      <c r="E5" s="145"/>
    </row>
    <row r="6" spans="1:5">
      <c r="A6" s="126">
        <v>4.0000000000000002E-4</v>
      </c>
      <c r="B6" s="126">
        <v>4.7000000000000002E-3</v>
      </c>
      <c r="C6" s="126">
        <f t="shared" si="0"/>
        <v>11.75</v>
      </c>
      <c r="D6" s="126">
        <f t="shared" si="1"/>
        <v>21.400757332155102</v>
      </c>
      <c r="E6" s="145"/>
    </row>
    <row r="7" spans="1:5">
      <c r="A7" s="126">
        <v>5.0000000000000001E-4</v>
      </c>
      <c r="B7" s="126">
        <v>5.8999999999999999E-3</v>
      </c>
      <c r="C7" s="126">
        <f t="shared" si="0"/>
        <v>11.799999999999999</v>
      </c>
      <c r="D7" s="126">
        <f t="shared" si="1"/>
        <v>21.437640146122504</v>
      </c>
      <c r="E7" s="145"/>
    </row>
    <row r="8" spans="1:5">
      <c r="A8" s="126">
        <v>5.9999999999999995E-4</v>
      </c>
      <c r="B8" s="126">
        <v>7.1000000000000004E-3</v>
      </c>
      <c r="C8" s="126">
        <f t="shared" si="0"/>
        <v>11.833333333333336</v>
      </c>
      <c r="D8" s="126">
        <f t="shared" si="1"/>
        <v>21.462141966708636</v>
      </c>
      <c r="E8" s="145"/>
    </row>
    <row r="9" spans="1:5">
      <c r="A9" s="126">
        <v>6.9999999999999999E-4</v>
      </c>
      <c r="B9" s="126">
        <v>8.0999999999999996E-3</v>
      </c>
      <c r="C9" s="126">
        <f t="shared" si="0"/>
        <v>11.571428571428571</v>
      </c>
      <c r="D9" s="126">
        <f t="shared" si="1"/>
        <v>21.267739577287855</v>
      </c>
      <c r="E9" s="145"/>
    </row>
    <row r="10" spans="1:5">
      <c r="A10" s="126">
        <v>8.0000000000000004E-4</v>
      </c>
      <c r="B10" s="126">
        <v>9.2999999999999992E-3</v>
      </c>
      <c r="C10" s="126">
        <f t="shared" si="0"/>
        <v>11.624999999999998</v>
      </c>
      <c r="D10" s="126">
        <f t="shared" si="1"/>
        <v>21.307859231239831</v>
      </c>
      <c r="E10" s="145"/>
    </row>
    <row r="11" spans="1:5">
      <c r="A11" s="126">
        <v>8.9999999999999998E-4</v>
      </c>
      <c r="B11" s="126">
        <v>1.0500000000000001E-2</v>
      </c>
      <c r="C11" s="126">
        <f t="shared" si="0"/>
        <v>11.666666666666668</v>
      </c>
      <c r="D11" s="126">
        <f t="shared" si="1"/>
        <v>21.338935792612265</v>
      </c>
      <c r="E11" s="145"/>
    </row>
    <row r="12" spans="1:5">
      <c r="A12" s="126">
        <v>1E-3</v>
      </c>
      <c r="B12" s="126">
        <v>1.17E-2</v>
      </c>
      <c r="C12" s="126">
        <f t="shared" si="0"/>
        <v>11.7</v>
      </c>
      <c r="D12" s="126">
        <f t="shared" si="1"/>
        <v>21.363717234923236</v>
      </c>
      <c r="E12" s="145"/>
    </row>
    <row r="13" spans="1:5">
      <c r="A13" s="126">
        <v>2E-3</v>
      </c>
      <c r="B13" s="126">
        <v>2.3199999999999998E-2</v>
      </c>
      <c r="C13" s="126">
        <f t="shared" si="0"/>
        <v>11.6</v>
      </c>
      <c r="D13" s="126">
        <f t="shared" si="1"/>
        <v>21.289159784538366</v>
      </c>
      <c r="E13" s="145"/>
    </row>
    <row r="14" spans="1:5">
      <c r="A14" s="126">
        <v>3.0000000000000001E-3</v>
      </c>
      <c r="B14" s="126">
        <v>3.5099999999999999E-2</v>
      </c>
      <c r="C14" s="126">
        <f t="shared" si="0"/>
        <v>11.7</v>
      </c>
      <c r="D14" s="126">
        <f t="shared" si="1"/>
        <v>21.363717234923236</v>
      </c>
      <c r="E14" s="145"/>
    </row>
    <row r="15" spans="1:5">
      <c r="A15" s="126">
        <v>4.0000000000000001E-3</v>
      </c>
      <c r="B15" s="126">
        <v>4.6800000000000001E-2</v>
      </c>
      <c r="C15" s="126">
        <f t="shared" si="0"/>
        <v>11.7</v>
      </c>
      <c r="D15" s="126">
        <f t="shared" si="1"/>
        <v>21.363717234923236</v>
      </c>
      <c r="E15" s="145"/>
    </row>
    <row r="16" spans="1:5">
      <c r="A16" s="126">
        <v>5.0000000000000001E-3</v>
      </c>
      <c r="B16" s="126">
        <v>5.8500000000000003E-2</v>
      </c>
      <c r="C16" s="126">
        <f t="shared" si="0"/>
        <v>11.700000000000001</v>
      </c>
      <c r="D16" s="126">
        <f t="shared" si="1"/>
        <v>21.363717234923236</v>
      </c>
      <c r="E16" s="145"/>
    </row>
    <row r="17" spans="1:5">
      <c r="A17" s="126">
        <v>6.0000000000000001E-3</v>
      </c>
      <c r="B17" s="126">
        <v>7.0199999999999999E-2</v>
      </c>
      <c r="C17" s="126">
        <f t="shared" si="0"/>
        <v>11.7</v>
      </c>
      <c r="D17" s="126">
        <f t="shared" si="1"/>
        <v>21.363717234923236</v>
      </c>
      <c r="E17" s="145"/>
    </row>
    <row r="18" spans="1:5">
      <c r="A18" s="126">
        <v>7.0000000000000001E-3</v>
      </c>
      <c r="B18" s="126">
        <v>8.1799999999999998E-2</v>
      </c>
      <c r="C18" s="126">
        <f t="shared" si="0"/>
        <v>11.685714285714285</v>
      </c>
      <c r="D18" s="126">
        <f t="shared" si="1"/>
        <v>21.353105273141324</v>
      </c>
    </row>
    <row r="19" spans="1:5">
      <c r="A19" s="126">
        <v>8.0000000000000002E-3</v>
      </c>
      <c r="B19" s="126">
        <v>9.35E-2</v>
      </c>
      <c r="C19" s="126">
        <f t="shared" si="0"/>
        <v>11.6875</v>
      </c>
      <c r="D19" s="126">
        <f t="shared" si="1"/>
        <v>21.354432477611486</v>
      </c>
    </row>
    <row r="20" spans="1:5">
      <c r="A20" s="126">
        <v>8.9999999999999993E-3</v>
      </c>
      <c r="B20" s="126">
        <v>0.1052</v>
      </c>
      <c r="C20" s="126">
        <f t="shared" si="0"/>
        <v>11.68888888888889</v>
      </c>
      <c r="D20" s="126">
        <f t="shared" si="1"/>
        <v>21.355464607567907</v>
      </c>
    </row>
    <row r="21" spans="1:5">
      <c r="A21" s="126">
        <v>0.01</v>
      </c>
      <c r="B21" s="126">
        <v>0.1169</v>
      </c>
      <c r="C21" s="126">
        <f t="shared" si="0"/>
        <v>11.69</v>
      </c>
      <c r="D21" s="126">
        <f t="shared" si="1"/>
        <v>21.356290223236801</v>
      </c>
    </row>
    <row r="22" spans="1:5">
      <c r="A22" s="126">
        <v>0.02</v>
      </c>
      <c r="B22" s="126">
        <v>0.2336</v>
      </c>
      <c r="C22" s="126">
        <f t="shared" si="0"/>
        <v>11.68</v>
      </c>
      <c r="D22" s="126">
        <f t="shared" si="1"/>
        <v>21.348856855527615</v>
      </c>
    </row>
    <row r="23" spans="1:5">
      <c r="A23" s="126">
        <v>0.03</v>
      </c>
      <c r="B23" s="126">
        <v>0.34989999999999999</v>
      </c>
      <c r="C23" s="126">
        <f t="shared" si="0"/>
        <v>11.663333333333334</v>
      </c>
      <c r="D23" s="126">
        <f t="shared" si="1"/>
        <v>21.336453755264881</v>
      </c>
    </row>
    <row r="24" spans="1:5">
      <c r="A24" s="126">
        <v>0.04</v>
      </c>
      <c r="B24" s="126">
        <v>0.46560000000000001</v>
      </c>
      <c r="C24" s="126">
        <f t="shared" si="0"/>
        <v>11.64</v>
      </c>
      <c r="D24" s="126">
        <f t="shared" si="1"/>
        <v>21.319059606277392</v>
      </c>
    </row>
    <row r="25" spans="1:5">
      <c r="A25" s="126">
        <v>0.05</v>
      </c>
      <c r="B25" s="126">
        <v>0.58040000000000003</v>
      </c>
      <c r="C25" s="126">
        <f t="shared" si="0"/>
        <v>11.608000000000001</v>
      </c>
      <c r="D25" s="126">
        <f t="shared" si="1"/>
        <v>21.295147988593591</v>
      </c>
    </row>
    <row r="26" spans="1:5">
      <c r="A26" s="126">
        <v>0.06</v>
      </c>
      <c r="B26" s="126">
        <v>0.69389999999999996</v>
      </c>
      <c r="C26" s="126">
        <f t="shared" si="0"/>
        <v>11.565</v>
      </c>
      <c r="D26" s="126">
        <f t="shared" si="1"/>
        <v>21.262912742132762</v>
      </c>
    </row>
    <row r="27" spans="1:5">
      <c r="A27" s="126">
        <v>7.0000000000000007E-2</v>
      </c>
      <c r="B27" s="126">
        <v>0.80569999999999997</v>
      </c>
      <c r="C27" s="126">
        <f t="shared" si="0"/>
        <v>11.509999999999998</v>
      </c>
      <c r="D27" s="126">
        <f t="shared" si="1"/>
        <v>21.221506472595834</v>
      </c>
    </row>
    <row r="28" spans="1:5">
      <c r="A28" s="126">
        <v>0.08</v>
      </c>
      <c r="B28" s="126">
        <v>0.91559999999999997</v>
      </c>
      <c r="C28" s="126">
        <f t="shared" si="0"/>
        <v>11.444999999999999</v>
      </c>
      <c r="D28" s="126">
        <f t="shared" si="1"/>
        <v>21.172315940211234</v>
      </c>
    </row>
    <row r="29" spans="1:5">
      <c r="A29" s="126">
        <v>0.09</v>
      </c>
      <c r="B29" s="126">
        <v>1.0222</v>
      </c>
      <c r="C29" s="126">
        <f t="shared" si="0"/>
        <v>11.357777777777779</v>
      </c>
      <c r="D29" s="126">
        <f t="shared" si="1"/>
        <v>21.105867343597865</v>
      </c>
    </row>
    <row r="30" spans="1:5">
      <c r="A30" s="126">
        <v>0.1</v>
      </c>
      <c r="B30" s="126">
        <v>1.103</v>
      </c>
      <c r="C30" s="126">
        <f t="shared" ref="C30:C50" si="2">B30/A30</f>
        <v>11.03</v>
      </c>
      <c r="D30" s="126">
        <f t="shared" si="1"/>
        <v>20.851510248803812</v>
      </c>
    </row>
    <row r="31" spans="1:5">
      <c r="A31" s="126">
        <v>0.125</v>
      </c>
      <c r="B31" s="126">
        <v>1.327</v>
      </c>
      <c r="C31" s="126">
        <f t="shared" si="2"/>
        <v>10.616</v>
      </c>
      <c r="D31" s="126">
        <f t="shared" si="1"/>
        <v>20.519218197127582</v>
      </c>
    </row>
    <row r="32" spans="1:5">
      <c r="A32" s="126">
        <v>0.15</v>
      </c>
      <c r="B32" s="126">
        <v>1.506</v>
      </c>
      <c r="C32" s="126">
        <f t="shared" si="2"/>
        <v>10.040000000000001</v>
      </c>
      <c r="D32" s="126">
        <f t="shared" si="1"/>
        <v>20.034674256180011</v>
      </c>
    </row>
    <row r="33" spans="1:4">
      <c r="A33" s="126">
        <v>0.17499999999999999</v>
      </c>
      <c r="B33" s="126">
        <v>1.66</v>
      </c>
      <c r="C33" s="126">
        <f t="shared" si="2"/>
        <v>9.4857142857142858</v>
      </c>
      <c r="D33" s="126">
        <f t="shared" si="1"/>
        <v>19.541400787075215</v>
      </c>
    </row>
    <row r="34" spans="1:4">
      <c r="A34" s="126">
        <v>0.2</v>
      </c>
      <c r="B34" s="126">
        <v>1.79</v>
      </c>
      <c r="C34" s="126">
        <f t="shared" si="2"/>
        <v>8.9499999999999993</v>
      </c>
      <c r="D34" s="126">
        <f t="shared" si="1"/>
        <v>19.036460706318238</v>
      </c>
    </row>
    <row r="35" spans="1:4">
      <c r="A35" s="126">
        <v>0.22500000000000001</v>
      </c>
      <c r="B35" s="126">
        <v>1.92</v>
      </c>
      <c r="C35" s="126">
        <f t="shared" si="2"/>
        <v>8.5333333333333332</v>
      </c>
      <c r="D35" s="126">
        <f t="shared" si="1"/>
        <v>18.622374211843741</v>
      </c>
    </row>
    <row r="36" spans="1:4">
      <c r="A36" s="126">
        <v>0.25</v>
      </c>
      <c r="B36" s="126">
        <v>2.0419999999999998</v>
      </c>
      <c r="C36" s="126">
        <f t="shared" si="2"/>
        <v>8.1679999999999993</v>
      </c>
      <c r="D36" s="126">
        <f t="shared" si="1"/>
        <v>18.242314581577077</v>
      </c>
    </row>
    <row r="37" spans="1:4">
      <c r="A37" s="126">
        <v>0.27500000000000002</v>
      </c>
      <c r="B37" s="126">
        <v>2.15</v>
      </c>
      <c r="C37" s="126">
        <f t="shared" si="2"/>
        <v>7.8181818181818175</v>
      </c>
      <c r="D37" s="126">
        <f t="shared" si="1"/>
        <v>17.862115321706852</v>
      </c>
    </row>
    <row r="38" spans="1:4">
      <c r="A38" s="126">
        <v>0.3</v>
      </c>
      <c r="B38" s="126">
        <v>2.25</v>
      </c>
      <c r="C38" s="126">
        <f t="shared" si="2"/>
        <v>7.5</v>
      </c>
      <c r="D38" s="126">
        <f t="shared" si="1"/>
        <v>17.501225267834002</v>
      </c>
    </row>
    <row r="39" spans="1:4">
      <c r="A39" s="126">
        <v>0.32500000000000001</v>
      </c>
      <c r="B39" s="126">
        <v>2.33</v>
      </c>
      <c r="C39" s="126">
        <f t="shared" si="2"/>
        <v>7.1692307692307695</v>
      </c>
      <c r="D39" s="126">
        <f t="shared" si="1"/>
        <v>17.109451200942893</v>
      </c>
    </row>
    <row r="40" spans="1:4">
      <c r="A40" s="126">
        <v>0.35</v>
      </c>
      <c r="B40" s="126">
        <v>2.3199999999999998</v>
      </c>
      <c r="C40" s="126">
        <f t="shared" si="2"/>
        <v>6.6285714285714281</v>
      </c>
      <c r="D40" s="126">
        <f t="shared" si="1"/>
        <v>16.428398810812482</v>
      </c>
    </row>
    <row r="41" spans="1:4">
      <c r="A41" s="126">
        <v>0.375</v>
      </c>
      <c r="B41" s="126">
        <v>2.31</v>
      </c>
      <c r="C41" s="126">
        <f t="shared" si="2"/>
        <v>6.16</v>
      </c>
      <c r="D41" s="126">
        <f t="shared" si="1"/>
        <v>15.79161424328851</v>
      </c>
    </row>
    <row r="42" spans="1:4">
      <c r="A42" s="126">
        <v>0.4</v>
      </c>
      <c r="B42" s="126">
        <v>2.31</v>
      </c>
      <c r="C42" s="126">
        <f t="shared" si="2"/>
        <v>5.7749999999999995</v>
      </c>
      <c r="D42" s="126">
        <f t="shared" si="1"/>
        <v>15.231039771283637</v>
      </c>
    </row>
    <row r="43" spans="1:4">
      <c r="A43" s="126">
        <v>0.42499999999999999</v>
      </c>
      <c r="B43" s="126">
        <v>2.2999999999999998</v>
      </c>
      <c r="C43" s="126">
        <f t="shared" si="2"/>
        <v>5.4117647058823524</v>
      </c>
      <c r="D43" s="126">
        <f t="shared" si="1"/>
        <v>14.666778119345626</v>
      </c>
    </row>
    <row r="44" spans="1:4">
      <c r="A44" s="126">
        <v>0.45</v>
      </c>
      <c r="B44" s="126">
        <v>2.2999999999999998</v>
      </c>
      <c r="C44" s="126">
        <f t="shared" si="2"/>
        <v>5.1111111111111107</v>
      </c>
      <c r="D44" s="126">
        <f t="shared" si="1"/>
        <v>14.170306444844982</v>
      </c>
    </row>
    <row r="45" spans="1:4">
      <c r="A45" s="126">
        <v>0.47499999999999998</v>
      </c>
      <c r="B45" s="126">
        <v>2.2999999999999998</v>
      </c>
      <c r="C45" s="126">
        <f t="shared" si="2"/>
        <v>4.8421052631578947</v>
      </c>
      <c r="D45" s="126">
        <f t="shared" si="1"/>
        <v>13.700684527854525</v>
      </c>
    </row>
    <row r="46" spans="1:4">
      <c r="A46" s="126">
        <v>0.5</v>
      </c>
      <c r="B46" s="126">
        <v>2.2799999999999998</v>
      </c>
      <c r="C46" s="126">
        <f t="shared" si="2"/>
        <v>4.5599999999999996</v>
      </c>
      <c r="D46" s="126">
        <f t="shared" si="1"/>
        <v>13.179296853288701</v>
      </c>
    </row>
    <row r="47" spans="1:4">
      <c r="A47" s="126">
        <v>0.52500000000000002</v>
      </c>
      <c r="B47" s="126">
        <v>2.27</v>
      </c>
      <c r="C47" s="126">
        <f t="shared" si="2"/>
        <v>4.3238095238095235</v>
      </c>
      <c r="D47" s="126">
        <f t="shared" si="1"/>
        <v>12.717331075743317</v>
      </c>
    </row>
    <row r="48" spans="1:4">
      <c r="A48" s="126">
        <v>0.55000000000000004</v>
      </c>
      <c r="B48" s="126">
        <v>2.2599999999999998</v>
      </c>
      <c r="C48" s="126">
        <f t="shared" si="2"/>
        <v>4.1090909090909085</v>
      </c>
      <c r="D48" s="126">
        <f t="shared" si="1"/>
        <v>12.27491499306314</v>
      </c>
    </row>
    <row r="49" spans="1:4">
      <c r="A49" s="126">
        <v>0.57499999999999996</v>
      </c>
      <c r="B49" s="126">
        <v>2.2599999999999998</v>
      </c>
      <c r="C49" s="126">
        <f t="shared" si="2"/>
        <v>3.9304347826086956</v>
      </c>
      <c r="D49" s="126">
        <f t="shared" si="1"/>
        <v>11.888811889155409</v>
      </c>
    </row>
    <row r="50" spans="1:4">
      <c r="A50" s="126">
        <v>0.6</v>
      </c>
      <c r="B50" s="126">
        <v>2.2599999999999998</v>
      </c>
      <c r="C50" s="126">
        <f t="shared" si="2"/>
        <v>3.7666666666666666</v>
      </c>
      <c r="D50" s="126">
        <f t="shared" si="1"/>
        <v>11.519143775275145</v>
      </c>
    </row>
  </sheetData>
  <mergeCells count="2">
    <mergeCell ref="A1:A2"/>
    <mergeCell ref="B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6919-47BC-482D-A852-3483C4EEBE32}">
  <dimension ref="A1:Z27"/>
  <sheetViews>
    <sheetView workbookViewId="0">
      <selection activeCell="C7" sqref="C7"/>
    </sheetView>
  </sheetViews>
  <sheetFormatPr defaultColWidth="9.140625" defaultRowHeight="15"/>
  <cols>
    <col min="1" max="1" width="6" bestFit="1" customWidth="1"/>
    <col min="2" max="2" width="6.85546875" bestFit="1" customWidth="1"/>
    <col min="3" max="3" width="12.28515625" bestFit="1" customWidth="1"/>
    <col min="4" max="4" width="12.42578125" bestFit="1" customWidth="1"/>
    <col min="5" max="5" width="14.140625" bestFit="1" customWidth="1"/>
    <col min="6" max="6" width="12.42578125" customWidth="1"/>
    <col min="7" max="7" width="15.140625" bestFit="1" customWidth="1"/>
    <col min="8" max="8" width="15.140625" customWidth="1"/>
    <col min="9" max="9" width="12.28515625" customWidth="1"/>
    <col min="10" max="10" width="13.42578125" bestFit="1" customWidth="1"/>
    <col min="11" max="11" width="10" bestFit="1" customWidth="1"/>
    <col min="12" max="12" width="14" bestFit="1" customWidth="1"/>
    <col min="13" max="14" width="14" customWidth="1"/>
    <col min="15" max="15" width="12.7109375" bestFit="1" customWidth="1"/>
    <col min="25" max="25" width="19.85546875" bestFit="1" customWidth="1"/>
    <col min="26" max="26" width="21" bestFit="1" customWidth="1"/>
  </cols>
  <sheetData>
    <row r="1" spans="1:26">
      <c r="A1" s="171" t="s">
        <v>144</v>
      </c>
      <c r="B1" s="171" t="s">
        <v>149</v>
      </c>
      <c r="C1" s="179" t="s">
        <v>150</v>
      </c>
      <c r="D1" s="171" t="s">
        <v>151</v>
      </c>
      <c r="E1" s="179" t="s">
        <v>152</v>
      </c>
      <c r="F1" s="171" t="s">
        <v>153</v>
      </c>
      <c r="G1" s="179" t="s">
        <v>154</v>
      </c>
      <c r="H1" s="171" t="s">
        <v>155</v>
      </c>
      <c r="I1" s="171" t="s">
        <v>156</v>
      </c>
      <c r="J1" s="179" t="s">
        <v>157</v>
      </c>
      <c r="K1" s="171" t="s">
        <v>158</v>
      </c>
      <c r="L1" s="171" t="s">
        <v>159</v>
      </c>
      <c r="M1" s="171" t="s">
        <v>160</v>
      </c>
      <c r="N1" s="171" t="s">
        <v>155</v>
      </c>
      <c r="O1" s="171" t="s">
        <v>161</v>
      </c>
      <c r="Y1" s="210" t="s">
        <v>162</v>
      </c>
      <c r="Z1" s="210"/>
    </row>
    <row r="2" spans="1:26">
      <c r="A2" s="160">
        <v>0.03</v>
      </c>
      <c r="B2" s="168">
        <v>3.4000000000000002E-2</v>
      </c>
      <c r="C2" s="161">
        <f>20*LOG10(B2/SQRT(50))</f>
        <v>-46.360121702515087</v>
      </c>
      <c r="D2" s="162">
        <v>7.4800000000000005E-2</v>
      </c>
      <c r="E2" s="162">
        <f>20*LOG10(D2)</f>
        <v>-22.521968042710775</v>
      </c>
      <c r="F2" s="162">
        <v>7.0999999999999994E-2</v>
      </c>
      <c r="G2" s="162">
        <f>20*LOG10(((D2*D2)/100)+((F2*F2)/100))</f>
        <v>-79.46440076086995</v>
      </c>
      <c r="H2" s="162">
        <f>0.9846*C2+12.566</f>
        <v>-33.080175828296355</v>
      </c>
      <c r="I2" s="162">
        <v>5.0000000000000001E-4</v>
      </c>
      <c r="J2" s="162">
        <f>20*LOG10(I2)</f>
        <v>-66.020599913279625</v>
      </c>
      <c r="K2" s="162">
        <v>4.0000000000000002E-4</v>
      </c>
      <c r="L2" s="162">
        <f>20*LOG10(K2)</f>
        <v>-67.95880017344075</v>
      </c>
      <c r="M2" s="162">
        <f>20*LOG10(((J2*J2)/100)+((L2*L2)/100))</f>
        <v>39.062738805937599</v>
      </c>
      <c r="N2" s="170">
        <f>-0.5847*C2-10.197</f>
        <v>16.909763159460571</v>
      </c>
      <c r="O2" s="163">
        <f>C2+(G2-L2)/2</f>
        <v>-52.112921996229687</v>
      </c>
      <c r="Y2" s="208" t="s">
        <v>163</v>
      </c>
      <c r="Z2" s="209"/>
    </row>
    <row r="3" spans="1:26">
      <c r="A3" s="164">
        <v>0.04</v>
      </c>
      <c r="B3" s="136">
        <v>4.5999999999999999E-2</v>
      </c>
      <c r="C3" s="161">
        <f>20*LOG10(B3/SQRT(50))</f>
        <v>-43.734543409728708</v>
      </c>
      <c r="D3" s="126">
        <v>0.1</v>
      </c>
      <c r="E3" s="162">
        <f t="shared" ref="E3:E27" si="0">20*LOG10(D3)</f>
        <v>-20</v>
      </c>
      <c r="F3" s="126">
        <v>9.6000000000000002E-2</v>
      </c>
      <c r="G3" s="162">
        <f t="shared" ref="G3:G27" si="1">20*LOG10(((D3*D3)/100)+((F3*F3)/100))</f>
        <v>-74.326740198823387</v>
      </c>
      <c r="H3" s="162">
        <f t="shared" ref="H3:H27" si="2">0.9846*C3+12.566</f>
        <v>-30.495031441218885</v>
      </c>
      <c r="I3" s="126">
        <v>8.9999999999999998E-4</v>
      </c>
      <c r="J3" s="162">
        <f t="shared" ref="J3:J27" si="3">20*LOG10(I3)</f>
        <v>-60.915149811213503</v>
      </c>
      <c r="K3" s="126">
        <v>8.0000000000000004E-4</v>
      </c>
      <c r="L3" s="162">
        <f t="shared" ref="L3:L27" si="4">20*LOG10(K3)</f>
        <v>-61.938200260161125</v>
      </c>
      <c r="M3" s="162">
        <f t="shared" ref="M3:M27" si="5">20*LOG10(((J3*J3)/100)+((L3*L3)/100))</f>
        <v>37.555482543506692</v>
      </c>
      <c r="N3" s="170">
        <f t="shared" ref="N3:N27" si="6">-0.5847*C3-10.197</f>
        <v>15.374587531668375</v>
      </c>
      <c r="O3" s="163">
        <f t="shared" ref="O3:O23" si="7">C3+(G3-L3)/2</f>
        <v>-49.928813379059839</v>
      </c>
      <c r="Y3" s="158" t="s">
        <v>164</v>
      </c>
      <c r="Z3" s="49" t="s">
        <v>165</v>
      </c>
    </row>
    <row r="4" spans="1:26">
      <c r="A4" s="164">
        <v>0.05</v>
      </c>
      <c r="B4" s="136">
        <v>5.8000000000000003E-2</v>
      </c>
      <c r="C4" s="161">
        <f t="shared" ref="C3:C27" si="8">20*LOG10(B4/SQRT(50))</f>
        <v>-41.721140172101443</v>
      </c>
      <c r="D4" s="126">
        <v>0.127</v>
      </c>
      <c r="E4" s="162">
        <f t="shared" si="0"/>
        <v>-17.923925580880862</v>
      </c>
      <c r="F4" s="126">
        <v>1.21E-2</v>
      </c>
      <c r="G4" s="162">
        <f t="shared" si="1"/>
        <v>-75.769361242913064</v>
      </c>
      <c r="H4" s="162">
        <f t="shared" si="2"/>
        <v>-28.512634613451077</v>
      </c>
      <c r="I4" s="126">
        <v>1E-3</v>
      </c>
      <c r="J4" s="162">
        <f t="shared" si="3"/>
        <v>-60</v>
      </c>
      <c r="K4" s="126">
        <v>8.9999999999999998E-4</v>
      </c>
      <c r="L4" s="162">
        <f t="shared" si="4"/>
        <v>-60.915149811213503</v>
      </c>
      <c r="M4" s="162">
        <f t="shared" si="5"/>
        <v>37.279126354682745</v>
      </c>
      <c r="N4" s="170">
        <f t="shared" si="6"/>
        <v>14.197350658627713</v>
      </c>
      <c r="O4" s="163">
        <f t="shared" si="7"/>
        <v>-49.148245887951219</v>
      </c>
      <c r="Y4" s="158" t="s">
        <v>166</v>
      </c>
      <c r="Z4" s="49" t="s">
        <v>167</v>
      </c>
    </row>
    <row r="5" spans="1:26">
      <c r="A5" s="164">
        <v>0.06</v>
      </c>
      <c r="B5" s="136">
        <v>6.9000000000000006E-2</v>
      </c>
      <c r="C5" s="161">
        <f t="shared" si="8"/>
        <v>-40.212718228615081</v>
      </c>
      <c r="D5" s="126">
        <v>0.154</v>
      </c>
      <c r="E5" s="162">
        <f t="shared" si="0"/>
        <v>-16.249585583270736</v>
      </c>
      <c r="F5" s="126">
        <v>0.14699999999999999</v>
      </c>
      <c r="G5" s="162">
        <f t="shared" si="1"/>
        <v>-66.873243744649074</v>
      </c>
      <c r="H5" s="162">
        <f t="shared" si="2"/>
        <v>-27.027442367894409</v>
      </c>
      <c r="I5" s="126">
        <v>2E-3</v>
      </c>
      <c r="J5" s="162">
        <f t="shared" si="3"/>
        <v>-53.979400086720375</v>
      </c>
      <c r="K5" s="126">
        <v>1.8E-3</v>
      </c>
      <c r="L5" s="162">
        <f t="shared" si="4"/>
        <v>-54.894549897933878</v>
      </c>
      <c r="M5" s="162">
        <f t="shared" si="5"/>
        <v>35.456972939847105</v>
      </c>
      <c r="N5" s="170">
        <f t="shared" si="6"/>
        <v>13.31537634827124</v>
      </c>
      <c r="O5" s="163">
        <f t="shared" si="7"/>
        <v>-46.202065151972675</v>
      </c>
      <c r="Y5" s="159" t="s">
        <v>168</v>
      </c>
      <c r="Z5" s="52" t="s">
        <v>169</v>
      </c>
    </row>
    <row r="6" spans="1:26">
      <c r="A6" s="164">
        <v>7.0000000000000007E-2</v>
      </c>
      <c r="B6" s="136">
        <v>0.08</v>
      </c>
      <c r="C6" s="161">
        <f t="shared" si="8"/>
        <v>-38.927900303521319</v>
      </c>
      <c r="D6" s="126">
        <v>0.183</v>
      </c>
      <c r="E6" s="162">
        <f t="shared" si="0"/>
        <v>-14.750978205391412</v>
      </c>
      <c r="F6" s="126">
        <v>0.17399999999999999</v>
      </c>
      <c r="G6" s="162">
        <f t="shared" si="1"/>
        <v>-63.908352719543927</v>
      </c>
      <c r="H6" s="162">
        <f t="shared" si="2"/>
        <v>-25.762410638847086</v>
      </c>
      <c r="I6" s="126">
        <v>2.2000000000000001E-3</v>
      </c>
      <c r="J6" s="162">
        <f t="shared" si="3"/>
        <v>-53.151546383555875</v>
      </c>
      <c r="K6" s="126">
        <v>2E-3</v>
      </c>
      <c r="L6" s="162">
        <f t="shared" si="4"/>
        <v>-53.979400086720375</v>
      </c>
      <c r="M6" s="162">
        <f t="shared" si="5"/>
        <v>35.176516413531154</v>
      </c>
      <c r="N6" s="170">
        <f t="shared" si="6"/>
        <v>12.564143307468917</v>
      </c>
      <c r="O6" s="163">
        <f t="shared" si="7"/>
        <v>-43.892376619933096</v>
      </c>
    </row>
    <row r="7" spans="1:26">
      <c r="A7" s="164">
        <v>0.08</v>
      </c>
      <c r="B7" s="136">
        <v>9.1999999999999998E-2</v>
      </c>
      <c r="C7" s="161">
        <f t="shared" si="8"/>
        <v>-37.713943496449083</v>
      </c>
      <c r="D7" s="126">
        <v>0.20899999999999999</v>
      </c>
      <c r="E7" s="162">
        <f t="shared" si="0"/>
        <v>-13.597074277778919</v>
      </c>
      <c r="F7" s="126">
        <v>0.2</v>
      </c>
      <c r="G7" s="162">
        <f t="shared" si="1"/>
        <v>-61.547462771283882</v>
      </c>
      <c r="H7" s="162">
        <f t="shared" si="2"/>
        <v>-24.567148766603765</v>
      </c>
      <c r="I7" s="126">
        <v>3.0000000000000001E-3</v>
      </c>
      <c r="J7" s="162">
        <f t="shared" si="3"/>
        <v>-50.457574905606748</v>
      </c>
      <c r="K7" s="126">
        <v>2.8E-3</v>
      </c>
      <c r="L7" s="162">
        <f t="shared" si="4"/>
        <v>-51.056839373155611</v>
      </c>
      <c r="M7" s="162">
        <f t="shared" si="5"/>
        <v>34.240811296287255</v>
      </c>
      <c r="N7" s="170">
        <f t="shared" si="6"/>
        <v>11.854342762373779</v>
      </c>
      <c r="O7" s="163">
        <f t="shared" si="7"/>
        <v>-42.959255195513222</v>
      </c>
    </row>
    <row r="8" spans="1:26">
      <c r="A8" s="164">
        <v>0.09</v>
      </c>
      <c r="B8" s="136">
        <v>0.104</v>
      </c>
      <c r="C8" s="161">
        <f t="shared" si="8"/>
        <v>-36.649033257384581</v>
      </c>
      <c r="D8" s="126">
        <v>0.22800000000000001</v>
      </c>
      <c r="E8" s="162">
        <f t="shared" si="0"/>
        <v>-12.841303059990922</v>
      </c>
      <c r="F8" s="126">
        <v>0.218</v>
      </c>
      <c r="G8" s="162">
        <f t="shared" si="1"/>
        <v>-60.042840050172906</v>
      </c>
      <c r="H8" s="162">
        <f t="shared" si="2"/>
        <v>-23.518638145220855</v>
      </c>
      <c r="I8" s="126">
        <v>4.0000000000000001E-3</v>
      </c>
      <c r="J8" s="162">
        <f t="shared" si="3"/>
        <v>-47.95880017344075</v>
      </c>
      <c r="K8" s="126">
        <v>3.8E-3</v>
      </c>
      <c r="L8" s="162">
        <f t="shared" si="4"/>
        <v>-48.404328067663798</v>
      </c>
      <c r="M8" s="162">
        <f t="shared" si="5"/>
        <v>33.336021358143114</v>
      </c>
      <c r="N8" s="170">
        <f t="shared" si="6"/>
        <v>11.231689745592764</v>
      </c>
      <c r="O8" s="163">
        <f t="shared" si="7"/>
        <v>-42.468289248639138</v>
      </c>
    </row>
    <row r="9" spans="1:26">
      <c r="A9" s="164">
        <v>0.1</v>
      </c>
      <c r="B9" s="136">
        <v>0.11600000000000001</v>
      </c>
      <c r="C9" s="161">
        <f t="shared" si="8"/>
        <v>-35.700540258821817</v>
      </c>
      <c r="D9" s="126">
        <v>0.26600000000000001</v>
      </c>
      <c r="E9" s="162">
        <f t="shared" si="0"/>
        <v>-11.502367267378659</v>
      </c>
      <c r="F9" s="126">
        <v>0.25800000000000001</v>
      </c>
      <c r="G9" s="162">
        <f t="shared" si="1"/>
        <v>-57.24532410492575</v>
      </c>
      <c r="H9" s="162">
        <f t="shared" si="2"/>
        <v>-22.584751938835957</v>
      </c>
      <c r="I9" s="126">
        <v>4.4000000000000003E-3</v>
      </c>
      <c r="J9" s="162">
        <f t="shared" si="3"/>
        <v>-47.13094647027625</v>
      </c>
      <c r="K9" s="126">
        <v>4.1999999999999997E-3</v>
      </c>
      <c r="L9" s="162">
        <f t="shared" si="4"/>
        <v>-47.535014192041992</v>
      </c>
      <c r="M9" s="162">
        <f t="shared" si="5"/>
        <v>33.027312189565407</v>
      </c>
      <c r="N9" s="170">
        <f t="shared" si="6"/>
        <v>10.677105889333117</v>
      </c>
      <c r="O9" s="163">
        <f t="shared" si="7"/>
        <v>-40.555695215263697</v>
      </c>
    </row>
    <row r="10" spans="1:26">
      <c r="A10" s="164">
        <v>0.2</v>
      </c>
      <c r="B10" s="136">
        <v>0.22</v>
      </c>
      <c r="C10" s="161">
        <f t="shared" si="8"/>
        <v>-30.141246426916062</v>
      </c>
      <c r="D10" s="126">
        <v>0.48299999999999998</v>
      </c>
      <c r="E10" s="162">
        <f t="shared" si="0"/>
        <v>-6.3210573849697571</v>
      </c>
      <c r="F10" s="126">
        <v>0.46700000000000003</v>
      </c>
      <c r="G10" s="162">
        <f t="shared" si="1"/>
        <v>-46.909192241959062</v>
      </c>
      <c r="H10" s="162">
        <f t="shared" si="2"/>
        <v>-17.111071231941558</v>
      </c>
      <c r="I10" s="126">
        <v>3.9E-2</v>
      </c>
      <c r="J10" s="162">
        <f t="shared" si="3"/>
        <v>-28.178707859470016</v>
      </c>
      <c r="K10" s="126">
        <v>3.7999999999999999E-2</v>
      </c>
      <c r="L10" s="162">
        <f t="shared" si="4"/>
        <v>-28.404328067663798</v>
      </c>
      <c r="M10" s="162">
        <f t="shared" si="5"/>
        <v>24.086988008649293</v>
      </c>
      <c r="N10" s="170">
        <f t="shared" si="6"/>
        <v>7.4265867858178218</v>
      </c>
      <c r="O10" s="163">
        <f t="shared" si="7"/>
        <v>-39.393678514063694</v>
      </c>
    </row>
    <row r="11" spans="1:26">
      <c r="A11" s="164">
        <v>0.3</v>
      </c>
      <c r="B11" s="136">
        <v>0.34</v>
      </c>
      <c r="C11" s="161">
        <f t="shared" si="8"/>
        <v>-26.360121702515084</v>
      </c>
      <c r="D11" s="126">
        <v>0.59799999999999998</v>
      </c>
      <c r="E11" s="162">
        <f t="shared" si="0"/>
        <v>-4.4659763202317837</v>
      </c>
      <c r="F11" s="126">
        <v>0.57299999999999995</v>
      </c>
      <c r="G11" s="162">
        <f t="shared" si="1"/>
        <v>-43.274366057623951</v>
      </c>
      <c r="H11" s="162">
        <f t="shared" si="2"/>
        <v>-13.388175828296353</v>
      </c>
      <c r="I11" s="126">
        <v>6.5000000000000002E-2</v>
      </c>
      <c r="J11" s="162">
        <f t="shared" si="3"/>
        <v>-23.741732867142886</v>
      </c>
      <c r="K11" s="126">
        <v>6.3E-2</v>
      </c>
      <c r="L11" s="162">
        <f t="shared" si="4"/>
        <v>-24.013189010928365</v>
      </c>
      <c r="M11" s="162">
        <f t="shared" si="5"/>
        <v>21.140406297851403</v>
      </c>
      <c r="N11" s="170">
        <f t="shared" si="6"/>
        <v>5.21576315946057</v>
      </c>
      <c r="O11" s="163">
        <f t="shared" si="7"/>
        <v>-35.990710225862877</v>
      </c>
    </row>
    <row r="12" spans="1:26">
      <c r="A12" s="164">
        <v>0.4</v>
      </c>
      <c r="B12" s="136">
        <v>0.46</v>
      </c>
      <c r="C12" s="161">
        <f t="shared" si="8"/>
        <v>-23.734543409728705</v>
      </c>
      <c r="D12" s="126">
        <v>0.66900000000000004</v>
      </c>
      <c r="E12" s="162">
        <f t="shared" si="0"/>
        <v>-3.4914776446435374</v>
      </c>
      <c r="F12" s="126">
        <v>0.67</v>
      </c>
      <c r="G12" s="162">
        <f t="shared" si="1"/>
        <v>-40.949371988253844</v>
      </c>
      <c r="H12" s="162">
        <f t="shared" si="2"/>
        <v>-10.803031441218883</v>
      </c>
      <c r="I12" s="126">
        <v>8.5999999999999993E-2</v>
      </c>
      <c r="J12" s="162">
        <f t="shared" si="3"/>
        <v>-21.310030975128647</v>
      </c>
      <c r="K12" s="126">
        <v>0.08</v>
      </c>
      <c r="L12" s="162">
        <f t="shared" si="4"/>
        <v>-21.938200260161128</v>
      </c>
      <c r="M12" s="162">
        <f t="shared" si="5"/>
        <v>19.419966354790354</v>
      </c>
      <c r="N12" s="170">
        <f t="shared" si="6"/>
        <v>3.6805875316683743</v>
      </c>
      <c r="O12" s="163">
        <f t="shared" si="7"/>
        <v>-33.240129273775061</v>
      </c>
    </row>
    <row r="13" spans="1:26">
      <c r="A13" s="164">
        <v>0.5</v>
      </c>
      <c r="B13" s="136">
        <v>0.57999999999999996</v>
      </c>
      <c r="C13" s="161">
        <f t="shared" si="8"/>
        <v>-21.721140172101446</v>
      </c>
      <c r="D13" s="126">
        <v>0.76100000000000001</v>
      </c>
      <c r="E13" s="162">
        <f t="shared" si="0"/>
        <v>-2.3723068645885435</v>
      </c>
      <c r="F13" s="126">
        <v>0.73399999999999999</v>
      </c>
      <c r="G13" s="162">
        <f t="shared" si="1"/>
        <v>-39.032119584805322</v>
      </c>
      <c r="H13" s="162">
        <f t="shared" si="2"/>
        <v>-8.820634613451082</v>
      </c>
      <c r="I13" s="126">
        <v>0.14599999999999999</v>
      </c>
      <c r="J13" s="162">
        <f t="shared" si="3"/>
        <v>-16.712942884311261</v>
      </c>
      <c r="K13" s="126">
        <v>0.13300000000000001</v>
      </c>
      <c r="L13" s="162">
        <f t="shared" si="4"/>
        <v>-17.522967180658284</v>
      </c>
      <c r="M13" s="162">
        <f t="shared" si="5"/>
        <v>15.363536154999714</v>
      </c>
      <c r="N13" s="170">
        <f t="shared" si="6"/>
        <v>2.503350658627717</v>
      </c>
      <c r="O13" s="163">
        <f t="shared" si="7"/>
        <v>-32.475716374174965</v>
      </c>
    </row>
    <row r="14" spans="1:26">
      <c r="A14" s="164">
        <v>0.6</v>
      </c>
      <c r="B14" s="136">
        <v>0.7</v>
      </c>
      <c r="C14" s="161">
        <f t="shared" si="8"/>
        <v>-20.087739243075053</v>
      </c>
      <c r="D14" s="126">
        <v>0.78800000000000003</v>
      </c>
      <c r="E14" s="162">
        <f t="shared" si="0"/>
        <v>-2.0694756502088931</v>
      </c>
      <c r="F14" s="126">
        <v>0.76100000000000001</v>
      </c>
      <c r="G14" s="162">
        <f t="shared" si="1"/>
        <v>-38.415904606100632</v>
      </c>
      <c r="H14" s="162">
        <f t="shared" si="2"/>
        <v>-7.2123880587316958</v>
      </c>
      <c r="I14" s="126">
        <v>0.184</v>
      </c>
      <c r="J14" s="162">
        <f t="shared" si="3"/>
        <v>-14.703643539809271</v>
      </c>
      <c r="K14" s="126">
        <v>0.17</v>
      </c>
      <c r="L14" s="162">
        <f t="shared" si="4"/>
        <v>-15.39102157243452</v>
      </c>
      <c r="M14" s="162">
        <f t="shared" si="5"/>
        <v>13.123510841994934</v>
      </c>
      <c r="N14" s="170">
        <f t="shared" si="6"/>
        <v>1.5483011354259837</v>
      </c>
      <c r="O14" s="163">
        <f t="shared" si="7"/>
        <v>-31.60018075990811</v>
      </c>
    </row>
    <row r="15" spans="1:26">
      <c r="A15" s="164">
        <v>0.7</v>
      </c>
      <c r="B15" s="136">
        <v>0.82</v>
      </c>
      <c r="C15" s="161">
        <f t="shared" si="8"/>
        <v>-18.713422995685857</v>
      </c>
      <c r="D15" s="126">
        <v>0.81200000000000006</v>
      </c>
      <c r="E15" s="162">
        <f t="shared" si="0"/>
        <v>-1.8088794151764933</v>
      </c>
      <c r="F15" s="126">
        <v>0.78300000000000003</v>
      </c>
      <c r="G15" s="162">
        <f t="shared" si="1"/>
        <v>-37.90730152357802</v>
      </c>
      <c r="H15" s="162">
        <f t="shared" si="2"/>
        <v>-5.8592362815522936</v>
      </c>
      <c r="I15" s="126">
        <v>0.20399999999999999</v>
      </c>
      <c r="J15" s="162">
        <f t="shared" si="3"/>
        <v>-13.807396651482025</v>
      </c>
      <c r="K15" s="126">
        <v>0.189</v>
      </c>
      <c r="L15" s="162">
        <f t="shared" si="4"/>
        <v>-14.470763916535116</v>
      </c>
      <c r="M15" s="162">
        <f t="shared" si="5"/>
        <v>12.042224931641387</v>
      </c>
      <c r="N15" s="170">
        <f t="shared" si="6"/>
        <v>0.74473842557752157</v>
      </c>
      <c r="O15" s="163">
        <f t="shared" si="7"/>
        <v>-30.431691799207307</v>
      </c>
    </row>
    <row r="16" spans="1:26">
      <c r="A16" s="164">
        <v>0.8</v>
      </c>
      <c r="B16" s="136">
        <v>0.94</v>
      </c>
      <c r="C16" s="161">
        <f t="shared" si="8"/>
        <v>-17.527142971366214</v>
      </c>
      <c r="D16" s="126">
        <v>0.82599999999999996</v>
      </c>
      <c r="E16" s="162">
        <f t="shared" si="0"/>
        <v>-1.6603990535923561</v>
      </c>
      <c r="F16" s="126">
        <v>0.80100000000000005</v>
      </c>
      <c r="G16" s="162">
        <f t="shared" si="1"/>
        <v>-37.56304725718185</v>
      </c>
      <c r="H16" s="162">
        <f t="shared" si="2"/>
        <v>-4.6912249696071751</v>
      </c>
      <c r="I16" s="126">
        <v>0.218</v>
      </c>
      <c r="J16" s="162">
        <f t="shared" si="3"/>
        <v>-13.230870127907902</v>
      </c>
      <c r="K16" s="126">
        <v>0.19800000000000001</v>
      </c>
      <c r="L16" s="162">
        <f t="shared" si="4"/>
        <v>-14.066696194769378</v>
      </c>
      <c r="M16" s="162">
        <f t="shared" si="5"/>
        <v>11.432496724611989</v>
      </c>
      <c r="N16" s="170">
        <f t="shared" si="6"/>
        <v>5.1120495357825035E-2</v>
      </c>
      <c r="O16" s="163">
        <f t="shared" si="7"/>
        <v>-29.27531850257245</v>
      </c>
    </row>
    <row r="17" spans="1:15">
      <c r="A17" s="164">
        <v>0.9</v>
      </c>
      <c r="B17" s="136">
        <v>1.06</v>
      </c>
      <c r="C17" s="161">
        <f t="shared" si="8"/>
        <v>-16.483582738064783</v>
      </c>
      <c r="D17" s="126">
        <v>0.84299999999999997</v>
      </c>
      <c r="E17" s="162">
        <f t="shared" si="0"/>
        <v>-1.4834485075051538</v>
      </c>
      <c r="F17" s="126">
        <v>0.82</v>
      </c>
      <c r="G17" s="162">
        <f t="shared" si="1"/>
        <v>-37.183248660248537</v>
      </c>
      <c r="H17" s="162">
        <f t="shared" si="2"/>
        <v>-3.6637355638985856</v>
      </c>
      <c r="I17" s="126">
        <v>0.23200000000000001</v>
      </c>
      <c r="J17" s="162">
        <f t="shared" si="3"/>
        <v>-12.690240302182005</v>
      </c>
      <c r="K17" s="126">
        <v>0.21099999999999999</v>
      </c>
      <c r="L17" s="162">
        <f t="shared" si="4"/>
        <v>-13.514350894046148</v>
      </c>
      <c r="M17" s="162">
        <f t="shared" si="5"/>
        <v>10.723082135979663</v>
      </c>
      <c r="N17" s="170">
        <f t="shared" si="6"/>
        <v>-0.55904917305351987</v>
      </c>
      <c r="O17" s="163">
        <f t="shared" si="7"/>
        <v>-28.318031621165979</v>
      </c>
    </row>
    <row r="18" spans="1:15">
      <c r="A18" s="165">
        <v>1</v>
      </c>
      <c r="B18" s="169">
        <v>1.18</v>
      </c>
      <c r="C18" s="161">
        <f t="shared" si="8"/>
        <v>-15.55205989723768</v>
      </c>
      <c r="D18" s="166">
        <v>0.85699999999999998</v>
      </c>
      <c r="E18" s="162">
        <f t="shared" si="0"/>
        <v>-1.3403835615360369</v>
      </c>
      <c r="F18" s="166">
        <v>0.82199999999999995</v>
      </c>
      <c r="G18" s="162">
        <f t="shared" si="1"/>
        <v>-37.014798478210594</v>
      </c>
      <c r="H18" s="162">
        <f t="shared" si="2"/>
        <v>-2.746558174820219</v>
      </c>
      <c r="I18" s="166">
        <v>0.23599999999999999</v>
      </c>
      <c r="J18" s="162">
        <f t="shared" si="3"/>
        <v>-12.541759940597871</v>
      </c>
      <c r="K18" s="166">
        <v>0.223</v>
      </c>
      <c r="L18" s="162">
        <f t="shared" si="4"/>
        <v>-13.033902739036787</v>
      </c>
      <c r="M18" s="162">
        <f t="shared" si="5"/>
        <v>10.295691503134536</v>
      </c>
      <c r="N18" s="170">
        <f t="shared" si="6"/>
        <v>-1.1037105780851277</v>
      </c>
      <c r="O18" s="163">
        <f t="shared" si="7"/>
        <v>-27.542507766824585</v>
      </c>
    </row>
    <row r="19" spans="1:15">
      <c r="A19" s="167">
        <v>1.5</v>
      </c>
      <c r="B19" s="167">
        <v>1.79</v>
      </c>
      <c r="C19" s="161">
        <f t="shared" si="8"/>
        <v>-11.932639423762325</v>
      </c>
      <c r="D19" s="167">
        <v>0.88400000000000001</v>
      </c>
      <c r="E19" s="162">
        <f t="shared" si="0"/>
        <v>-1.0709546997385382</v>
      </c>
      <c r="F19" s="167">
        <v>0.86</v>
      </c>
      <c r="G19" s="162">
        <f t="shared" si="1"/>
        <v>-36.357095928758795</v>
      </c>
      <c r="H19" s="162">
        <f t="shared" si="2"/>
        <v>0.81712322336361609</v>
      </c>
      <c r="I19" s="167">
        <v>0.26100000000000001</v>
      </c>
      <c r="J19" s="162">
        <f t="shared" si="3"/>
        <v>-11.667189853234381</v>
      </c>
      <c r="K19" s="167">
        <v>0.23499999999999999</v>
      </c>
      <c r="L19" s="162">
        <f t="shared" si="4"/>
        <v>-12.578642754565275</v>
      </c>
      <c r="M19" s="162">
        <f t="shared" si="5"/>
        <v>9.3771501556485219</v>
      </c>
      <c r="N19" s="170">
        <f t="shared" si="6"/>
        <v>-3.2199857289261677</v>
      </c>
      <c r="O19" s="163">
        <f t="shared" si="7"/>
        <v>-23.821866010859086</v>
      </c>
    </row>
    <row r="20" spans="1:15">
      <c r="A20" s="126">
        <v>2</v>
      </c>
      <c r="B20" s="126">
        <v>2.2799999999999998</v>
      </c>
      <c r="C20" s="161">
        <f t="shared" si="8"/>
        <v>-9.8310031033511134</v>
      </c>
      <c r="D20" s="126">
        <v>0.90900000000000003</v>
      </c>
      <c r="E20" s="162">
        <f t="shared" si="0"/>
        <v>-0.82872233556065078</v>
      </c>
      <c r="F20" s="126">
        <v>0.88600000000000001</v>
      </c>
      <c r="G20" s="162">
        <f t="shared" si="1"/>
        <v>-35.856595843008009</v>
      </c>
      <c r="H20" s="162">
        <f t="shared" si="2"/>
        <v>2.8863943444404949</v>
      </c>
      <c r="I20" s="126">
        <v>0.27400000000000002</v>
      </c>
      <c r="J20" s="162">
        <f t="shared" si="3"/>
        <v>-11.24498874359224</v>
      </c>
      <c r="K20" s="126">
        <v>0.24399999999999999</v>
      </c>
      <c r="L20" s="162">
        <f t="shared" si="4"/>
        <v>-12.252203473225411</v>
      </c>
      <c r="M20" s="162">
        <f t="shared" si="5"/>
        <v>8.8359839919025127</v>
      </c>
      <c r="N20" s="170">
        <f t="shared" si="6"/>
        <v>-4.4488124854706035</v>
      </c>
      <c r="O20" s="163">
        <f t="shared" si="7"/>
        <v>-21.633199288242412</v>
      </c>
    </row>
    <row r="21" spans="1:15">
      <c r="A21" s="126">
        <v>2.5</v>
      </c>
      <c r="B21" s="126">
        <v>2.98</v>
      </c>
      <c r="C21" s="161">
        <f t="shared" si="8"/>
        <v>-7.5053747618350828</v>
      </c>
      <c r="D21" s="126">
        <v>0.92400000000000004</v>
      </c>
      <c r="E21" s="162">
        <f t="shared" si="0"/>
        <v>-0.68656057559786554</v>
      </c>
      <c r="F21" s="126">
        <v>0.90200000000000002</v>
      </c>
      <c r="G21" s="162">
        <f t="shared" si="1"/>
        <v>-35.559308242238856</v>
      </c>
      <c r="H21" s="162">
        <f t="shared" si="2"/>
        <v>5.1762080094971781</v>
      </c>
      <c r="I21" s="126">
        <v>0.28299999999999997</v>
      </c>
      <c r="J21" s="162">
        <f t="shared" si="3"/>
        <v>-10.964271289514196</v>
      </c>
      <c r="K21" s="126">
        <v>0.25800000000000001</v>
      </c>
      <c r="L21" s="162">
        <f t="shared" si="4"/>
        <v>-11.767605880735397</v>
      </c>
      <c r="M21" s="162">
        <f t="shared" si="5"/>
        <v>8.2556530212543304</v>
      </c>
      <c r="N21" s="170">
        <f t="shared" si="6"/>
        <v>-5.8086073767550266</v>
      </c>
      <c r="O21" s="163">
        <f t="shared" si="7"/>
        <v>-19.401225942586812</v>
      </c>
    </row>
    <row r="22" spans="1:15">
      <c r="A22" s="126">
        <v>3</v>
      </c>
      <c r="B22" s="126">
        <v>3.58</v>
      </c>
      <c r="C22" s="161">
        <f t="shared" si="8"/>
        <v>-5.9120395104827006</v>
      </c>
      <c r="D22" s="126">
        <v>0.93300000000000005</v>
      </c>
      <c r="E22" s="162">
        <f t="shared" si="0"/>
        <v>-0.60236712507000068</v>
      </c>
      <c r="F22" s="126">
        <v>0.91</v>
      </c>
      <c r="G22" s="162">
        <f t="shared" si="1"/>
        <v>-35.398233854345321</v>
      </c>
      <c r="H22" s="162">
        <f t="shared" si="2"/>
        <v>6.745005897978734</v>
      </c>
      <c r="I22" s="126">
        <v>0.28799999999999998</v>
      </c>
      <c r="J22" s="162">
        <f t="shared" si="3"/>
        <v>-10.812150244815385</v>
      </c>
      <c r="K22" s="126">
        <v>0.26100000000000001</v>
      </c>
      <c r="L22" s="162">
        <f t="shared" si="4"/>
        <v>-11.667189853234381</v>
      </c>
      <c r="M22" s="162">
        <f t="shared" si="5"/>
        <v>8.0632999774378646</v>
      </c>
      <c r="N22" s="170">
        <f t="shared" si="6"/>
        <v>-6.7402304982207646</v>
      </c>
      <c r="O22" s="163">
        <f t="shared" si="7"/>
        <v>-17.777561511038169</v>
      </c>
    </row>
    <row r="23" spans="1:15">
      <c r="A23" s="126">
        <v>3.5</v>
      </c>
      <c r="B23" s="126">
        <v>4.16</v>
      </c>
      <c r="C23" s="161">
        <f t="shared" si="8"/>
        <v>-4.607833430825333</v>
      </c>
      <c r="D23" s="126">
        <v>0.93500000000000005</v>
      </c>
      <c r="E23" s="162">
        <f t="shared" si="0"/>
        <v>-0.58376778254964401</v>
      </c>
      <c r="F23" s="126">
        <v>0.91200000000000003</v>
      </c>
      <c r="G23" s="162">
        <f t="shared" si="1"/>
        <v>-35.360577297499582</v>
      </c>
      <c r="H23" s="162">
        <f t="shared" si="2"/>
        <v>8.0291272040093773</v>
      </c>
      <c r="I23" s="126">
        <v>0.29199999999999998</v>
      </c>
      <c r="J23" s="162">
        <f t="shared" si="3"/>
        <v>-10.692342971031634</v>
      </c>
      <c r="K23" s="126">
        <v>0.26400000000000001</v>
      </c>
      <c r="L23" s="162">
        <f t="shared" si="4"/>
        <v>-11.56792146260338</v>
      </c>
      <c r="M23" s="162">
        <f t="shared" si="5"/>
        <v>7.8940407503155452</v>
      </c>
      <c r="N23" s="170">
        <f t="shared" si="6"/>
        <v>-7.5027997929964272</v>
      </c>
      <c r="O23" s="163">
        <f t="shared" si="7"/>
        <v>-16.504161348273435</v>
      </c>
    </row>
    <row r="24" spans="1:15">
      <c r="A24" s="126">
        <v>4</v>
      </c>
      <c r="B24" s="126"/>
      <c r="C24" s="161" t="e">
        <f t="shared" si="8"/>
        <v>#NUM!</v>
      </c>
      <c r="D24" s="126"/>
      <c r="E24" s="162" t="e">
        <f t="shared" si="0"/>
        <v>#NUM!</v>
      </c>
      <c r="F24" s="126"/>
      <c r="G24" s="162" t="e">
        <f t="shared" si="1"/>
        <v>#NUM!</v>
      </c>
      <c r="H24" s="162" t="e">
        <f t="shared" si="2"/>
        <v>#NUM!</v>
      </c>
      <c r="I24" s="126"/>
      <c r="J24" s="162" t="e">
        <f t="shared" si="3"/>
        <v>#NUM!</v>
      </c>
      <c r="K24" s="126"/>
      <c r="L24" s="162" t="e">
        <f t="shared" si="4"/>
        <v>#NUM!</v>
      </c>
      <c r="M24" s="162" t="e">
        <f t="shared" si="5"/>
        <v>#NUM!</v>
      </c>
      <c r="N24" s="170" t="e">
        <f t="shared" si="6"/>
        <v>#NUM!</v>
      </c>
      <c r="O24" s="163"/>
    </row>
    <row r="25" spans="1:15">
      <c r="A25" s="126">
        <v>4.5</v>
      </c>
      <c r="B25" s="126"/>
      <c r="C25" s="161" t="e">
        <f t="shared" si="8"/>
        <v>#NUM!</v>
      </c>
      <c r="D25" s="126"/>
      <c r="E25" s="162" t="e">
        <f t="shared" si="0"/>
        <v>#NUM!</v>
      </c>
      <c r="F25" s="126"/>
      <c r="G25" s="162" t="e">
        <f t="shared" si="1"/>
        <v>#NUM!</v>
      </c>
      <c r="H25" s="162" t="e">
        <f t="shared" si="2"/>
        <v>#NUM!</v>
      </c>
      <c r="I25" s="126"/>
      <c r="J25" s="162" t="e">
        <f t="shared" si="3"/>
        <v>#NUM!</v>
      </c>
      <c r="K25" s="126"/>
      <c r="L25" s="162" t="e">
        <f t="shared" si="4"/>
        <v>#NUM!</v>
      </c>
      <c r="M25" s="162" t="e">
        <f t="shared" si="5"/>
        <v>#NUM!</v>
      </c>
      <c r="N25" s="170" t="e">
        <f t="shared" si="6"/>
        <v>#NUM!</v>
      </c>
      <c r="O25" s="163"/>
    </row>
    <row r="26" spans="1:15">
      <c r="A26" s="126">
        <v>5</v>
      </c>
      <c r="B26" s="126"/>
      <c r="C26" s="161" t="e">
        <f t="shared" si="8"/>
        <v>#NUM!</v>
      </c>
      <c r="D26" s="126"/>
      <c r="E26" s="162" t="e">
        <f t="shared" si="0"/>
        <v>#NUM!</v>
      </c>
      <c r="F26" s="126"/>
      <c r="G26" s="162" t="e">
        <f t="shared" si="1"/>
        <v>#NUM!</v>
      </c>
      <c r="H26" s="162" t="e">
        <f t="shared" si="2"/>
        <v>#NUM!</v>
      </c>
      <c r="I26" s="126"/>
      <c r="J26" s="162" t="e">
        <f t="shared" si="3"/>
        <v>#NUM!</v>
      </c>
      <c r="K26" s="126"/>
      <c r="L26" s="162" t="e">
        <f t="shared" si="4"/>
        <v>#NUM!</v>
      </c>
      <c r="M26" s="162" t="e">
        <f t="shared" si="5"/>
        <v>#NUM!</v>
      </c>
      <c r="N26" s="170" t="e">
        <f t="shared" si="6"/>
        <v>#NUM!</v>
      </c>
      <c r="O26" s="163"/>
    </row>
    <row r="27" spans="1:15">
      <c r="A27" s="126">
        <v>5.5</v>
      </c>
      <c r="B27" s="126"/>
      <c r="C27" s="161" t="e">
        <f t="shared" si="8"/>
        <v>#NUM!</v>
      </c>
      <c r="D27" s="126"/>
      <c r="E27" s="162" t="e">
        <f t="shared" si="0"/>
        <v>#NUM!</v>
      </c>
      <c r="F27" s="126"/>
      <c r="G27" s="162" t="e">
        <f t="shared" si="1"/>
        <v>#NUM!</v>
      </c>
      <c r="H27" s="162" t="e">
        <f t="shared" si="2"/>
        <v>#NUM!</v>
      </c>
      <c r="I27" s="126"/>
      <c r="J27" s="162" t="e">
        <f t="shared" si="3"/>
        <v>#NUM!</v>
      </c>
      <c r="K27" s="126"/>
      <c r="L27" s="162" t="e">
        <f t="shared" si="4"/>
        <v>#NUM!</v>
      </c>
      <c r="M27" s="162" t="e">
        <f t="shared" si="5"/>
        <v>#NUM!</v>
      </c>
      <c r="N27" s="170" t="e">
        <f t="shared" si="6"/>
        <v>#NUM!</v>
      </c>
      <c r="O27" s="163"/>
    </row>
  </sheetData>
  <mergeCells count="2">
    <mergeCell ref="Y2:Z2"/>
    <mergeCell ref="Y1:Z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F6598-2672-4CD5-B142-F659661E32C3}">
  <dimension ref="A1:U34"/>
  <sheetViews>
    <sheetView zoomScaleNormal="100" workbookViewId="0">
      <selection activeCell="T9" sqref="T9"/>
    </sheetView>
  </sheetViews>
  <sheetFormatPr defaultColWidth="11.42578125" defaultRowHeight="15"/>
  <cols>
    <col min="2" max="2" width="13.28515625" bestFit="1" customWidth="1"/>
    <col min="3" max="3" width="13.28515625" customWidth="1"/>
    <col min="6" max="6" width="12" bestFit="1" customWidth="1"/>
    <col min="9" max="9" width="29.28515625" bestFit="1" customWidth="1"/>
    <col min="10" max="10" width="18.85546875" bestFit="1" customWidth="1"/>
    <col min="17" max="17" width="12" bestFit="1" customWidth="1"/>
    <col min="19" max="19" width="12" bestFit="1" customWidth="1"/>
    <col min="20" max="20" width="29.7109375" bestFit="1" customWidth="1"/>
    <col min="21" max="21" width="19.28515625" bestFit="1" customWidth="1"/>
  </cols>
  <sheetData>
    <row r="1" spans="1:21" ht="27" thickBot="1">
      <c r="A1" s="217" t="s">
        <v>170</v>
      </c>
      <c r="B1" s="217"/>
      <c r="C1" s="217"/>
      <c r="D1" s="217"/>
      <c r="E1" s="217"/>
      <c r="F1" s="217"/>
      <c r="G1" s="217"/>
      <c r="H1" s="217"/>
      <c r="I1" s="217"/>
      <c r="J1" s="217"/>
      <c r="L1" s="217" t="s">
        <v>171</v>
      </c>
      <c r="M1" s="217"/>
      <c r="N1" s="217"/>
      <c r="O1" s="217"/>
      <c r="P1" s="217"/>
      <c r="Q1" s="217"/>
      <c r="R1" s="217"/>
      <c r="S1" s="217"/>
      <c r="T1" s="217"/>
      <c r="U1" s="217"/>
    </row>
    <row r="2" spans="1:21" ht="16.5" thickBot="1">
      <c r="A2" s="212" t="s">
        <v>172</v>
      </c>
      <c r="B2" s="213"/>
      <c r="C2" s="212" t="s">
        <v>173</v>
      </c>
      <c r="D2" s="214"/>
      <c r="E2" s="214"/>
      <c r="F2" s="213"/>
      <c r="G2" s="212" t="s">
        <v>141</v>
      </c>
      <c r="H2" s="213"/>
      <c r="I2" s="215" t="s">
        <v>174</v>
      </c>
      <c r="J2" s="215" t="s">
        <v>175</v>
      </c>
      <c r="L2" s="212" t="s">
        <v>172</v>
      </c>
      <c r="M2" s="213"/>
      <c r="N2" s="212" t="s">
        <v>173</v>
      </c>
      <c r="O2" s="214"/>
      <c r="P2" s="214"/>
      <c r="Q2" s="213"/>
      <c r="R2" s="212" t="s">
        <v>141</v>
      </c>
      <c r="S2" s="213"/>
      <c r="T2" s="215" t="s">
        <v>174</v>
      </c>
      <c r="U2" s="215" t="s">
        <v>175</v>
      </c>
    </row>
    <row r="3" spans="1:21" ht="15.75" customHeight="1" thickBot="1">
      <c r="A3" s="139" t="s">
        <v>44</v>
      </c>
      <c r="B3" s="141" t="s">
        <v>176</v>
      </c>
      <c r="C3" s="139" t="s">
        <v>177</v>
      </c>
      <c r="D3" s="140" t="s">
        <v>178</v>
      </c>
      <c r="E3" s="140" t="s">
        <v>44</v>
      </c>
      <c r="F3" s="141" t="s">
        <v>176</v>
      </c>
      <c r="G3" s="139" t="s">
        <v>44</v>
      </c>
      <c r="H3" s="141" t="s">
        <v>176</v>
      </c>
      <c r="I3" s="216"/>
      <c r="J3" s="216"/>
      <c r="L3" s="139" t="s">
        <v>44</v>
      </c>
      <c r="M3" s="141" t="s">
        <v>176</v>
      </c>
      <c r="N3" s="139" t="s">
        <v>177</v>
      </c>
      <c r="O3" s="140" t="s">
        <v>178</v>
      </c>
      <c r="P3" s="140" t="s">
        <v>44</v>
      </c>
      <c r="Q3" s="141" t="s">
        <v>176</v>
      </c>
      <c r="R3" s="139" t="s">
        <v>44</v>
      </c>
      <c r="S3" s="141" t="s">
        <v>176</v>
      </c>
      <c r="T3" s="216"/>
      <c r="U3" s="216"/>
    </row>
    <row r="4" spans="1:21">
      <c r="A4" s="42">
        <v>1E-3</v>
      </c>
      <c r="B4" s="142">
        <f>20*LOG10(A4)</f>
        <v>-60</v>
      </c>
      <c r="C4" s="144">
        <v>1.1835</v>
      </c>
      <c r="D4" s="145">
        <v>1.2076</v>
      </c>
      <c r="E4" s="145">
        <f>(D4-C4)/2</f>
        <v>1.2050000000000005E-2</v>
      </c>
      <c r="F4" s="43">
        <f>20*LOG10(E4)</f>
        <v>-38.380259061782255</v>
      </c>
      <c r="G4" s="42">
        <f>E4/A4</f>
        <v>12.050000000000004</v>
      </c>
      <c r="H4" s="43">
        <f>20*LOG10(G4)</f>
        <v>21.619740938217745</v>
      </c>
      <c r="I4" s="149"/>
      <c r="J4" s="149">
        <f>I4-F4</f>
        <v>38.380259061782255</v>
      </c>
      <c r="L4" s="42">
        <v>1E-3</v>
      </c>
      <c r="M4" s="142">
        <f>20*LOG10(L4)</f>
        <v>-60</v>
      </c>
      <c r="N4" s="144"/>
      <c r="O4" s="145"/>
      <c r="P4" s="145">
        <f>(O4-N4)/2</f>
        <v>0</v>
      </c>
      <c r="Q4" s="43" t="e">
        <f>20*LOG10(P4)</f>
        <v>#NUM!</v>
      </c>
      <c r="R4" s="42">
        <f>P4/L4</f>
        <v>0</v>
      </c>
      <c r="S4" s="43" t="e">
        <f>20*LOG10(R4)</f>
        <v>#NUM!</v>
      </c>
      <c r="T4" s="149"/>
      <c r="U4" s="149" t="e">
        <f>T4-Q4</f>
        <v>#NUM!</v>
      </c>
    </row>
    <row r="5" spans="1:21">
      <c r="A5" s="42">
        <v>2E-3</v>
      </c>
      <c r="B5" s="142">
        <f t="shared" ref="B5:B39" si="0">20*LOG10(A5)</f>
        <v>-53.979400086720375</v>
      </c>
      <c r="C5" s="144"/>
      <c r="D5" s="145"/>
      <c r="E5" s="145">
        <f t="shared" ref="E5:E19" si="1">(D5-C5)/2</f>
        <v>0</v>
      </c>
      <c r="F5" s="43" t="e">
        <f t="shared" ref="F5:F39" si="2">20*LOG10(E5)</f>
        <v>#NUM!</v>
      </c>
      <c r="G5" s="42">
        <f t="shared" ref="G5:G19" si="3">E5/A5</f>
        <v>0</v>
      </c>
      <c r="H5" s="43" t="e">
        <f t="shared" ref="H5" si="4">20*LOG10(G5)</f>
        <v>#NUM!</v>
      </c>
      <c r="I5" s="149"/>
      <c r="J5" s="149" t="e">
        <f t="shared" ref="J5:J19" si="5">I5-F5</f>
        <v>#NUM!</v>
      </c>
      <c r="L5" s="42">
        <v>2E-3</v>
      </c>
      <c r="M5" s="142">
        <f t="shared" ref="M5:M33" si="6">20*LOG10(L5)</f>
        <v>-53.979400086720375</v>
      </c>
      <c r="N5" s="144"/>
      <c r="O5" s="145"/>
      <c r="P5" s="145">
        <f>(O5-N5)/2</f>
        <v>0</v>
      </c>
      <c r="Q5" s="43" t="e">
        <f t="shared" ref="Q5:Q33" si="7">20*LOG10(P5)</f>
        <v>#NUM!</v>
      </c>
      <c r="R5" s="42">
        <f t="shared" ref="R5:R19" si="8">P5/L5</f>
        <v>0</v>
      </c>
      <c r="S5" s="43" t="e">
        <f t="shared" ref="S5:S33" si="9">20*LOG10(R5)</f>
        <v>#NUM!</v>
      </c>
      <c r="T5" s="149"/>
      <c r="U5" s="149" t="e">
        <f t="shared" ref="U5:U19" si="10">T5-Q5</f>
        <v>#NUM!</v>
      </c>
    </row>
    <row r="6" spans="1:21">
      <c r="A6" s="42">
        <v>3.0000000000000001E-3</v>
      </c>
      <c r="B6" s="142">
        <f t="shared" si="0"/>
        <v>-50.457574905606748</v>
      </c>
      <c r="C6" s="42"/>
      <c r="D6" s="145"/>
      <c r="E6" s="145">
        <f t="shared" si="1"/>
        <v>0</v>
      </c>
      <c r="F6" s="43" t="e">
        <f t="shared" si="2"/>
        <v>#NUM!</v>
      </c>
      <c r="G6" s="42">
        <f t="shared" si="3"/>
        <v>0</v>
      </c>
      <c r="H6" s="43" t="e">
        <f t="shared" ref="H6" si="11">20*LOG10(G6)</f>
        <v>#NUM!</v>
      </c>
      <c r="I6" s="149"/>
      <c r="J6" s="149" t="e">
        <f t="shared" si="5"/>
        <v>#NUM!</v>
      </c>
      <c r="L6" s="42">
        <v>3.0000000000000001E-3</v>
      </c>
      <c r="M6" s="142">
        <f t="shared" si="6"/>
        <v>-50.457574905606748</v>
      </c>
      <c r="N6" s="42"/>
      <c r="O6" s="145"/>
      <c r="P6" s="145">
        <f t="shared" ref="P6:P8" si="12">(O6-N6)/2</f>
        <v>0</v>
      </c>
      <c r="Q6" s="43" t="e">
        <f t="shared" si="7"/>
        <v>#NUM!</v>
      </c>
      <c r="R6" s="42">
        <f t="shared" si="8"/>
        <v>0</v>
      </c>
      <c r="S6" s="43" t="e">
        <f t="shared" si="9"/>
        <v>#NUM!</v>
      </c>
      <c r="T6" s="149"/>
      <c r="U6" s="149" t="e">
        <f t="shared" si="10"/>
        <v>#NUM!</v>
      </c>
    </row>
    <row r="7" spans="1:21">
      <c r="A7" s="42">
        <v>4.0000000000000001E-3</v>
      </c>
      <c r="B7" s="142">
        <f t="shared" si="0"/>
        <v>-47.95880017344075</v>
      </c>
      <c r="C7" s="144"/>
      <c r="D7" s="145"/>
      <c r="E7" s="145">
        <f t="shared" si="1"/>
        <v>0</v>
      </c>
      <c r="F7" s="43" t="e">
        <f t="shared" si="2"/>
        <v>#NUM!</v>
      </c>
      <c r="G7" s="42">
        <f t="shared" si="3"/>
        <v>0</v>
      </c>
      <c r="H7" s="43" t="e">
        <f t="shared" ref="H7" si="13">20*LOG10(G7)</f>
        <v>#NUM!</v>
      </c>
      <c r="I7" s="149"/>
      <c r="J7" s="149" t="e">
        <f t="shared" si="5"/>
        <v>#NUM!</v>
      </c>
      <c r="L7" s="42">
        <v>4.0000000000000001E-3</v>
      </c>
      <c r="M7" s="142">
        <f t="shared" si="6"/>
        <v>-47.95880017344075</v>
      </c>
      <c r="N7" s="144"/>
      <c r="O7" s="145"/>
      <c r="P7" s="145">
        <f t="shared" si="12"/>
        <v>0</v>
      </c>
      <c r="Q7" s="43" t="e">
        <f t="shared" si="7"/>
        <v>#NUM!</v>
      </c>
      <c r="R7" s="42">
        <f t="shared" si="8"/>
        <v>0</v>
      </c>
      <c r="S7" s="43" t="e">
        <f t="shared" si="9"/>
        <v>#NUM!</v>
      </c>
      <c r="T7" s="149"/>
      <c r="U7" s="149" t="e">
        <f t="shared" si="10"/>
        <v>#NUM!</v>
      </c>
    </row>
    <row r="8" spans="1:21">
      <c r="A8" s="42">
        <v>5.0000000000000001E-3</v>
      </c>
      <c r="B8" s="142">
        <f t="shared" si="0"/>
        <v>-46.020599913279625</v>
      </c>
      <c r="C8" s="144"/>
      <c r="D8" s="152"/>
      <c r="E8" s="145">
        <f t="shared" si="1"/>
        <v>0</v>
      </c>
      <c r="F8" s="43" t="e">
        <f t="shared" si="2"/>
        <v>#NUM!</v>
      </c>
      <c r="G8" s="42">
        <f t="shared" si="3"/>
        <v>0</v>
      </c>
      <c r="H8" s="43" t="e">
        <f t="shared" ref="H8" si="14">20*LOG10(G8)</f>
        <v>#NUM!</v>
      </c>
      <c r="I8" s="149"/>
      <c r="J8" s="149" t="e">
        <f t="shared" si="5"/>
        <v>#NUM!</v>
      </c>
      <c r="L8" s="42">
        <v>5.0000000000000001E-3</v>
      </c>
      <c r="M8" s="142">
        <f t="shared" si="6"/>
        <v>-46.020599913279625</v>
      </c>
      <c r="N8" s="144"/>
      <c r="O8" s="152"/>
      <c r="P8" s="145">
        <f t="shared" si="12"/>
        <v>0</v>
      </c>
      <c r="Q8" s="43" t="e">
        <f t="shared" si="7"/>
        <v>#NUM!</v>
      </c>
      <c r="R8" s="42">
        <f t="shared" si="8"/>
        <v>0</v>
      </c>
      <c r="S8" s="43" t="e">
        <f t="shared" si="9"/>
        <v>#NUM!</v>
      </c>
      <c r="T8" s="149"/>
      <c r="U8" s="149" t="e">
        <f t="shared" si="10"/>
        <v>#NUM!</v>
      </c>
    </row>
    <row r="9" spans="1:21">
      <c r="A9" s="42">
        <v>6.0000000000000001E-3</v>
      </c>
      <c r="B9" s="142">
        <f t="shared" si="0"/>
        <v>-44.436974992327123</v>
      </c>
      <c r="C9" s="144"/>
      <c r="D9" s="152"/>
      <c r="E9" s="146">
        <f>(D9-C9)/2</f>
        <v>0</v>
      </c>
      <c r="F9" s="43" t="e">
        <f t="shared" si="2"/>
        <v>#NUM!</v>
      </c>
      <c r="G9" s="42">
        <f t="shared" si="3"/>
        <v>0</v>
      </c>
      <c r="H9" s="148" t="e">
        <f t="shared" ref="H9" si="15">20*LOG10(G9)</f>
        <v>#NUM!</v>
      </c>
      <c r="I9" s="149"/>
      <c r="J9" s="149" t="e">
        <f t="shared" si="5"/>
        <v>#NUM!</v>
      </c>
      <c r="L9" s="42">
        <v>6.0000000000000001E-3</v>
      </c>
      <c r="M9" s="142">
        <f t="shared" si="6"/>
        <v>-44.436974992327123</v>
      </c>
      <c r="N9" s="144"/>
      <c r="O9" s="152"/>
      <c r="P9" s="146">
        <f>(O9-N9)/2</f>
        <v>0</v>
      </c>
      <c r="Q9" s="43" t="e">
        <f t="shared" si="7"/>
        <v>#NUM!</v>
      </c>
      <c r="R9" s="42">
        <f t="shared" si="8"/>
        <v>0</v>
      </c>
      <c r="S9" s="148" t="e">
        <f t="shared" si="9"/>
        <v>#NUM!</v>
      </c>
      <c r="T9" s="149"/>
      <c r="U9" s="149" t="e">
        <f t="shared" si="10"/>
        <v>#NUM!</v>
      </c>
    </row>
    <row r="10" spans="1:21">
      <c r="A10" s="42">
        <v>7.0000000000000001E-3</v>
      </c>
      <c r="B10" s="142">
        <f t="shared" si="0"/>
        <v>-43.098039199714862</v>
      </c>
      <c r="C10" s="144"/>
      <c r="D10" s="152"/>
      <c r="E10" s="145">
        <f t="shared" si="1"/>
        <v>0</v>
      </c>
      <c r="F10" s="43" t="e">
        <f t="shared" si="2"/>
        <v>#NUM!</v>
      </c>
      <c r="G10" s="42">
        <f t="shared" si="3"/>
        <v>0</v>
      </c>
      <c r="H10" s="43" t="e">
        <f t="shared" ref="H10" si="16">20*LOG10(G10)</f>
        <v>#NUM!</v>
      </c>
      <c r="I10" s="149"/>
      <c r="J10" s="149" t="e">
        <f t="shared" si="5"/>
        <v>#NUM!</v>
      </c>
      <c r="L10" s="42">
        <v>7.0000000000000001E-3</v>
      </c>
      <c r="M10" s="142">
        <f t="shared" si="6"/>
        <v>-43.098039199714862</v>
      </c>
      <c r="N10" s="144"/>
      <c r="O10" s="152"/>
      <c r="P10" s="145">
        <f t="shared" ref="P10:P18" si="17">(O10-N10)/2</f>
        <v>0</v>
      </c>
      <c r="Q10" s="43" t="e">
        <f t="shared" si="7"/>
        <v>#NUM!</v>
      </c>
      <c r="R10" s="42">
        <f t="shared" si="8"/>
        <v>0</v>
      </c>
      <c r="S10" s="43" t="e">
        <f t="shared" si="9"/>
        <v>#NUM!</v>
      </c>
      <c r="T10" s="149"/>
      <c r="U10" s="149" t="e">
        <f t="shared" si="10"/>
        <v>#NUM!</v>
      </c>
    </row>
    <row r="11" spans="1:21">
      <c r="A11" s="42">
        <v>8.0000000000000002E-3</v>
      </c>
      <c r="B11" s="142">
        <f t="shared" si="0"/>
        <v>-41.938200260161125</v>
      </c>
      <c r="C11" s="144"/>
      <c r="D11" s="152"/>
      <c r="E11" s="145">
        <f t="shared" si="1"/>
        <v>0</v>
      </c>
      <c r="F11" s="43" t="e">
        <f t="shared" si="2"/>
        <v>#NUM!</v>
      </c>
      <c r="G11" s="42">
        <f t="shared" si="3"/>
        <v>0</v>
      </c>
      <c r="H11" s="43" t="e">
        <f t="shared" ref="H11" si="18">20*LOG10(G11)</f>
        <v>#NUM!</v>
      </c>
      <c r="I11" s="149"/>
      <c r="J11" s="149" t="e">
        <f t="shared" si="5"/>
        <v>#NUM!</v>
      </c>
      <c r="L11" s="42">
        <v>8.0000000000000002E-3</v>
      </c>
      <c r="M11" s="142">
        <f t="shared" si="6"/>
        <v>-41.938200260161125</v>
      </c>
      <c r="N11" s="144"/>
      <c r="O11" s="152"/>
      <c r="P11" s="145">
        <f t="shared" si="17"/>
        <v>0</v>
      </c>
      <c r="Q11" s="43" t="e">
        <f t="shared" si="7"/>
        <v>#NUM!</v>
      </c>
      <c r="R11" s="42">
        <f t="shared" si="8"/>
        <v>0</v>
      </c>
      <c r="S11" s="43" t="e">
        <f t="shared" si="9"/>
        <v>#NUM!</v>
      </c>
      <c r="T11" s="149"/>
      <c r="U11" s="149" t="e">
        <f t="shared" si="10"/>
        <v>#NUM!</v>
      </c>
    </row>
    <row r="12" spans="1:21">
      <c r="A12" s="42">
        <v>8.9999999999999993E-3</v>
      </c>
      <c r="B12" s="142">
        <f t="shared" si="0"/>
        <v>-40.915149811213503</v>
      </c>
      <c r="C12" s="144"/>
      <c r="D12" s="152"/>
      <c r="E12" s="145">
        <f t="shared" si="1"/>
        <v>0</v>
      </c>
      <c r="F12" s="43" t="e">
        <f t="shared" si="2"/>
        <v>#NUM!</v>
      </c>
      <c r="G12" s="42">
        <f t="shared" si="3"/>
        <v>0</v>
      </c>
      <c r="H12" s="43" t="e">
        <f t="shared" ref="H12" si="19">20*LOG10(G12)</f>
        <v>#NUM!</v>
      </c>
      <c r="I12" s="149"/>
      <c r="J12" s="149" t="e">
        <f t="shared" si="5"/>
        <v>#NUM!</v>
      </c>
      <c r="L12" s="42">
        <v>8.9999999999999993E-3</v>
      </c>
      <c r="M12" s="142">
        <f t="shared" si="6"/>
        <v>-40.915149811213503</v>
      </c>
      <c r="N12" s="144"/>
      <c r="O12" s="152"/>
      <c r="P12" s="145">
        <f t="shared" si="17"/>
        <v>0</v>
      </c>
      <c r="Q12" s="43" t="e">
        <f t="shared" si="7"/>
        <v>#NUM!</v>
      </c>
      <c r="R12" s="42">
        <f t="shared" si="8"/>
        <v>0</v>
      </c>
      <c r="S12" s="43" t="e">
        <f t="shared" si="9"/>
        <v>#NUM!</v>
      </c>
      <c r="T12" s="149"/>
      <c r="U12" s="149" t="e">
        <f t="shared" si="10"/>
        <v>#NUM!</v>
      </c>
    </row>
    <row r="13" spans="1:21">
      <c r="A13" s="42">
        <v>0.01</v>
      </c>
      <c r="B13" s="142">
        <f t="shared" si="0"/>
        <v>-40</v>
      </c>
      <c r="C13" s="144"/>
      <c r="D13" s="152"/>
      <c r="E13" s="145">
        <f t="shared" si="1"/>
        <v>0</v>
      </c>
      <c r="F13" s="43" t="e">
        <f t="shared" si="2"/>
        <v>#NUM!</v>
      </c>
      <c r="G13" s="42">
        <f t="shared" si="3"/>
        <v>0</v>
      </c>
      <c r="H13" s="43" t="e">
        <f t="shared" ref="H13" si="20">20*LOG10(G13)</f>
        <v>#NUM!</v>
      </c>
      <c r="I13" s="149"/>
      <c r="J13" s="149" t="e">
        <f t="shared" si="5"/>
        <v>#NUM!</v>
      </c>
      <c r="L13" s="42">
        <v>0.01</v>
      </c>
      <c r="M13" s="142">
        <f t="shared" si="6"/>
        <v>-40</v>
      </c>
      <c r="N13" s="144"/>
      <c r="O13" s="152"/>
      <c r="P13" s="145">
        <f t="shared" si="17"/>
        <v>0</v>
      </c>
      <c r="Q13" s="43" t="e">
        <f t="shared" si="7"/>
        <v>#NUM!</v>
      </c>
      <c r="R13" s="42">
        <f t="shared" si="8"/>
        <v>0</v>
      </c>
      <c r="S13" s="43" t="e">
        <f t="shared" si="9"/>
        <v>#NUM!</v>
      </c>
      <c r="T13" s="149"/>
      <c r="U13" s="149" t="e">
        <f t="shared" si="10"/>
        <v>#NUM!</v>
      </c>
    </row>
    <row r="14" spans="1:21">
      <c r="A14" s="42">
        <v>0.02</v>
      </c>
      <c r="B14" s="142">
        <f t="shared" si="0"/>
        <v>-33.979400086720375</v>
      </c>
      <c r="C14" s="144"/>
      <c r="D14" s="152"/>
      <c r="E14" s="145">
        <f t="shared" si="1"/>
        <v>0</v>
      </c>
      <c r="F14" s="43" t="e">
        <f t="shared" si="2"/>
        <v>#NUM!</v>
      </c>
      <c r="G14" s="42">
        <f t="shared" si="3"/>
        <v>0</v>
      </c>
      <c r="H14" s="43" t="e">
        <f t="shared" ref="H14" si="21">20*LOG10(G14)</f>
        <v>#NUM!</v>
      </c>
      <c r="I14" s="149"/>
      <c r="J14" s="149" t="e">
        <f t="shared" si="5"/>
        <v>#NUM!</v>
      </c>
      <c r="L14" s="42">
        <v>0.02</v>
      </c>
      <c r="M14" s="142">
        <f t="shared" si="6"/>
        <v>-33.979400086720375</v>
      </c>
      <c r="N14" s="144"/>
      <c r="O14" s="152"/>
      <c r="P14" s="145">
        <f t="shared" si="17"/>
        <v>0</v>
      </c>
      <c r="Q14" s="43" t="e">
        <f t="shared" si="7"/>
        <v>#NUM!</v>
      </c>
      <c r="R14" s="42">
        <f t="shared" si="8"/>
        <v>0</v>
      </c>
      <c r="S14" s="43" t="e">
        <f t="shared" si="9"/>
        <v>#NUM!</v>
      </c>
      <c r="T14" s="149"/>
      <c r="U14" s="149" t="e">
        <f t="shared" si="10"/>
        <v>#NUM!</v>
      </c>
    </row>
    <row r="15" spans="1:21">
      <c r="A15" s="42">
        <v>0.03</v>
      </c>
      <c r="B15" s="142">
        <f t="shared" si="0"/>
        <v>-30.457574905606752</v>
      </c>
      <c r="C15" s="144"/>
      <c r="D15" s="152"/>
      <c r="E15" s="145">
        <f t="shared" si="1"/>
        <v>0</v>
      </c>
      <c r="F15" s="43" t="e">
        <f t="shared" si="2"/>
        <v>#NUM!</v>
      </c>
      <c r="G15" s="42">
        <f t="shared" si="3"/>
        <v>0</v>
      </c>
      <c r="H15" s="43" t="e">
        <f t="shared" ref="H15" si="22">20*LOG10(G15)</f>
        <v>#NUM!</v>
      </c>
      <c r="I15" s="149"/>
      <c r="J15" s="149" t="e">
        <f t="shared" si="5"/>
        <v>#NUM!</v>
      </c>
      <c r="L15" s="42">
        <v>0.03</v>
      </c>
      <c r="M15" s="142">
        <f t="shared" si="6"/>
        <v>-30.457574905606752</v>
      </c>
      <c r="N15" s="144"/>
      <c r="O15" s="152"/>
      <c r="P15" s="145">
        <f t="shared" si="17"/>
        <v>0</v>
      </c>
      <c r="Q15" s="43" t="e">
        <f t="shared" si="7"/>
        <v>#NUM!</v>
      </c>
      <c r="R15" s="42">
        <f t="shared" si="8"/>
        <v>0</v>
      </c>
      <c r="S15" s="43" t="e">
        <f t="shared" si="9"/>
        <v>#NUM!</v>
      </c>
      <c r="T15" s="149"/>
      <c r="U15" s="149" t="e">
        <f t="shared" si="10"/>
        <v>#NUM!</v>
      </c>
    </row>
    <row r="16" spans="1:21">
      <c r="A16" s="42">
        <v>0.04</v>
      </c>
      <c r="B16" s="142">
        <f t="shared" si="0"/>
        <v>-27.95880017344075</v>
      </c>
      <c r="C16" s="144"/>
      <c r="D16" s="152"/>
      <c r="E16" s="145">
        <f t="shared" si="1"/>
        <v>0</v>
      </c>
      <c r="F16" s="43" t="e">
        <f t="shared" si="2"/>
        <v>#NUM!</v>
      </c>
      <c r="G16" s="42">
        <f t="shared" si="3"/>
        <v>0</v>
      </c>
      <c r="H16" s="43" t="e">
        <f t="shared" ref="H16" si="23">20*LOG10(G16)</f>
        <v>#NUM!</v>
      </c>
      <c r="I16" s="149"/>
      <c r="J16" s="149" t="e">
        <f t="shared" si="5"/>
        <v>#NUM!</v>
      </c>
      <c r="L16" s="42">
        <v>0.04</v>
      </c>
      <c r="M16" s="142">
        <f t="shared" si="6"/>
        <v>-27.95880017344075</v>
      </c>
      <c r="N16" s="144"/>
      <c r="O16" s="152"/>
      <c r="P16" s="145">
        <f t="shared" si="17"/>
        <v>0</v>
      </c>
      <c r="Q16" s="43" t="e">
        <f t="shared" si="7"/>
        <v>#NUM!</v>
      </c>
      <c r="R16" s="42">
        <f t="shared" si="8"/>
        <v>0</v>
      </c>
      <c r="S16" s="43" t="e">
        <f t="shared" si="9"/>
        <v>#NUM!</v>
      </c>
      <c r="T16" s="149"/>
      <c r="U16" s="149" t="e">
        <f t="shared" si="10"/>
        <v>#NUM!</v>
      </c>
    </row>
    <row r="17" spans="1:21">
      <c r="A17" s="42">
        <v>0.05</v>
      </c>
      <c r="B17" s="142">
        <f t="shared" si="0"/>
        <v>-26.020599913279625</v>
      </c>
      <c r="C17" s="144"/>
      <c r="D17" s="152"/>
      <c r="E17" s="145">
        <f t="shared" si="1"/>
        <v>0</v>
      </c>
      <c r="F17" s="43" t="e">
        <f t="shared" si="2"/>
        <v>#NUM!</v>
      </c>
      <c r="G17" s="42">
        <f t="shared" si="3"/>
        <v>0</v>
      </c>
      <c r="H17" s="43" t="e">
        <f t="shared" ref="H17" si="24">20*LOG10(G17)</f>
        <v>#NUM!</v>
      </c>
      <c r="I17" s="149"/>
      <c r="J17" s="149" t="e">
        <f t="shared" si="5"/>
        <v>#NUM!</v>
      </c>
      <c r="L17" s="42">
        <v>0.05</v>
      </c>
      <c r="M17" s="142">
        <f t="shared" si="6"/>
        <v>-26.020599913279625</v>
      </c>
      <c r="N17" s="144"/>
      <c r="O17" s="152"/>
      <c r="P17" s="145">
        <f t="shared" si="17"/>
        <v>0</v>
      </c>
      <c r="Q17" s="43" t="e">
        <f t="shared" si="7"/>
        <v>#NUM!</v>
      </c>
      <c r="R17" s="42">
        <f t="shared" si="8"/>
        <v>0</v>
      </c>
      <c r="S17" s="43" t="e">
        <f t="shared" si="9"/>
        <v>#NUM!</v>
      </c>
      <c r="T17" s="149"/>
      <c r="U17" s="149" t="e">
        <f t="shared" si="10"/>
        <v>#NUM!</v>
      </c>
    </row>
    <row r="18" spans="1:21">
      <c r="A18" s="42">
        <v>0.06</v>
      </c>
      <c r="B18" s="142">
        <f t="shared" si="0"/>
        <v>-24.436974992327126</v>
      </c>
      <c r="C18" s="144"/>
      <c r="D18" s="152"/>
      <c r="E18" s="145">
        <f t="shared" si="1"/>
        <v>0</v>
      </c>
      <c r="F18" s="43" t="e">
        <f t="shared" si="2"/>
        <v>#NUM!</v>
      </c>
      <c r="G18" s="42">
        <f t="shared" si="3"/>
        <v>0</v>
      </c>
      <c r="H18" s="43" t="e">
        <f t="shared" ref="H18:H38" si="25">20*LOG10(G18)</f>
        <v>#NUM!</v>
      </c>
      <c r="I18" s="149"/>
      <c r="J18" s="149" t="e">
        <f t="shared" si="5"/>
        <v>#NUM!</v>
      </c>
      <c r="L18" s="42">
        <v>0.06</v>
      </c>
      <c r="M18" s="142">
        <f t="shared" si="6"/>
        <v>-24.436974992327126</v>
      </c>
      <c r="N18" s="144"/>
      <c r="O18" s="152"/>
      <c r="P18" s="145">
        <f t="shared" si="17"/>
        <v>0</v>
      </c>
      <c r="Q18" s="43" t="e">
        <f t="shared" si="7"/>
        <v>#NUM!</v>
      </c>
      <c r="R18" s="42">
        <f t="shared" si="8"/>
        <v>0</v>
      </c>
      <c r="S18" s="43" t="e">
        <f t="shared" si="9"/>
        <v>#NUM!</v>
      </c>
      <c r="T18" s="149"/>
      <c r="U18" s="149" t="e">
        <f t="shared" si="10"/>
        <v>#NUM!</v>
      </c>
    </row>
    <row r="19" spans="1:21">
      <c r="A19" s="42">
        <v>7.0000000000000007E-2</v>
      </c>
      <c r="B19" s="142">
        <f t="shared" si="0"/>
        <v>-23.098039199714862</v>
      </c>
      <c r="C19" s="144"/>
      <c r="D19" s="145"/>
      <c r="E19" s="145">
        <f t="shared" si="1"/>
        <v>0</v>
      </c>
      <c r="F19" s="43" t="e">
        <f t="shared" si="2"/>
        <v>#NUM!</v>
      </c>
      <c r="G19" s="42">
        <f t="shared" si="3"/>
        <v>0</v>
      </c>
      <c r="H19" s="43" t="e">
        <f t="shared" ref="H19:H39" si="26">20*LOG10(G19)</f>
        <v>#NUM!</v>
      </c>
      <c r="I19" s="149"/>
      <c r="J19" s="149" t="e">
        <f t="shared" si="5"/>
        <v>#NUM!</v>
      </c>
      <c r="L19" s="42">
        <v>7.0000000000000007E-2</v>
      </c>
      <c r="M19" s="142">
        <f t="shared" si="6"/>
        <v>-23.098039199714862</v>
      </c>
      <c r="N19" s="144"/>
      <c r="O19" s="145"/>
      <c r="P19" s="145">
        <f>(O19-C19)/2</f>
        <v>0</v>
      </c>
      <c r="Q19" s="43" t="e">
        <f t="shared" si="7"/>
        <v>#NUM!</v>
      </c>
      <c r="R19" s="42">
        <f t="shared" si="8"/>
        <v>0</v>
      </c>
      <c r="S19" s="43" t="e">
        <f t="shared" si="9"/>
        <v>#NUM!</v>
      </c>
      <c r="T19" s="149"/>
      <c r="U19" s="149" t="e">
        <f t="shared" si="10"/>
        <v>#NUM!</v>
      </c>
    </row>
    <row r="20" spans="1:21">
      <c r="A20" s="42">
        <v>0.08</v>
      </c>
      <c r="B20" s="142">
        <f t="shared" si="0"/>
        <v>-21.938200260161128</v>
      </c>
      <c r="C20" s="144"/>
      <c r="D20" s="145"/>
      <c r="E20" s="145">
        <f t="shared" ref="E20:E33" si="27">(D20-C20)/2</f>
        <v>0</v>
      </c>
      <c r="F20" s="43" t="e">
        <f t="shared" si="2"/>
        <v>#NUM!</v>
      </c>
      <c r="G20" s="42">
        <f t="shared" ref="G20:G33" si="28">E20/A20</f>
        <v>0</v>
      </c>
      <c r="H20" s="43" t="e">
        <f t="shared" si="26"/>
        <v>#NUM!</v>
      </c>
      <c r="I20" s="149"/>
      <c r="J20" s="149" t="e">
        <f t="shared" ref="J20:J33" si="29">I20-F20</f>
        <v>#NUM!</v>
      </c>
      <c r="L20" s="42">
        <v>0.08</v>
      </c>
      <c r="M20" s="142">
        <f t="shared" si="6"/>
        <v>-21.938200260161128</v>
      </c>
      <c r="N20" s="144"/>
      <c r="O20" s="145"/>
      <c r="P20" s="145">
        <f t="shared" ref="P20:P33" si="30">(O20-C20)/2</f>
        <v>0</v>
      </c>
      <c r="Q20" s="43" t="e">
        <f t="shared" si="7"/>
        <v>#NUM!</v>
      </c>
      <c r="R20" s="42">
        <f t="shared" ref="R20:R33" si="31">P20/L20</f>
        <v>0</v>
      </c>
      <c r="S20" s="43" t="e">
        <f t="shared" si="9"/>
        <v>#NUM!</v>
      </c>
      <c r="T20" s="149"/>
      <c r="U20" s="149" t="e">
        <f t="shared" ref="U20:U33" si="32">T20-Q20</f>
        <v>#NUM!</v>
      </c>
    </row>
    <row r="21" spans="1:21">
      <c r="A21" s="42">
        <v>0.09</v>
      </c>
      <c r="B21" s="142">
        <f t="shared" si="0"/>
        <v>-20.915149811213503</v>
      </c>
      <c r="C21" s="144"/>
      <c r="D21" s="145"/>
      <c r="E21" s="145">
        <f t="shared" si="27"/>
        <v>0</v>
      </c>
      <c r="F21" s="43" t="e">
        <f t="shared" si="2"/>
        <v>#NUM!</v>
      </c>
      <c r="G21" s="42">
        <f t="shared" si="28"/>
        <v>0</v>
      </c>
      <c r="H21" s="43" t="e">
        <f t="shared" si="26"/>
        <v>#NUM!</v>
      </c>
      <c r="I21" s="149"/>
      <c r="J21" s="149" t="e">
        <f t="shared" si="29"/>
        <v>#NUM!</v>
      </c>
      <c r="L21" s="42">
        <v>0.09</v>
      </c>
      <c r="M21" s="142">
        <f t="shared" si="6"/>
        <v>-20.915149811213503</v>
      </c>
      <c r="N21" s="144"/>
      <c r="O21" s="145"/>
      <c r="P21" s="145">
        <f t="shared" si="30"/>
        <v>0</v>
      </c>
      <c r="Q21" s="43" t="e">
        <f t="shared" si="7"/>
        <v>#NUM!</v>
      </c>
      <c r="R21" s="42">
        <f t="shared" si="31"/>
        <v>0</v>
      </c>
      <c r="S21" s="43" t="e">
        <f t="shared" si="9"/>
        <v>#NUM!</v>
      </c>
      <c r="T21" s="149"/>
      <c r="U21" s="149" t="e">
        <f t="shared" si="32"/>
        <v>#NUM!</v>
      </c>
    </row>
    <row r="22" spans="1:21">
      <c r="A22" s="42">
        <v>0.1</v>
      </c>
      <c r="B22" s="142">
        <f t="shared" si="0"/>
        <v>-20</v>
      </c>
      <c r="C22" s="144"/>
      <c r="D22" s="145"/>
      <c r="E22" s="145">
        <f t="shared" si="27"/>
        <v>0</v>
      </c>
      <c r="F22" s="43" t="e">
        <f t="shared" si="2"/>
        <v>#NUM!</v>
      </c>
      <c r="G22" s="42">
        <f t="shared" si="28"/>
        <v>0</v>
      </c>
      <c r="H22" s="43" t="e">
        <f t="shared" si="26"/>
        <v>#NUM!</v>
      </c>
      <c r="I22" s="149"/>
      <c r="J22" s="149" t="e">
        <f t="shared" si="29"/>
        <v>#NUM!</v>
      </c>
      <c r="L22" s="42">
        <v>0.1</v>
      </c>
      <c r="M22" s="142">
        <f t="shared" si="6"/>
        <v>-20</v>
      </c>
      <c r="N22" s="144"/>
      <c r="O22" s="145"/>
      <c r="P22" s="145">
        <f t="shared" si="30"/>
        <v>0</v>
      </c>
      <c r="Q22" s="43" t="e">
        <f t="shared" si="7"/>
        <v>#NUM!</v>
      </c>
      <c r="R22" s="42">
        <f t="shared" si="31"/>
        <v>0</v>
      </c>
      <c r="S22" s="43" t="e">
        <f t="shared" si="9"/>
        <v>#NUM!</v>
      </c>
      <c r="T22" s="149"/>
      <c r="U22" s="149" t="e">
        <f t="shared" si="32"/>
        <v>#NUM!</v>
      </c>
    </row>
    <row r="23" spans="1:21">
      <c r="A23" s="153">
        <v>0.2</v>
      </c>
      <c r="B23" s="142">
        <f t="shared" si="0"/>
        <v>-13.979400086720375</v>
      </c>
      <c r="C23" s="144"/>
      <c r="D23" s="145"/>
      <c r="E23" s="145">
        <f t="shared" si="27"/>
        <v>0</v>
      </c>
      <c r="F23" s="43" t="e">
        <f t="shared" si="2"/>
        <v>#NUM!</v>
      </c>
      <c r="G23" s="42">
        <f t="shared" si="28"/>
        <v>0</v>
      </c>
      <c r="H23" s="43" t="e">
        <f t="shared" si="26"/>
        <v>#NUM!</v>
      </c>
      <c r="I23" s="149"/>
      <c r="J23" s="149" t="e">
        <f t="shared" si="29"/>
        <v>#NUM!</v>
      </c>
      <c r="L23" s="153">
        <v>0.2</v>
      </c>
      <c r="M23" s="142">
        <f t="shared" si="6"/>
        <v>-13.979400086720375</v>
      </c>
      <c r="N23" s="144"/>
      <c r="O23" s="145"/>
      <c r="P23" s="145">
        <f t="shared" si="30"/>
        <v>0</v>
      </c>
      <c r="Q23" s="43" t="e">
        <f t="shared" si="7"/>
        <v>#NUM!</v>
      </c>
      <c r="R23" s="42">
        <f t="shared" si="31"/>
        <v>0</v>
      </c>
      <c r="S23" s="43" t="e">
        <f t="shared" si="9"/>
        <v>#NUM!</v>
      </c>
      <c r="T23" s="149"/>
      <c r="U23" s="149" t="e">
        <f t="shared" si="32"/>
        <v>#NUM!</v>
      </c>
    </row>
    <row r="24" spans="1:21">
      <c r="A24" s="42">
        <v>0.3</v>
      </c>
      <c r="B24" s="142">
        <f t="shared" si="0"/>
        <v>-10.457574905606752</v>
      </c>
      <c r="C24" s="144"/>
      <c r="D24" s="145"/>
      <c r="E24" s="145">
        <f t="shared" si="27"/>
        <v>0</v>
      </c>
      <c r="F24" s="43" t="e">
        <f t="shared" si="2"/>
        <v>#NUM!</v>
      </c>
      <c r="G24" s="42">
        <f t="shared" si="28"/>
        <v>0</v>
      </c>
      <c r="H24" s="43" t="e">
        <f t="shared" si="26"/>
        <v>#NUM!</v>
      </c>
      <c r="I24" s="149"/>
      <c r="J24" s="149" t="e">
        <f t="shared" si="29"/>
        <v>#NUM!</v>
      </c>
      <c r="L24" s="42">
        <v>0.3</v>
      </c>
      <c r="M24" s="142">
        <f t="shared" si="6"/>
        <v>-10.457574905606752</v>
      </c>
      <c r="N24" s="144"/>
      <c r="O24" s="145"/>
      <c r="P24" s="145">
        <f t="shared" si="30"/>
        <v>0</v>
      </c>
      <c r="Q24" s="43" t="e">
        <f t="shared" si="7"/>
        <v>#NUM!</v>
      </c>
      <c r="R24" s="42">
        <f t="shared" si="31"/>
        <v>0</v>
      </c>
      <c r="S24" s="43" t="e">
        <f t="shared" si="9"/>
        <v>#NUM!</v>
      </c>
      <c r="T24" s="149"/>
      <c r="U24" s="149" t="e">
        <f t="shared" si="32"/>
        <v>#NUM!</v>
      </c>
    </row>
    <row r="25" spans="1:21">
      <c r="A25" s="153">
        <v>0.4</v>
      </c>
      <c r="B25" s="142">
        <f t="shared" si="0"/>
        <v>-7.9588001734407516</v>
      </c>
      <c r="C25" s="144"/>
      <c r="D25" s="145"/>
      <c r="E25" s="145">
        <f t="shared" si="27"/>
        <v>0</v>
      </c>
      <c r="F25" s="43" t="e">
        <f t="shared" si="2"/>
        <v>#NUM!</v>
      </c>
      <c r="G25" s="42">
        <f t="shared" si="28"/>
        <v>0</v>
      </c>
      <c r="H25" s="43" t="e">
        <f t="shared" si="26"/>
        <v>#NUM!</v>
      </c>
      <c r="I25" s="149"/>
      <c r="J25" s="149" t="e">
        <f t="shared" si="29"/>
        <v>#NUM!</v>
      </c>
      <c r="L25" s="153">
        <v>0.4</v>
      </c>
      <c r="M25" s="142">
        <f t="shared" si="6"/>
        <v>-7.9588001734407516</v>
      </c>
      <c r="N25" s="144"/>
      <c r="O25" s="145"/>
      <c r="P25" s="145">
        <f t="shared" si="30"/>
        <v>0</v>
      </c>
      <c r="Q25" s="43" t="e">
        <f t="shared" si="7"/>
        <v>#NUM!</v>
      </c>
      <c r="R25" s="42">
        <f t="shared" si="31"/>
        <v>0</v>
      </c>
      <c r="S25" s="43" t="e">
        <f t="shared" si="9"/>
        <v>#NUM!</v>
      </c>
      <c r="T25" s="149"/>
      <c r="U25" s="149" t="e">
        <f t="shared" si="32"/>
        <v>#NUM!</v>
      </c>
    </row>
    <row r="26" spans="1:21">
      <c r="A26" s="42">
        <v>0.5</v>
      </c>
      <c r="B26" s="142">
        <f t="shared" si="0"/>
        <v>-6.0205999132796242</v>
      </c>
      <c r="C26" s="144"/>
      <c r="D26" s="145"/>
      <c r="E26" s="145">
        <f t="shared" si="27"/>
        <v>0</v>
      </c>
      <c r="F26" s="43" t="e">
        <f t="shared" si="2"/>
        <v>#NUM!</v>
      </c>
      <c r="G26" s="42">
        <f t="shared" si="28"/>
        <v>0</v>
      </c>
      <c r="H26" s="43" t="e">
        <f t="shared" si="26"/>
        <v>#NUM!</v>
      </c>
      <c r="I26" s="149"/>
      <c r="J26" s="149" t="e">
        <f t="shared" si="29"/>
        <v>#NUM!</v>
      </c>
      <c r="L26" s="42">
        <v>0.5</v>
      </c>
      <c r="M26" s="142">
        <f t="shared" si="6"/>
        <v>-6.0205999132796242</v>
      </c>
      <c r="N26" s="144"/>
      <c r="O26" s="145"/>
      <c r="P26" s="145">
        <f t="shared" si="30"/>
        <v>0</v>
      </c>
      <c r="Q26" s="43" t="e">
        <f t="shared" si="7"/>
        <v>#NUM!</v>
      </c>
      <c r="R26" s="42">
        <f t="shared" si="31"/>
        <v>0</v>
      </c>
      <c r="S26" s="43" t="e">
        <f t="shared" si="9"/>
        <v>#NUM!</v>
      </c>
      <c r="T26" s="149"/>
      <c r="U26" s="149" t="e">
        <f t="shared" si="32"/>
        <v>#NUM!</v>
      </c>
    </row>
    <row r="27" spans="1:21">
      <c r="A27" s="153">
        <v>0.6</v>
      </c>
      <c r="B27" s="142">
        <f t="shared" si="0"/>
        <v>-4.4369749923271282</v>
      </c>
      <c r="C27" s="144"/>
      <c r="D27" s="145"/>
      <c r="E27" s="145">
        <f t="shared" si="27"/>
        <v>0</v>
      </c>
      <c r="F27" s="43" t="e">
        <f t="shared" si="2"/>
        <v>#NUM!</v>
      </c>
      <c r="G27" s="42">
        <f t="shared" si="28"/>
        <v>0</v>
      </c>
      <c r="H27" s="43" t="e">
        <f t="shared" si="26"/>
        <v>#NUM!</v>
      </c>
      <c r="I27" s="149"/>
      <c r="J27" s="149" t="e">
        <f t="shared" si="29"/>
        <v>#NUM!</v>
      </c>
      <c r="L27" s="153">
        <v>0.6</v>
      </c>
      <c r="M27" s="142">
        <f t="shared" si="6"/>
        <v>-4.4369749923271282</v>
      </c>
      <c r="N27" s="144"/>
      <c r="O27" s="145"/>
      <c r="P27" s="145">
        <f t="shared" si="30"/>
        <v>0</v>
      </c>
      <c r="Q27" s="43" t="e">
        <f t="shared" si="7"/>
        <v>#NUM!</v>
      </c>
      <c r="R27" s="42">
        <f t="shared" si="31"/>
        <v>0</v>
      </c>
      <c r="S27" s="43" t="e">
        <f t="shared" si="9"/>
        <v>#NUM!</v>
      </c>
      <c r="T27" s="149"/>
      <c r="U27" s="149" t="e">
        <f t="shared" si="32"/>
        <v>#NUM!</v>
      </c>
    </row>
    <row r="28" spans="1:21">
      <c r="A28" s="42">
        <v>0.7</v>
      </c>
      <c r="B28" s="142">
        <f t="shared" si="0"/>
        <v>-3.0980391997148637</v>
      </c>
      <c r="C28" s="144"/>
      <c r="D28" s="145"/>
      <c r="E28" s="145">
        <f t="shared" si="27"/>
        <v>0</v>
      </c>
      <c r="F28" s="43" t="e">
        <f t="shared" si="2"/>
        <v>#NUM!</v>
      </c>
      <c r="G28" s="42">
        <f t="shared" si="28"/>
        <v>0</v>
      </c>
      <c r="H28" s="43" t="e">
        <f t="shared" si="26"/>
        <v>#NUM!</v>
      </c>
      <c r="I28" s="149"/>
      <c r="J28" s="149" t="e">
        <f t="shared" si="29"/>
        <v>#NUM!</v>
      </c>
      <c r="L28" s="42">
        <v>0.7</v>
      </c>
      <c r="M28" s="142">
        <f t="shared" si="6"/>
        <v>-3.0980391997148637</v>
      </c>
      <c r="N28" s="144"/>
      <c r="O28" s="145"/>
      <c r="P28" s="145">
        <f t="shared" si="30"/>
        <v>0</v>
      </c>
      <c r="Q28" s="43" t="e">
        <f t="shared" si="7"/>
        <v>#NUM!</v>
      </c>
      <c r="R28" s="42">
        <f t="shared" si="31"/>
        <v>0</v>
      </c>
      <c r="S28" s="43" t="e">
        <f t="shared" si="9"/>
        <v>#NUM!</v>
      </c>
      <c r="T28" s="149"/>
      <c r="U28" s="149" t="e">
        <f t="shared" si="32"/>
        <v>#NUM!</v>
      </c>
    </row>
    <row r="29" spans="1:21">
      <c r="A29" s="153">
        <v>0.8</v>
      </c>
      <c r="B29" s="142">
        <f t="shared" si="0"/>
        <v>-1.9382002601611279</v>
      </c>
      <c r="C29" s="144"/>
      <c r="D29" s="145"/>
      <c r="E29" s="145">
        <f t="shared" si="27"/>
        <v>0</v>
      </c>
      <c r="F29" s="43" t="e">
        <f t="shared" si="2"/>
        <v>#NUM!</v>
      </c>
      <c r="G29" s="42">
        <f t="shared" si="28"/>
        <v>0</v>
      </c>
      <c r="H29" s="43" t="e">
        <f t="shared" si="26"/>
        <v>#NUM!</v>
      </c>
      <c r="I29" s="149"/>
      <c r="J29" s="149" t="e">
        <f t="shared" si="29"/>
        <v>#NUM!</v>
      </c>
      <c r="L29" s="153">
        <v>0.8</v>
      </c>
      <c r="M29" s="142">
        <f t="shared" si="6"/>
        <v>-1.9382002601611279</v>
      </c>
      <c r="N29" s="144"/>
      <c r="O29" s="145"/>
      <c r="P29" s="145">
        <f t="shared" si="30"/>
        <v>0</v>
      </c>
      <c r="Q29" s="43" t="e">
        <f t="shared" si="7"/>
        <v>#NUM!</v>
      </c>
      <c r="R29" s="42">
        <f t="shared" si="31"/>
        <v>0</v>
      </c>
      <c r="S29" s="43" t="e">
        <f t="shared" si="9"/>
        <v>#NUM!</v>
      </c>
      <c r="T29" s="149"/>
      <c r="U29" s="149" t="e">
        <f t="shared" si="32"/>
        <v>#NUM!</v>
      </c>
    </row>
    <row r="30" spans="1:21">
      <c r="A30" s="42">
        <v>0.9</v>
      </c>
      <c r="B30" s="142">
        <f t="shared" si="0"/>
        <v>-0.91514981121350236</v>
      </c>
      <c r="C30" s="144"/>
      <c r="D30" s="145"/>
      <c r="E30" s="145">
        <f t="shared" si="27"/>
        <v>0</v>
      </c>
      <c r="F30" s="43" t="e">
        <f t="shared" si="2"/>
        <v>#NUM!</v>
      </c>
      <c r="G30" s="42">
        <f t="shared" si="28"/>
        <v>0</v>
      </c>
      <c r="H30" s="43" t="e">
        <f t="shared" si="26"/>
        <v>#NUM!</v>
      </c>
      <c r="I30" s="149"/>
      <c r="J30" s="149" t="e">
        <f t="shared" si="29"/>
        <v>#NUM!</v>
      </c>
      <c r="L30" s="42">
        <v>0.9</v>
      </c>
      <c r="M30" s="142">
        <f t="shared" si="6"/>
        <v>-0.91514981121350236</v>
      </c>
      <c r="N30" s="144"/>
      <c r="O30" s="145"/>
      <c r="P30" s="145">
        <f t="shared" si="30"/>
        <v>0</v>
      </c>
      <c r="Q30" s="43" t="e">
        <f t="shared" si="7"/>
        <v>#NUM!</v>
      </c>
      <c r="R30" s="42">
        <f t="shared" si="31"/>
        <v>0</v>
      </c>
      <c r="S30" s="43" t="e">
        <f t="shared" si="9"/>
        <v>#NUM!</v>
      </c>
      <c r="T30" s="149"/>
      <c r="U30" s="149" t="e">
        <f t="shared" si="32"/>
        <v>#NUM!</v>
      </c>
    </row>
    <row r="31" spans="1:21">
      <c r="A31" s="153">
        <v>1</v>
      </c>
      <c r="B31" s="142">
        <f t="shared" si="0"/>
        <v>0</v>
      </c>
      <c r="C31" s="144"/>
      <c r="D31" s="145"/>
      <c r="E31" s="145">
        <f t="shared" si="27"/>
        <v>0</v>
      </c>
      <c r="F31" s="43" t="e">
        <f t="shared" si="2"/>
        <v>#NUM!</v>
      </c>
      <c r="G31" s="42">
        <f t="shared" si="28"/>
        <v>0</v>
      </c>
      <c r="H31" s="43" t="e">
        <f t="shared" si="26"/>
        <v>#NUM!</v>
      </c>
      <c r="I31" s="149"/>
      <c r="J31" s="149" t="e">
        <f t="shared" si="29"/>
        <v>#NUM!</v>
      </c>
      <c r="L31" s="153">
        <v>1</v>
      </c>
      <c r="M31" s="142">
        <f t="shared" si="6"/>
        <v>0</v>
      </c>
      <c r="N31" s="144"/>
      <c r="O31" s="145"/>
      <c r="P31" s="145">
        <f t="shared" si="30"/>
        <v>0</v>
      </c>
      <c r="Q31" s="43" t="e">
        <f t="shared" si="7"/>
        <v>#NUM!</v>
      </c>
      <c r="R31" s="42">
        <f t="shared" si="31"/>
        <v>0</v>
      </c>
      <c r="S31" s="43" t="e">
        <f t="shared" si="9"/>
        <v>#NUM!</v>
      </c>
      <c r="T31" s="149"/>
      <c r="U31" s="149" t="e">
        <f t="shared" si="32"/>
        <v>#NUM!</v>
      </c>
    </row>
    <row r="32" spans="1:21" ht="15.75" thickBot="1">
      <c r="A32" s="153">
        <v>2</v>
      </c>
      <c r="B32" s="142">
        <f t="shared" si="0"/>
        <v>6.0205999132796242</v>
      </c>
      <c r="C32" s="144"/>
      <c r="D32" s="145"/>
      <c r="E32" s="145">
        <f t="shared" si="27"/>
        <v>0</v>
      </c>
      <c r="F32" s="43" t="e">
        <f t="shared" si="2"/>
        <v>#NUM!</v>
      </c>
      <c r="G32" s="42">
        <f t="shared" si="28"/>
        <v>0</v>
      </c>
      <c r="H32" s="43" t="e">
        <f t="shared" si="26"/>
        <v>#NUM!</v>
      </c>
      <c r="I32" s="149"/>
      <c r="J32" s="149" t="e">
        <f t="shared" si="29"/>
        <v>#NUM!</v>
      </c>
      <c r="L32" s="153">
        <v>2</v>
      </c>
      <c r="M32" s="142">
        <f t="shared" si="6"/>
        <v>6.0205999132796242</v>
      </c>
      <c r="N32" s="144"/>
      <c r="O32" s="145"/>
      <c r="P32" s="145">
        <f t="shared" si="30"/>
        <v>0</v>
      </c>
      <c r="Q32" s="43" t="e">
        <f t="shared" si="7"/>
        <v>#NUM!</v>
      </c>
      <c r="R32" s="42">
        <f t="shared" si="31"/>
        <v>0</v>
      </c>
      <c r="S32" s="43" t="e">
        <f t="shared" si="9"/>
        <v>#NUM!</v>
      </c>
      <c r="T32" s="149"/>
      <c r="U32" s="149" t="e">
        <f t="shared" si="32"/>
        <v>#NUM!</v>
      </c>
    </row>
    <row r="33" spans="1:21" ht="16.5" thickBot="1">
      <c r="A33" s="157">
        <v>3</v>
      </c>
      <c r="B33" s="143">
        <f t="shared" si="0"/>
        <v>9.5424250943932485</v>
      </c>
      <c r="C33" s="147"/>
      <c r="D33" s="45"/>
      <c r="E33" s="45">
        <f t="shared" si="27"/>
        <v>0</v>
      </c>
      <c r="F33" s="46" t="e">
        <f t="shared" si="2"/>
        <v>#NUM!</v>
      </c>
      <c r="G33" s="44">
        <f t="shared" si="28"/>
        <v>0</v>
      </c>
      <c r="H33" s="46" t="e">
        <f t="shared" si="26"/>
        <v>#NUM!</v>
      </c>
      <c r="I33" s="150"/>
      <c r="J33" s="150" t="e">
        <f t="shared" si="29"/>
        <v>#NUM!</v>
      </c>
      <c r="L33" s="212">
        <v>3</v>
      </c>
      <c r="M33" s="213">
        <f t="shared" si="6"/>
        <v>9.5424250943932485</v>
      </c>
      <c r="N33" s="212"/>
      <c r="O33" s="214"/>
      <c r="P33" s="214">
        <f t="shared" si="30"/>
        <v>0</v>
      </c>
      <c r="Q33" s="213" t="e">
        <f t="shared" si="7"/>
        <v>#NUM!</v>
      </c>
      <c r="R33" s="212">
        <f t="shared" si="31"/>
        <v>0</v>
      </c>
      <c r="S33" s="213" t="e">
        <f t="shared" si="9"/>
        <v>#NUM!</v>
      </c>
      <c r="T33" s="175">
        <f t="shared" ref="T20:T33" si="33">1.0004*M33+16.945</f>
        <v>26.491242064431006</v>
      </c>
      <c r="U33" s="175" t="e">
        <f t="shared" si="32"/>
        <v>#NUM!</v>
      </c>
    </row>
    <row r="34" spans="1:21" ht="21.75" thickBot="1">
      <c r="A34" s="211" t="s">
        <v>179</v>
      </c>
      <c r="B34" s="211"/>
      <c r="C34" s="211"/>
      <c r="D34" s="211"/>
      <c r="E34" s="211"/>
      <c r="F34" s="211"/>
      <c r="G34" s="155">
        <f>AVERAGE(G4:G19)</f>
        <v>0.75312500000000027</v>
      </c>
      <c r="H34" s="155" t="e">
        <f>AVERAGE(H4:H19)</f>
        <v>#NUM!</v>
      </c>
      <c r="I34" s="154" t="s">
        <v>164</v>
      </c>
      <c r="J34" s="156"/>
      <c r="L34" s="211" t="s">
        <v>179</v>
      </c>
      <c r="M34" s="211"/>
      <c r="N34" s="211"/>
      <c r="O34" s="211"/>
      <c r="P34" s="211"/>
      <c r="Q34" s="211"/>
      <c r="R34" s="155">
        <f>AVERAGE(R4:R19)</f>
        <v>0</v>
      </c>
      <c r="S34" s="155" t="e">
        <f>AVERAGE(S4:S19)</f>
        <v>#NUM!</v>
      </c>
      <c r="T34" s="154" t="s">
        <v>164</v>
      </c>
      <c r="U34" s="156"/>
    </row>
  </sheetData>
  <mergeCells count="17">
    <mergeCell ref="T2:T3"/>
    <mergeCell ref="U2:U3"/>
    <mergeCell ref="L1:U1"/>
    <mergeCell ref="A2:B2"/>
    <mergeCell ref="G2:H2"/>
    <mergeCell ref="I2:I3"/>
    <mergeCell ref="A1:J1"/>
    <mergeCell ref="J2:J3"/>
    <mergeCell ref="C2:F2"/>
    <mergeCell ref="L2:M2"/>
    <mergeCell ref="N2:Q2"/>
    <mergeCell ref="R2:S2"/>
    <mergeCell ref="A34:F34"/>
    <mergeCell ref="L34:Q34"/>
    <mergeCell ref="L33:M33"/>
    <mergeCell ref="N33:Q33"/>
    <mergeCell ref="R33:S33"/>
  </mergeCells>
  <conditionalFormatting sqref="J4:J33 U4:U32">
    <cfRule type="cellIs" dxfId="1" priority="1" operator="greater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262D-0A5D-4BAD-BF95-983AEB3A0F38}">
  <dimension ref="A1:M34"/>
  <sheetViews>
    <sheetView topLeftCell="G1" zoomScaleNormal="100" workbookViewId="0">
      <selection activeCell="X24" sqref="X24"/>
    </sheetView>
  </sheetViews>
  <sheetFormatPr defaultColWidth="9.140625" defaultRowHeight="15" customHeight="1"/>
  <cols>
    <col min="1" max="2" width="12.28515625" customWidth="1"/>
    <col min="3" max="3" width="10.85546875" bestFit="1" customWidth="1"/>
    <col min="4" max="6" width="10.85546875" customWidth="1"/>
    <col min="7" max="7" width="9.28515625" bestFit="1" customWidth="1"/>
    <col min="8" max="8" width="10.28515625" bestFit="1" customWidth="1"/>
    <col min="9" max="11" width="10.28515625" customWidth="1"/>
    <col min="12" max="12" width="10.28515625" bestFit="1" customWidth="1"/>
    <col min="13" max="13" width="9.85546875" bestFit="1" customWidth="1"/>
    <col min="14" max="14" width="19.85546875" bestFit="1" customWidth="1"/>
    <col min="15" max="15" width="21" bestFit="1" customWidth="1"/>
    <col min="23" max="23" width="8.85546875" customWidth="1"/>
  </cols>
  <sheetData>
    <row r="1" spans="1:13" s="2" customFormat="1">
      <c r="A1" s="206" t="s">
        <v>144</v>
      </c>
      <c r="B1" s="220" t="s">
        <v>180</v>
      </c>
      <c r="C1" s="218" t="s">
        <v>181</v>
      </c>
      <c r="D1" s="218"/>
      <c r="E1" s="218"/>
      <c r="F1" s="218"/>
      <c r="G1" s="219"/>
      <c r="H1" s="219"/>
      <c r="I1" s="219"/>
      <c r="J1" s="219"/>
      <c r="K1" s="219"/>
      <c r="L1" s="219"/>
    </row>
    <row r="2" spans="1:13" s="2" customFormat="1" ht="29.25">
      <c r="A2" s="206"/>
      <c r="B2" s="221"/>
      <c r="C2" s="176" t="s">
        <v>182</v>
      </c>
      <c r="D2" s="133" t="s">
        <v>183</v>
      </c>
      <c r="E2" s="133" t="s">
        <v>184</v>
      </c>
      <c r="F2" s="133" t="s">
        <v>185</v>
      </c>
      <c r="G2" s="177" t="s">
        <v>147</v>
      </c>
      <c r="H2" s="128" t="s">
        <v>186</v>
      </c>
      <c r="I2" s="128" t="s">
        <v>187</v>
      </c>
      <c r="J2" s="128" t="s">
        <v>184</v>
      </c>
      <c r="K2" s="128" t="s">
        <v>185</v>
      </c>
      <c r="L2" s="177" t="s">
        <v>188</v>
      </c>
    </row>
    <row r="3" spans="1:13">
      <c r="A3" s="129">
        <v>1E-4</v>
      </c>
      <c r="B3" s="135">
        <f t="shared" ref="B3:B29" si="0">20*LOG10(A3)</f>
        <v>-80</v>
      </c>
      <c r="C3" s="136">
        <v>7.2499999999999995E-4</v>
      </c>
      <c r="D3" s="126">
        <f t="shared" ref="D3:D29" si="1">20*LOG10(C3)</f>
        <v>-62.79323986858013</v>
      </c>
      <c r="E3" s="126">
        <f t="shared" ref="E3:E29" si="2">1.0267*B3+18.977</f>
        <v>-63.158999999999992</v>
      </c>
      <c r="F3" s="126">
        <f>D3-E3</f>
        <v>0.36576013141986152</v>
      </c>
      <c r="G3" s="126">
        <f t="shared" ref="G3:G29" si="3">C3/A3</f>
        <v>7.2499999999999991</v>
      </c>
      <c r="H3" s="126">
        <v>1.3799999999999999E-3</v>
      </c>
      <c r="I3" s="126">
        <f>20*LOG10(H3)</f>
        <v>-57.202418271975269</v>
      </c>
      <c r="J3" s="126">
        <f t="shared" ref="J3:J21" si="4">0.9988*D3+5.6618</f>
        <v>-57.056087980737836</v>
      </c>
      <c r="K3" s="126">
        <f>I3-J3</f>
        <v>-0.14633029123743313</v>
      </c>
      <c r="L3" s="126">
        <f>H3/C3</f>
        <v>1.903448275862069</v>
      </c>
      <c r="M3" s="132"/>
    </row>
    <row r="4" spans="1:13">
      <c r="A4" s="126">
        <v>2.0000000000000001E-4</v>
      </c>
      <c r="B4" s="134">
        <f t="shared" si="0"/>
        <v>-73.979400086720375</v>
      </c>
      <c r="C4" s="126">
        <v>1.41E-3</v>
      </c>
      <c r="D4" s="126">
        <f t="shared" si="1"/>
        <v>-57.015617746892396</v>
      </c>
      <c r="E4" s="126">
        <f>1.0267*B4+18.977</f>
        <v>-56.977650069035803</v>
      </c>
      <c r="F4" s="126">
        <f t="shared" ref="F4:F29" si="5">D4-E4</f>
        <v>-3.7967677856592275E-2</v>
      </c>
      <c r="G4" s="126">
        <f t="shared" si="3"/>
        <v>7.05</v>
      </c>
      <c r="H4" s="126">
        <v>2.7299999999999998E-3</v>
      </c>
      <c r="I4" s="126">
        <f>20*LOG10(H4)</f>
        <v>-51.276747059184878</v>
      </c>
      <c r="J4" s="126">
        <f t="shared" si="4"/>
        <v>-51.285399005596126</v>
      </c>
      <c r="K4" s="126">
        <f>I4-J4</f>
        <v>8.6519464112484457E-3</v>
      </c>
      <c r="L4" s="126">
        <f>H4/C4</f>
        <v>1.9361702127659572</v>
      </c>
      <c r="M4" s="132"/>
    </row>
    <row r="5" spans="1:13">
      <c r="A5" s="126">
        <v>2.9999999999999997E-4</v>
      </c>
      <c r="B5" s="134">
        <f t="shared" si="0"/>
        <v>-70.457574905606748</v>
      </c>
      <c r="C5" s="126">
        <v>2.2300000000000002E-3</v>
      </c>
      <c r="D5" s="126">
        <f>20*LOG10(C5)</f>
        <v>-53.03390273903679</v>
      </c>
      <c r="E5" s="126">
        <f t="shared" si="2"/>
        <v>-53.361792155586443</v>
      </c>
      <c r="F5" s="126">
        <f t="shared" si="5"/>
        <v>0.32788941654965242</v>
      </c>
      <c r="G5" s="126">
        <f t="shared" si="3"/>
        <v>7.4333333333333345</v>
      </c>
      <c r="H5" s="126">
        <v>4.3E-3</v>
      </c>
      <c r="I5" s="126">
        <f>20*LOG10(H5)</f>
        <v>-47.330630888408265</v>
      </c>
      <c r="J5" s="126">
        <f t="shared" si="4"/>
        <v>-47.308462055749949</v>
      </c>
      <c r="K5" s="126">
        <f>I5-J5</f>
        <v>-2.2168832658316262E-2</v>
      </c>
      <c r="L5" s="126">
        <f>H5/C5</f>
        <v>1.928251121076233</v>
      </c>
      <c r="M5" s="132"/>
    </row>
    <row r="6" spans="1:13">
      <c r="A6" s="126">
        <v>1E-3</v>
      </c>
      <c r="B6" s="134">
        <f t="shared" si="0"/>
        <v>-60</v>
      </c>
      <c r="C6" s="126">
        <v>7.1799999999999998E-3</v>
      </c>
      <c r="D6" s="126">
        <f t="shared" si="1"/>
        <v>-42.877511115153993</v>
      </c>
      <c r="E6" s="126">
        <f t="shared" si="2"/>
        <v>-42.625</v>
      </c>
      <c r="F6" s="126">
        <f t="shared" si="5"/>
        <v>-0.25251111515399316</v>
      </c>
      <c r="G6" s="126">
        <f t="shared" si="3"/>
        <v>7.18</v>
      </c>
      <c r="H6" s="126">
        <v>1.3899999999999999E-2</v>
      </c>
      <c r="I6" s="126">
        <f>20*LOG10(H6)</f>
        <v>-37.139703994918101</v>
      </c>
      <c r="J6" s="126">
        <f t="shared" si="4"/>
        <v>-37.164258101815811</v>
      </c>
      <c r="K6" s="126">
        <f>I6-J6</f>
        <v>2.4554106897710426E-2</v>
      </c>
      <c r="L6" s="126">
        <f>H6/C6</f>
        <v>1.9359331476323118</v>
      </c>
      <c r="M6" s="132"/>
    </row>
    <row r="7" spans="1:13">
      <c r="A7">
        <v>2E-3</v>
      </c>
      <c r="B7" s="134">
        <f t="shared" si="0"/>
        <v>-53.979400086720375</v>
      </c>
      <c r="C7">
        <v>1.44E-2</v>
      </c>
      <c r="D7" s="126">
        <f t="shared" si="1"/>
        <v>-36.83275015809501</v>
      </c>
      <c r="E7" s="126">
        <f t="shared" si="2"/>
        <v>-36.443650069035812</v>
      </c>
      <c r="F7" s="126">
        <f t="shared" si="5"/>
        <v>-0.38910008905919824</v>
      </c>
      <c r="G7" s="126">
        <f t="shared" si="3"/>
        <v>7.1999999999999993</v>
      </c>
      <c r="H7">
        <v>2.8299999999999999E-2</v>
      </c>
      <c r="I7" s="126">
        <f>20*LOG10(H7)</f>
        <v>-30.964271289514194</v>
      </c>
      <c r="J7" s="126">
        <f t="shared" si="4"/>
        <v>-31.1267508579053</v>
      </c>
      <c r="K7" s="126">
        <f>I7-J7</f>
        <v>0.162479568391106</v>
      </c>
      <c r="L7" s="126">
        <f>H7/C7</f>
        <v>1.9652777777777777</v>
      </c>
      <c r="M7" s="132"/>
    </row>
    <row r="8" spans="1:13">
      <c r="A8" s="126">
        <v>3.0000000000000001E-3</v>
      </c>
      <c r="B8" s="134">
        <f t="shared" si="0"/>
        <v>-50.457574905606748</v>
      </c>
      <c r="C8">
        <v>2.1999999999999999E-2</v>
      </c>
      <c r="D8" s="126">
        <f t="shared" si="1"/>
        <v>-33.151546383555875</v>
      </c>
      <c r="E8" s="126">
        <f t="shared" si="2"/>
        <v>-32.827792155586451</v>
      </c>
      <c r="F8" s="126">
        <f t="shared" si="5"/>
        <v>-0.32375422796942388</v>
      </c>
      <c r="G8" s="126">
        <f t="shared" si="3"/>
        <v>7.333333333333333</v>
      </c>
      <c r="H8">
        <v>4.2700000000000002E-2</v>
      </c>
      <c r="I8" s="126">
        <f>20*LOG10(H8)</f>
        <v>-27.391442499499522</v>
      </c>
      <c r="J8" s="126">
        <f t="shared" si="4"/>
        <v>-27.449964527895609</v>
      </c>
      <c r="K8" s="126">
        <f>I8-J8</f>
        <v>5.8522028396087222E-2</v>
      </c>
      <c r="L8" s="126">
        <f>H8/C8</f>
        <v>1.9409090909090911</v>
      </c>
      <c r="M8" s="132"/>
    </row>
    <row r="9" spans="1:13">
      <c r="A9">
        <v>4.0000000000000001E-3</v>
      </c>
      <c r="B9" s="134">
        <f t="shared" si="0"/>
        <v>-47.95880017344075</v>
      </c>
      <c r="C9">
        <v>2.87E-2</v>
      </c>
      <c r="D9" s="126">
        <f t="shared" si="1"/>
        <v>-30.842362065320152</v>
      </c>
      <c r="E9" s="126">
        <f t="shared" si="2"/>
        <v>-30.262300138071613</v>
      </c>
      <c r="F9" s="126">
        <f t="shared" si="5"/>
        <v>-0.58006192724853989</v>
      </c>
      <c r="G9" s="126">
        <f t="shared" si="3"/>
        <v>7.1749999999999998</v>
      </c>
      <c r="H9">
        <v>5.4899999999999997E-2</v>
      </c>
      <c r="I9" s="126">
        <f>20*LOG10(H9)</f>
        <v>-25.20855311099816</v>
      </c>
      <c r="J9" s="126">
        <f t="shared" si="4"/>
        <v>-25.143551230841769</v>
      </c>
      <c r="K9" s="126">
        <f>I9-J9</f>
        <v>-6.5001880156390968E-2</v>
      </c>
      <c r="L9" s="126">
        <f>H9/C9</f>
        <v>1.9128919860627176</v>
      </c>
      <c r="M9" s="132"/>
    </row>
    <row r="10" spans="1:13">
      <c r="A10" s="126">
        <v>5.0000000000000001E-3</v>
      </c>
      <c r="B10" s="134">
        <f t="shared" si="0"/>
        <v>-46.020599913279625</v>
      </c>
      <c r="C10" s="126">
        <v>3.5999999999999997E-2</v>
      </c>
      <c r="D10" s="126">
        <f t="shared" si="1"/>
        <v>-28.873949984654253</v>
      </c>
      <c r="E10" s="126">
        <f t="shared" si="2"/>
        <v>-28.272349930964186</v>
      </c>
      <c r="F10" s="126">
        <f t="shared" si="5"/>
        <v>-0.60160005369006697</v>
      </c>
      <c r="G10" s="126">
        <f t="shared" si="3"/>
        <v>7.1999999999999993</v>
      </c>
      <c r="H10" s="126">
        <v>7.0800000000000002E-2</v>
      </c>
      <c r="I10" s="126">
        <f>20*LOG10(H10)</f>
        <v>-22.999334846204619</v>
      </c>
      <c r="J10" s="126">
        <f t="shared" si="4"/>
        <v>-23.177501244672669</v>
      </c>
      <c r="K10" s="126">
        <f>I10-J10</f>
        <v>0.1781663984680506</v>
      </c>
      <c r="L10" s="126">
        <f>H10/C10</f>
        <v>1.9666666666666668</v>
      </c>
      <c r="M10" s="132"/>
    </row>
    <row r="11" spans="1:13">
      <c r="A11" s="126">
        <v>0.01</v>
      </c>
      <c r="B11" s="134">
        <f t="shared" si="0"/>
        <v>-40</v>
      </c>
      <c r="C11" s="126">
        <v>7.51E-2</v>
      </c>
      <c r="D11" s="126">
        <f t="shared" si="1"/>
        <v>-22.487201259916635</v>
      </c>
      <c r="E11" s="126">
        <f t="shared" si="2"/>
        <v>-22.090999999999998</v>
      </c>
      <c r="F11" s="126">
        <f t="shared" si="5"/>
        <v>-0.39620125991663713</v>
      </c>
      <c r="G11" s="126">
        <f t="shared" si="3"/>
        <v>7.51</v>
      </c>
      <c r="H11" s="126">
        <v>0.14599999999999999</v>
      </c>
      <c r="I11" s="126">
        <f>20*LOG10(H11)</f>
        <v>-16.712942884311261</v>
      </c>
      <c r="J11" s="126">
        <f t="shared" si="4"/>
        <v>-16.798416618404737</v>
      </c>
      <c r="K11" s="126">
        <f>I11-J11</f>
        <v>8.5473734093476139E-2</v>
      </c>
      <c r="L11" s="126">
        <f>H11/C11</f>
        <v>1.944074567243675</v>
      </c>
      <c r="M11" s="132"/>
    </row>
    <row r="12" spans="1:13">
      <c r="A12" s="126">
        <v>0.02</v>
      </c>
      <c r="B12" s="134">
        <f t="shared" si="0"/>
        <v>-33.979400086720375</v>
      </c>
      <c r="C12" s="126">
        <v>0.155</v>
      </c>
      <c r="D12" s="126">
        <f t="shared" si="1"/>
        <v>-16.193366036594171</v>
      </c>
      <c r="E12" s="126">
        <f t="shared" si="2"/>
        <v>-15.909650069035809</v>
      </c>
      <c r="F12" s="126">
        <f t="shared" si="5"/>
        <v>-0.28371596755836137</v>
      </c>
      <c r="G12" s="126">
        <f t="shared" si="3"/>
        <v>7.75</v>
      </c>
      <c r="H12" s="126">
        <v>0.28799999999999998</v>
      </c>
      <c r="I12" s="126">
        <f>20*LOG10(H12)</f>
        <v>-10.812150244815385</v>
      </c>
      <c r="J12" s="126">
        <f t="shared" si="4"/>
        <v>-10.512133997350258</v>
      </c>
      <c r="K12" s="126">
        <f>I12-J12</f>
        <v>-0.3000162474651269</v>
      </c>
      <c r="L12" s="126">
        <f>H12/C12</f>
        <v>1.8580645161290321</v>
      </c>
      <c r="M12" s="132"/>
    </row>
    <row r="13" spans="1:13">
      <c r="A13" s="126">
        <v>0.03</v>
      </c>
      <c r="B13" s="134">
        <f t="shared" si="0"/>
        <v>-30.457574905606752</v>
      </c>
      <c r="C13" s="126">
        <v>0.24399999999999999</v>
      </c>
      <c r="D13" s="126">
        <f t="shared" si="1"/>
        <v>-12.252203473225411</v>
      </c>
      <c r="E13" s="126">
        <f t="shared" si="2"/>
        <v>-12.293792155586448</v>
      </c>
      <c r="F13" s="126">
        <f t="shared" si="5"/>
        <v>4.1588682361037854E-2</v>
      </c>
      <c r="G13" s="126">
        <f>C13/A13</f>
        <v>8.1333333333333329</v>
      </c>
      <c r="H13" s="126">
        <v>0.439</v>
      </c>
      <c r="I13" s="126">
        <f>20*LOG10(H13)</f>
        <v>-7.150709595157573</v>
      </c>
      <c r="J13" s="126">
        <f t="shared" si="4"/>
        <v>-6.5757008290575394</v>
      </c>
      <c r="K13" s="138">
        <f>I13-J13</f>
        <v>-0.5750087661000336</v>
      </c>
      <c r="L13" s="126">
        <f>H13/C13</f>
        <v>1.7991803278688525</v>
      </c>
      <c r="M13" s="132"/>
    </row>
    <row r="14" spans="1:13">
      <c r="A14" s="126">
        <v>0.04</v>
      </c>
      <c r="B14" s="134">
        <f t="shared" si="0"/>
        <v>-27.95880017344075</v>
      </c>
      <c r="C14" s="126">
        <v>0.33</v>
      </c>
      <c r="D14" s="126">
        <f t="shared" si="1"/>
        <v>-9.6297212024422496</v>
      </c>
      <c r="E14" s="126">
        <f t="shared" si="2"/>
        <v>-9.7283001380716172</v>
      </c>
      <c r="F14" s="126">
        <f t="shared" si="5"/>
        <v>9.8578935629367592E-2</v>
      </c>
      <c r="G14" s="126">
        <f t="shared" si="3"/>
        <v>8.25</v>
      </c>
      <c r="H14" s="126">
        <v>0.51900000000000002</v>
      </c>
      <c r="I14" s="126">
        <f>20*LOG10(H14)</f>
        <v>-5.6966528430308427</v>
      </c>
      <c r="J14" s="126">
        <f t="shared" si="4"/>
        <v>-3.9563655369993187</v>
      </c>
      <c r="K14" s="138">
        <f>I14-J14</f>
        <v>-1.740287306031524</v>
      </c>
      <c r="L14" s="126">
        <f>H14/C14</f>
        <v>1.5727272727272728</v>
      </c>
      <c r="M14" s="132"/>
    </row>
    <row r="15" spans="1:13">
      <c r="A15" s="126">
        <v>0.05</v>
      </c>
      <c r="B15" s="134">
        <f t="shared" si="0"/>
        <v>-26.020599913279625</v>
      </c>
      <c r="C15" s="126">
        <v>0.40899999999999997</v>
      </c>
      <c r="D15" s="126">
        <f t="shared" si="1"/>
        <v>-7.7655338398531644</v>
      </c>
      <c r="E15" s="126">
        <f t="shared" si="2"/>
        <v>-7.7383499309641905</v>
      </c>
      <c r="F15" s="126">
        <f t="shared" si="5"/>
        <v>-2.7183908888973818E-2</v>
      </c>
      <c r="G15" s="126">
        <f t="shared" si="3"/>
        <v>8.18</v>
      </c>
      <c r="H15" s="126">
        <v>0.58699999999999997</v>
      </c>
      <c r="I15" s="126">
        <f>20*LOG10(H15)</f>
        <v>-4.6272379750477111</v>
      </c>
      <c r="J15" s="126">
        <f t="shared" si="4"/>
        <v>-2.0944151992453399</v>
      </c>
      <c r="K15" s="126">
        <f>I15-J15</f>
        <v>-2.5328227758023711</v>
      </c>
      <c r="L15" s="126">
        <f>H15/C15</f>
        <v>1.4352078239608801</v>
      </c>
      <c r="M15" s="132"/>
    </row>
    <row r="16" spans="1:13">
      <c r="A16" s="126">
        <v>0.06</v>
      </c>
      <c r="B16" s="134">
        <f t="shared" si="0"/>
        <v>-24.436974992327126</v>
      </c>
      <c r="C16" s="126">
        <v>0.48699999999999999</v>
      </c>
      <c r="D16" s="126">
        <f t="shared" si="1"/>
        <v>-6.2494207757073141</v>
      </c>
      <c r="E16" s="126">
        <f t="shared" si="2"/>
        <v>-6.1124422246222601</v>
      </c>
      <c r="F16" s="126">
        <f t="shared" si="5"/>
        <v>-0.13697855108505408</v>
      </c>
      <c r="G16" s="126">
        <f t="shared" si="3"/>
        <v>8.1166666666666671</v>
      </c>
      <c r="H16" s="126">
        <v>0.64600000000000002</v>
      </c>
      <c r="I16" s="126">
        <f>20*LOG10(H16)</f>
        <v>-3.7953496400983178</v>
      </c>
      <c r="J16" s="126">
        <f t="shared" si="4"/>
        <v>-0.58012147077646503</v>
      </c>
      <c r="K16" s="126">
        <f>I16-J16</f>
        <v>-3.2152281693218527</v>
      </c>
      <c r="L16" s="126">
        <f>H16/C16</f>
        <v>1.3264887063655031</v>
      </c>
      <c r="M16" s="132"/>
    </row>
    <row r="17" spans="1:13">
      <c r="A17" s="126">
        <v>7.0000000000000007E-2</v>
      </c>
      <c r="B17" s="134">
        <f t="shared" si="0"/>
        <v>-23.098039199714862</v>
      </c>
      <c r="C17" s="126">
        <v>0.61599999999999999</v>
      </c>
      <c r="D17" s="126">
        <f t="shared" si="1"/>
        <v>-4.2083857567114906</v>
      </c>
      <c r="E17" s="126">
        <f t="shared" si="2"/>
        <v>-4.7377568463472457</v>
      </c>
      <c r="F17" s="126">
        <f t="shared" si="5"/>
        <v>0.52937108963575508</v>
      </c>
      <c r="G17" s="126">
        <f t="shared" si="3"/>
        <v>8.7999999999999989</v>
      </c>
      <c r="H17" s="126">
        <v>0.69099999999999995</v>
      </c>
      <c r="I17" s="126">
        <f>20*LOG10(H17)</f>
        <v>-3.2104390525160325</v>
      </c>
      <c r="J17" s="126">
        <f t="shared" si="4"/>
        <v>1.4584643061965634</v>
      </c>
      <c r="K17" s="126">
        <f>I17-J17</f>
        <v>-4.6689033587125959</v>
      </c>
      <c r="L17" s="126">
        <f>H17/C17</f>
        <v>1.1217532467532467</v>
      </c>
      <c r="M17" s="132"/>
    </row>
    <row r="18" spans="1:13">
      <c r="A18" s="126">
        <v>0.08</v>
      </c>
      <c r="B18" s="134">
        <f t="shared" si="0"/>
        <v>-21.938200260161128</v>
      </c>
      <c r="C18" s="126">
        <v>0.66600000000000004</v>
      </c>
      <c r="D18" s="126">
        <f t="shared" si="1"/>
        <v>-3.5305154165939783</v>
      </c>
      <c r="E18" s="126">
        <f t="shared" si="2"/>
        <v>-3.5469502071074288</v>
      </c>
      <c r="F18" s="126">
        <f t="shared" si="5"/>
        <v>1.6434790513450537E-2</v>
      </c>
      <c r="G18" s="126">
        <f t="shared" si="3"/>
        <v>8.3250000000000011</v>
      </c>
      <c r="H18" s="126">
        <v>0.70299999999999996</v>
      </c>
      <c r="I18" s="126">
        <f>20*LOG10(H18)</f>
        <v>-3.0608934996035213</v>
      </c>
      <c r="J18" s="126">
        <f t="shared" si="4"/>
        <v>2.1355212019059349</v>
      </c>
      <c r="K18" s="126">
        <f>I18-J18</f>
        <v>-5.1964147015094557</v>
      </c>
      <c r="L18" s="126">
        <f>H18/C18</f>
        <v>1.0555555555555554</v>
      </c>
    </row>
    <row r="19" spans="1:13">
      <c r="A19" s="126">
        <v>0.09</v>
      </c>
      <c r="B19" s="134">
        <f t="shared" si="0"/>
        <v>-20.915149811213503</v>
      </c>
      <c r="C19" s="126">
        <v>0.73899999999999999</v>
      </c>
      <c r="D19" s="126">
        <f t="shared" si="1"/>
        <v>-2.6271112321034855</v>
      </c>
      <c r="E19" s="126">
        <f t="shared" si="2"/>
        <v>-2.4965843111729029</v>
      </c>
      <c r="F19" s="126">
        <f t="shared" si="5"/>
        <v>-0.1305269209305826</v>
      </c>
      <c r="G19" s="126">
        <f t="shared" si="3"/>
        <v>8.2111111111111121</v>
      </c>
      <c r="H19" s="130">
        <v>0.72399999999999998</v>
      </c>
      <c r="I19" s="126">
        <f>20*LOG10(H19)</f>
        <v>-2.8052286760570624</v>
      </c>
      <c r="J19" s="126">
        <f t="shared" si="4"/>
        <v>3.0378413013750389</v>
      </c>
      <c r="K19" s="126">
        <f>I19-J19</f>
        <v>-5.8430699774321013</v>
      </c>
      <c r="L19" s="130">
        <f>H19/C19</f>
        <v>0.97970230040595396</v>
      </c>
    </row>
    <row r="20" spans="1:13">
      <c r="A20" s="130">
        <v>0.1</v>
      </c>
      <c r="B20" s="134">
        <f t="shared" si="0"/>
        <v>-20</v>
      </c>
      <c r="C20" s="130">
        <v>0.83599999999999997</v>
      </c>
      <c r="D20" s="126">
        <f t="shared" si="1"/>
        <v>-1.5558744512196725</v>
      </c>
      <c r="E20" s="126">
        <f t="shared" si="2"/>
        <v>-1.5569999999999986</v>
      </c>
      <c r="F20" s="126">
        <f t="shared" si="5"/>
        <v>1.1255487803261133E-3</v>
      </c>
      <c r="G20" s="131">
        <f t="shared" si="3"/>
        <v>8.36</v>
      </c>
      <c r="H20" s="126">
        <v>0.72199999999999998</v>
      </c>
      <c r="I20" s="126">
        <f>20*LOG10(H20)</f>
        <v>-2.8292560486072178</v>
      </c>
      <c r="J20" s="130">
        <f t="shared" si="4"/>
        <v>4.107792598121792</v>
      </c>
      <c r="K20" s="126">
        <f>I20-J20</f>
        <v>-6.9370486467290098</v>
      </c>
      <c r="L20" s="126">
        <f>H20/C20</f>
        <v>0.86363636363636365</v>
      </c>
    </row>
    <row r="21" spans="1:13">
      <c r="A21" s="126">
        <v>0.2</v>
      </c>
      <c r="B21" s="134">
        <f t="shared" si="0"/>
        <v>-13.979400086720375</v>
      </c>
      <c r="C21" s="126">
        <v>1.766</v>
      </c>
      <c r="D21" s="126">
        <f t="shared" si="1"/>
        <v>4.9398139848309954</v>
      </c>
      <c r="E21" s="126">
        <f t="shared" si="2"/>
        <v>4.6243499309641916</v>
      </c>
      <c r="F21" s="126">
        <f t="shared" si="5"/>
        <v>0.31546405386680387</v>
      </c>
      <c r="G21" s="127">
        <f t="shared" si="3"/>
        <v>8.83</v>
      </c>
      <c r="H21" s="126">
        <v>0.754</v>
      </c>
      <c r="I21" s="127">
        <f>20*LOG10(H21)</f>
        <v>-2.4525730826045189</v>
      </c>
      <c r="J21" s="137">
        <f t="shared" si="4"/>
        <v>10.595686208049198</v>
      </c>
      <c r="K21" s="126">
        <f>I21-J21</f>
        <v>-13.048259290653718</v>
      </c>
      <c r="L21" s="136">
        <f>H21/C21</f>
        <v>0.42695356738391843</v>
      </c>
    </row>
    <row r="22" spans="1:13">
      <c r="A22" s="126">
        <v>0.3</v>
      </c>
      <c r="B22" s="134">
        <f t="shared" si="0"/>
        <v>-10.457574905606752</v>
      </c>
      <c r="C22" s="126">
        <v>2.3889999999999998</v>
      </c>
      <c r="D22" s="126">
        <f t="shared" si="1"/>
        <v>7.564322994997557</v>
      </c>
      <c r="E22" s="126">
        <f t="shared" si="2"/>
        <v>8.2402078444135487</v>
      </c>
      <c r="F22" s="138">
        <f t="shared" si="5"/>
        <v>-0.6758848494159917</v>
      </c>
      <c r="G22" s="126">
        <f t="shared" si="3"/>
        <v>7.9633333333333329</v>
      </c>
    </row>
    <row r="23" spans="1:13">
      <c r="A23" s="126">
        <v>0.4</v>
      </c>
      <c r="B23" s="134">
        <f t="shared" si="0"/>
        <v>-7.9588001734407516</v>
      </c>
      <c r="C23" s="126">
        <v>2.7549999999999999</v>
      </c>
      <c r="D23" s="126">
        <f t="shared" si="1"/>
        <v>8.8024320637560773</v>
      </c>
      <c r="E23" s="126">
        <f t="shared" si="2"/>
        <v>10.805699861928382</v>
      </c>
      <c r="F23" s="138">
        <f t="shared" si="5"/>
        <v>-2.0032677981723044</v>
      </c>
      <c r="G23" s="126">
        <f t="shared" si="3"/>
        <v>6.8874999999999993</v>
      </c>
    </row>
    <row r="24" spans="1:13">
      <c r="A24" s="126">
        <v>0.5</v>
      </c>
      <c r="B24" s="134">
        <f t="shared" si="0"/>
        <v>-6.0205999132796242</v>
      </c>
      <c r="C24" s="126">
        <v>3.0750000000000002</v>
      </c>
      <c r="D24" s="126">
        <f t="shared" si="1"/>
        <v>9.756902402228711</v>
      </c>
      <c r="E24" s="126">
        <f t="shared" si="2"/>
        <v>12.79565006903581</v>
      </c>
      <c r="F24" s="126">
        <f t="shared" si="5"/>
        <v>-3.0387476668070992</v>
      </c>
      <c r="G24" s="126">
        <f t="shared" si="3"/>
        <v>6.15</v>
      </c>
    </row>
    <row r="25" spans="1:13">
      <c r="A25" s="126">
        <v>0.6</v>
      </c>
      <c r="B25" s="134">
        <f t="shared" si="0"/>
        <v>-4.4369749923271282</v>
      </c>
      <c r="C25" s="126">
        <v>3.3780000000000001</v>
      </c>
      <c r="D25" s="126">
        <f t="shared" si="1"/>
        <v>10.573192904699798</v>
      </c>
      <c r="E25" s="126">
        <f t="shared" si="2"/>
        <v>14.421557775377739</v>
      </c>
      <c r="F25" s="126">
        <f t="shared" si="5"/>
        <v>-3.8483648706779405</v>
      </c>
      <c r="G25" s="126">
        <f t="shared" si="3"/>
        <v>5.6300000000000008</v>
      </c>
    </row>
    <row r="26" spans="1:13">
      <c r="A26" s="126">
        <v>0.7</v>
      </c>
      <c r="B26" s="134">
        <f t="shared" si="0"/>
        <v>-3.0980391997148637</v>
      </c>
      <c r="C26" s="126">
        <v>3.6360000000000001</v>
      </c>
      <c r="D26" s="126">
        <f t="shared" si="1"/>
        <v>11.212477490998598</v>
      </c>
      <c r="E26" s="126">
        <f t="shared" si="2"/>
        <v>15.79624315365275</v>
      </c>
      <c r="F26" s="126">
        <f t="shared" si="5"/>
        <v>-4.5837656626541516</v>
      </c>
      <c r="G26" s="126">
        <f t="shared" si="3"/>
        <v>5.1942857142857148</v>
      </c>
    </row>
    <row r="27" spans="1:13">
      <c r="A27" s="126">
        <v>0.8</v>
      </c>
      <c r="B27" s="134">
        <f t="shared" si="0"/>
        <v>-1.9382002601611279</v>
      </c>
      <c r="C27" s="126">
        <v>3.8919999999999999</v>
      </c>
      <c r="D27" s="126">
        <f t="shared" si="1"/>
        <v>11.803456631926286</v>
      </c>
      <c r="E27" s="126">
        <f t="shared" si="2"/>
        <v>16.98704979289257</v>
      </c>
      <c r="F27" s="126">
        <f t="shared" si="5"/>
        <v>-5.183593160966284</v>
      </c>
      <c r="G27" s="126">
        <f t="shared" si="3"/>
        <v>4.8649999999999993</v>
      </c>
    </row>
    <row r="28" spans="1:13">
      <c r="A28" s="126">
        <v>0.9</v>
      </c>
      <c r="B28" s="134">
        <f t="shared" si="0"/>
        <v>-0.91514981121350236</v>
      </c>
      <c r="C28" s="126">
        <v>4.0659999999999998</v>
      </c>
      <c r="D28" s="126">
        <f t="shared" si="1"/>
        <v>12.183347486040395</v>
      </c>
      <c r="E28" s="126">
        <f t="shared" si="2"/>
        <v>18.037415688827096</v>
      </c>
      <c r="F28" s="126">
        <f t="shared" si="5"/>
        <v>-5.854068202786701</v>
      </c>
      <c r="G28" s="126">
        <f t="shared" si="3"/>
        <v>4.5177777777777779</v>
      </c>
    </row>
    <row r="29" spans="1:13">
      <c r="A29" s="126">
        <v>1</v>
      </c>
      <c r="B29" s="134">
        <f t="shared" si="0"/>
        <v>0</v>
      </c>
      <c r="C29" s="126">
        <v>4.1109999999999998</v>
      </c>
      <c r="D29" s="126">
        <f t="shared" si="1"/>
        <v>12.278949535606996</v>
      </c>
      <c r="E29" s="126">
        <f t="shared" si="2"/>
        <v>18.977</v>
      </c>
      <c r="F29" s="126">
        <f t="shared" si="5"/>
        <v>-6.6980504643930043</v>
      </c>
      <c r="G29" s="126">
        <f>C29/A29</f>
        <v>4.1109999999999998</v>
      </c>
    </row>
    <row r="34" spans="8:11">
      <c r="H34" s="63"/>
      <c r="I34" s="63"/>
      <c r="J34" s="63"/>
      <c r="K34" s="63"/>
    </row>
  </sheetData>
  <mergeCells count="3">
    <mergeCell ref="A1:A2"/>
    <mergeCell ref="C1:L1"/>
    <mergeCell ref="B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HADI SARAH</dc:creator>
  <cp:keywords/>
  <dc:description/>
  <cp:lastModifiedBy>Akram Atouile</cp:lastModifiedBy>
  <cp:revision/>
  <dcterms:created xsi:type="dcterms:W3CDTF">2025-03-14T12:55:36Z</dcterms:created>
  <dcterms:modified xsi:type="dcterms:W3CDTF">2025-06-11T13:49:45Z</dcterms:modified>
  <cp:category/>
  <cp:contentStatus/>
</cp:coreProperties>
</file>