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37079e7ccb5967d/Documents/Etudes/Ecole_ingenieur_Phelma/2A/Projet_2A_ZIGBEE/LNA/"/>
    </mc:Choice>
  </mc:AlternateContent>
  <xr:revisionPtr revIDLastSave="3190" documentId="8_{728B5581-7C89-481B-B422-C5CF7A0A2D39}" xr6:coauthVersionLast="47" xr6:coauthVersionMax="47" xr10:uidLastSave="{DB74EA1D-D46B-4BFB-BBC6-E3C6D898DD74}"/>
  <bookViews>
    <workbookView xWindow="28680" yWindow="-120" windowWidth="29040" windowHeight="15720" firstSheet="1" activeTab="7" xr2:uid="{00000000-000D-0000-FFFF-FFFF00000000}"/>
  </bookViews>
  <sheets>
    <sheet name="SYNTHESE_CHECK_LIST" sheetId="15" r:id="rId1"/>
    <sheet name="Dimensionnement Théorique" sheetId="1" r:id="rId2"/>
    <sheet name="Simulation Parametre_S" sheetId="5" r:id="rId3"/>
    <sheet name="S11" sheetId="16" r:id="rId4"/>
    <sheet name="S12" sheetId="18" r:id="rId5"/>
    <sheet name="S21" sheetId="19" r:id="rId6"/>
    <sheet name="S22" sheetId="17" r:id="rId7"/>
    <sheet name="Simulation transistoire " sheetId="13" r:id="rId8"/>
    <sheet name="Feuil1" sheetId="20" r:id="rId9"/>
    <sheet name="Paramètres techno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4" i="13"/>
  <c r="D6" i="20"/>
  <c r="F4" i="20"/>
  <c r="F3" i="20"/>
  <c r="C4" i="20"/>
  <c r="C3" i="20"/>
  <c r="V4" i="13"/>
  <c r="V5" i="13"/>
  <c r="Z4" i="13" s="1"/>
  <c r="C6" i="15" s="1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C9" i="15"/>
  <c r="C5" i="15" s="1"/>
  <c r="D9" i="15"/>
  <c r="D5" i="15" s="1"/>
  <c r="D8" i="15"/>
  <c r="C8" i="15"/>
  <c r="B10" i="5"/>
  <c r="A10" i="5"/>
  <c r="AA4" i="13"/>
  <c r="Y4" i="13"/>
  <c r="M4" i="13"/>
  <c r="K4" i="13"/>
  <c r="B15" i="5"/>
  <c r="C7" i="15" s="1"/>
  <c r="A15" i="5"/>
  <c r="D7" i="15" s="1"/>
  <c r="S34" i="13"/>
  <c r="U34" i="13" s="1"/>
  <c r="P34" i="13"/>
  <c r="W34" i="13" s="1"/>
  <c r="S33" i="13"/>
  <c r="U33" i="13" s="1"/>
  <c r="P33" i="13"/>
  <c r="W33" i="13" s="1"/>
  <c r="S32" i="13"/>
  <c r="U32" i="13" s="1"/>
  <c r="P32" i="13"/>
  <c r="W32" i="13" s="1"/>
  <c r="S31" i="13"/>
  <c r="U31" i="13" s="1"/>
  <c r="P31" i="13"/>
  <c r="W31" i="13" s="1"/>
  <c r="S30" i="13"/>
  <c r="U30" i="13" s="1"/>
  <c r="P30" i="13"/>
  <c r="W30" i="13" s="1"/>
  <c r="S29" i="13"/>
  <c r="U29" i="13" s="1"/>
  <c r="P29" i="13"/>
  <c r="W29" i="13" s="1"/>
  <c r="S28" i="13"/>
  <c r="U28" i="13" s="1"/>
  <c r="P28" i="13"/>
  <c r="W28" i="13" s="1"/>
  <c r="S27" i="13"/>
  <c r="T27" i="13" s="1"/>
  <c r="P27" i="13"/>
  <c r="W27" i="13" s="1"/>
  <c r="S26" i="13"/>
  <c r="U26" i="13" s="1"/>
  <c r="P26" i="13"/>
  <c r="W26" i="13" s="1"/>
  <c r="S25" i="13"/>
  <c r="U25" i="13" s="1"/>
  <c r="P25" i="13"/>
  <c r="W25" i="13" s="1"/>
  <c r="S24" i="13"/>
  <c r="U24" i="13" s="1"/>
  <c r="P24" i="13"/>
  <c r="W24" i="13" s="1"/>
  <c r="S23" i="13"/>
  <c r="T23" i="13" s="1"/>
  <c r="P23" i="13"/>
  <c r="W23" i="13" s="1"/>
  <c r="S22" i="13"/>
  <c r="U22" i="13" s="1"/>
  <c r="P22" i="13"/>
  <c r="W22" i="13" s="1"/>
  <c r="S21" i="13"/>
  <c r="U21" i="13" s="1"/>
  <c r="P21" i="13"/>
  <c r="W21" i="13" s="1"/>
  <c r="S20" i="13"/>
  <c r="U20" i="13" s="1"/>
  <c r="P20" i="13"/>
  <c r="W20" i="13" s="1"/>
  <c r="S19" i="13"/>
  <c r="U19" i="13" s="1"/>
  <c r="P19" i="13"/>
  <c r="W19" i="13" s="1"/>
  <c r="S18" i="13"/>
  <c r="U18" i="13" s="1"/>
  <c r="P18" i="13"/>
  <c r="W18" i="13" s="1"/>
  <c r="S17" i="13"/>
  <c r="U17" i="13" s="1"/>
  <c r="P17" i="13"/>
  <c r="W17" i="13" s="1"/>
  <c r="S16" i="13"/>
  <c r="U16" i="13" s="1"/>
  <c r="P16" i="13"/>
  <c r="W16" i="13" s="1"/>
  <c r="S15" i="13"/>
  <c r="U15" i="13" s="1"/>
  <c r="P15" i="13"/>
  <c r="W15" i="13" s="1"/>
  <c r="S14" i="13"/>
  <c r="U14" i="13" s="1"/>
  <c r="P14" i="13"/>
  <c r="W14" i="13" s="1"/>
  <c r="S13" i="13"/>
  <c r="U13" i="13" s="1"/>
  <c r="P13" i="13"/>
  <c r="W13" i="13" s="1"/>
  <c r="S12" i="13"/>
  <c r="U12" i="13" s="1"/>
  <c r="P12" i="13"/>
  <c r="W12" i="13" s="1"/>
  <c r="S11" i="13"/>
  <c r="T11" i="13" s="1"/>
  <c r="P11" i="13"/>
  <c r="W11" i="13" s="1"/>
  <c r="S10" i="13"/>
  <c r="U10" i="13" s="1"/>
  <c r="P10" i="13"/>
  <c r="W10" i="13" s="1"/>
  <c r="S9" i="13"/>
  <c r="U9" i="13" s="1"/>
  <c r="P9" i="13"/>
  <c r="W9" i="13" s="1"/>
  <c r="S8" i="13"/>
  <c r="T8" i="13" s="1"/>
  <c r="P8" i="13"/>
  <c r="W8" i="13" s="1"/>
  <c r="S7" i="13"/>
  <c r="U7" i="13" s="1"/>
  <c r="P7" i="13"/>
  <c r="W7" i="13" s="1"/>
  <c r="S6" i="13"/>
  <c r="U6" i="13" s="1"/>
  <c r="P6" i="13"/>
  <c r="W6" i="13" s="1"/>
  <c r="S5" i="13"/>
  <c r="U5" i="13" s="1"/>
  <c r="P5" i="13"/>
  <c r="W5" i="13" s="1"/>
  <c r="S4" i="13"/>
  <c r="T4" i="13" s="1"/>
  <c r="P4" i="13"/>
  <c r="W4" i="13" s="1"/>
  <c r="E5" i="13"/>
  <c r="G5" i="13" s="1"/>
  <c r="B5" i="13"/>
  <c r="I5" i="13" s="1"/>
  <c r="B4" i="13"/>
  <c r="I4" i="13" s="1"/>
  <c r="L4" i="13" l="1"/>
  <c r="D6" i="15" s="1"/>
  <c r="T26" i="13"/>
  <c r="X26" i="13" s="1"/>
  <c r="T24" i="13"/>
  <c r="X24" i="13" s="1"/>
  <c r="X27" i="13"/>
  <c r="X11" i="13"/>
  <c r="U27" i="13"/>
  <c r="T34" i="13"/>
  <c r="X34" i="13" s="1"/>
  <c r="U8" i="13"/>
  <c r="U23" i="13"/>
  <c r="T30" i="13"/>
  <c r="X30" i="13" s="1"/>
  <c r="T32" i="13"/>
  <c r="X32" i="13" s="1"/>
  <c r="T19" i="13"/>
  <c r="X19" i="13" s="1"/>
  <c r="T28" i="13"/>
  <c r="X28" i="13" s="1"/>
  <c r="T20" i="13"/>
  <c r="X20" i="13" s="1"/>
  <c r="T31" i="13"/>
  <c r="X31" i="13" s="1"/>
  <c r="X8" i="13"/>
  <c r="T22" i="13"/>
  <c r="X22" i="13" s="1"/>
  <c r="U4" i="13"/>
  <c r="T7" i="13"/>
  <c r="X7" i="13" s="1"/>
  <c r="X23" i="13"/>
  <c r="T14" i="13"/>
  <c r="X14" i="13" s="1"/>
  <c r="T16" i="13"/>
  <c r="X16" i="13" s="1"/>
  <c r="T17" i="13"/>
  <c r="X17" i="13" s="1"/>
  <c r="T18" i="13"/>
  <c r="X18" i="13" s="1"/>
  <c r="X4" i="13"/>
  <c r="T10" i="13"/>
  <c r="X10" i="13" s="1"/>
  <c r="T15" i="13"/>
  <c r="X15" i="13" s="1"/>
  <c r="U11" i="13"/>
  <c r="T12" i="13"/>
  <c r="X12" i="13" s="1"/>
  <c r="T6" i="13"/>
  <c r="X6" i="13" s="1"/>
  <c r="T5" i="13"/>
  <c r="X5" i="13" s="1"/>
  <c r="T13" i="13"/>
  <c r="X13" i="13" s="1"/>
  <c r="T21" i="13"/>
  <c r="X21" i="13" s="1"/>
  <c r="T29" i="13"/>
  <c r="X29" i="13" s="1"/>
  <c r="T9" i="13"/>
  <c r="X9" i="13" s="1"/>
  <c r="T25" i="13"/>
  <c r="X25" i="13" s="1"/>
  <c r="T33" i="13"/>
  <c r="X33" i="13" s="1"/>
  <c r="F5" i="13"/>
  <c r="J5" i="13" s="1"/>
  <c r="E34" i="13" l="1"/>
  <c r="G34" i="13" s="1"/>
  <c r="B34" i="13"/>
  <c r="I34" i="13" s="1"/>
  <c r="E33" i="13"/>
  <c r="F33" i="13" s="1"/>
  <c r="B33" i="13"/>
  <c r="I33" i="13" s="1"/>
  <c r="E32" i="13"/>
  <c r="G32" i="13" s="1"/>
  <c r="B32" i="13"/>
  <c r="I32" i="13" s="1"/>
  <c r="E31" i="13"/>
  <c r="F31" i="13" s="1"/>
  <c r="B31" i="13"/>
  <c r="I31" i="13" s="1"/>
  <c r="E30" i="13"/>
  <c r="G30" i="13" s="1"/>
  <c r="B30" i="13"/>
  <c r="I30" i="13" s="1"/>
  <c r="E29" i="13"/>
  <c r="G29" i="13" s="1"/>
  <c r="B29" i="13"/>
  <c r="I29" i="13" s="1"/>
  <c r="E28" i="13"/>
  <c r="F28" i="13" s="1"/>
  <c r="B28" i="13"/>
  <c r="I28" i="13" s="1"/>
  <c r="E27" i="13"/>
  <c r="F27" i="13" s="1"/>
  <c r="B27" i="13"/>
  <c r="I27" i="13" s="1"/>
  <c r="E26" i="13"/>
  <c r="G26" i="13" s="1"/>
  <c r="B26" i="13"/>
  <c r="I26" i="13" s="1"/>
  <c r="E25" i="13"/>
  <c r="F25" i="13" s="1"/>
  <c r="B25" i="13"/>
  <c r="I25" i="13" s="1"/>
  <c r="E24" i="13"/>
  <c r="G24" i="13" s="1"/>
  <c r="B24" i="13"/>
  <c r="I24" i="13" s="1"/>
  <c r="E23" i="13"/>
  <c r="F23" i="13" s="1"/>
  <c r="B23" i="13"/>
  <c r="I23" i="13" s="1"/>
  <c r="E22" i="13"/>
  <c r="G22" i="13" s="1"/>
  <c r="B22" i="13"/>
  <c r="I22" i="13" s="1"/>
  <c r="E21" i="13"/>
  <c r="G21" i="13" s="1"/>
  <c r="B21" i="13"/>
  <c r="I21" i="13" s="1"/>
  <c r="E20" i="13"/>
  <c r="G20" i="13" s="1"/>
  <c r="B20" i="13"/>
  <c r="I20" i="13" s="1"/>
  <c r="E19" i="13"/>
  <c r="F19" i="13" s="1"/>
  <c r="B19" i="13"/>
  <c r="E18" i="13"/>
  <c r="F18" i="13" s="1"/>
  <c r="B18" i="13"/>
  <c r="I18" i="13" s="1"/>
  <c r="E17" i="13"/>
  <c r="G17" i="13" s="1"/>
  <c r="B17" i="13"/>
  <c r="I17" i="13" s="1"/>
  <c r="E16" i="13"/>
  <c r="G16" i="13" s="1"/>
  <c r="B16" i="13"/>
  <c r="I16" i="13" s="1"/>
  <c r="E15" i="13"/>
  <c r="F15" i="13" s="1"/>
  <c r="B15" i="13"/>
  <c r="I15" i="13" s="1"/>
  <c r="E14" i="13"/>
  <c r="G14" i="13" s="1"/>
  <c r="B14" i="13"/>
  <c r="I14" i="13" s="1"/>
  <c r="E13" i="13"/>
  <c r="F13" i="13" s="1"/>
  <c r="B13" i="13"/>
  <c r="I13" i="13" s="1"/>
  <c r="E12" i="13"/>
  <c r="G12" i="13" s="1"/>
  <c r="B12" i="13"/>
  <c r="I12" i="13" s="1"/>
  <c r="E11" i="13"/>
  <c r="F11" i="13" s="1"/>
  <c r="B11" i="13"/>
  <c r="I11" i="13" s="1"/>
  <c r="E10" i="13"/>
  <c r="G10" i="13" s="1"/>
  <c r="B10" i="13"/>
  <c r="I10" i="13" s="1"/>
  <c r="E9" i="13"/>
  <c r="F9" i="13" s="1"/>
  <c r="B9" i="13"/>
  <c r="I9" i="13" s="1"/>
  <c r="E8" i="13"/>
  <c r="F8" i="13" s="1"/>
  <c r="B8" i="13"/>
  <c r="I8" i="13" s="1"/>
  <c r="E7" i="13"/>
  <c r="F7" i="13" s="1"/>
  <c r="B7" i="13"/>
  <c r="I7" i="13" s="1"/>
  <c r="E6" i="13"/>
  <c r="G6" i="13" s="1"/>
  <c r="B6" i="13"/>
  <c r="I6" i="13" s="1"/>
  <c r="E4" i="13"/>
  <c r="G4" i="13" s="1"/>
  <c r="I19" i="13" l="1"/>
  <c r="J19" i="13" s="1"/>
  <c r="J8" i="13"/>
  <c r="G9" i="13"/>
  <c r="J15" i="13"/>
  <c r="G15" i="13"/>
  <c r="G33" i="13"/>
  <c r="J18" i="13"/>
  <c r="G23" i="13"/>
  <c r="F21" i="13"/>
  <c r="J21" i="13" s="1"/>
  <c r="F4" i="13"/>
  <c r="J4" i="13" s="1"/>
  <c r="J7" i="13"/>
  <c r="G18" i="13"/>
  <c r="G25" i="13"/>
  <c r="G7" i="13"/>
  <c r="J23" i="13"/>
  <c r="J33" i="13"/>
  <c r="J11" i="13"/>
  <c r="G13" i="13"/>
  <c r="F29" i="13"/>
  <c r="J29" i="13" s="1"/>
  <c r="G31" i="13"/>
  <c r="J9" i="13"/>
  <c r="J25" i="13"/>
  <c r="G11" i="13"/>
  <c r="G27" i="13"/>
  <c r="J13" i="13"/>
  <c r="J31" i="13"/>
  <c r="J28" i="13"/>
  <c r="J27" i="13"/>
  <c r="F12" i="13"/>
  <c r="J12" i="13" s="1"/>
  <c r="F16" i="13"/>
  <c r="J16" i="13" s="1"/>
  <c r="F20" i="13"/>
  <c r="J20" i="13" s="1"/>
  <c r="F24" i="13"/>
  <c r="J24" i="13" s="1"/>
  <c r="F32" i="13"/>
  <c r="J32" i="13" s="1"/>
  <c r="G8" i="13"/>
  <c r="G19" i="13"/>
  <c r="G28" i="13"/>
  <c r="F6" i="13"/>
  <c r="J6" i="13" s="1"/>
  <c r="F10" i="13"/>
  <c r="J10" i="13" s="1"/>
  <c r="F14" i="13"/>
  <c r="J14" i="13" s="1"/>
  <c r="F17" i="13"/>
  <c r="J17" i="13" s="1"/>
  <c r="F22" i="13"/>
  <c r="J22" i="13" s="1"/>
  <c r="F26" i="13"/>
  <c r="J26" i="13" s="1"/>
  <c r="F30" i="13"/>
  <c r="J30" i="13" s="1"/>
  <c r="F34" i="13"/>
  <c r="J34" i="13" s="1"/>
  <c r="M5" i="1" l="1"/>
  <c r="C10" i="1" s="1"/>
  <c r="F22" i="1" s="1"/>
  <c r="N14" i="1"/>
  <c r="P17" i="1"/>
  <c r="N5" i="1"/>
  <c r="N19" i="1" s="1"/>
  <c r="J5" i="1"/>
  <c r="E10" i="1" l="1"/>
  <c r="C2" i="4" l="1"/>
  <c r="D2" i="4"/>
  <c r="E2" i="4"/>
  <c r="F2" i="4"/>
  <c r="J2" i="4" s="1"/>
  <c r="G2" i="4"/>
  <c r="H2" i="4"/>
  <c r="C20" i="4"/>
  <c r="D20" i="4"/>
  <c r="E20" i="4"/>
  <c r="F20" i="4"/>
  <c r="G20" i="4"/>
  <c r="H20" i="4"/>
  <c r="J20" i="4"/>
  <c r="B23" i="4"/>
  <c r="C23" i="4" s="1"/>
  <c r="B29" i="4" l="1"/>
  <c r="B5" i="4"/>
  <c r="C5" i="4"/>
  <c r="B8" i="4"/>
  <c r="B17" i="4"/>
  <c r="C17" i="4" s="1"/>
  <c r="B35" i="4"/>
  <c r="C35" i="4" s="1"/>
  <c r="B32" i="4"/>
  <c r="B26" i="4"/>
  <c r="C26" i="4" s="1"/>
  <c r="X5" i="1"/>
  <c r="Y5" i="1" s="1"/>
  <c r="Z5" i="1" s="1"/>
  <c r="I5" i="1"/>
  <c r="S4" i="1" l="1"/>
  <c r="D10" i="1"/>
  <c r="I22" i="1"/>
  <c r="Q4" i="1"/>
  <c r="B11" i="4"/>
  <c r="C8" i="4"/>
  <c r="P4" i="1"/>
  <c r="H10" i="1"/>
  <c r="I10" i="1" s="1"/>
  <c r="K10" i="1" s="1"/>
  <c r="D22" i="1" s="1"/>
  <c r="G22" i="1" s="1"/>
  <c r="AA5" i="1"/>
  <c r="AC5" i="1" s="1"/>
  <c r="B14" i="4" l="1"/>
  <c r="N10" i="1"/>
  <c r="T4" i="1" s="1"/>
  <c r="U4" i="1" s="1"/>
  <c r="M10" i="1" s="1"/>
  <c r="L10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<sst xmlns="http://schemas.openxmlformats.org/spreadsheetml/2006/main" count="328" uniqueCount="162">
  <si>
    <t>Datasheet Nmos</t>
  </si>
  <si>
    <t>μn (cm²/V.s)</t>
  </si>
  <si>
    <t>Eps0(F/m)</t>
  </si>
  <si>
    <t>EpsR(F/m)</t>
  </si>
  <si>
    <t>Tox(nm)</t>
  </si>
  <si>
    <t>W(m)</t>
  </si>
  <si>
    <t>L(m)</t>
  </si>
  <si>
    <t>VT(V)</t>
  </si>
  <si>
    <t>VDD(V)</t>
  </si>
  <si>
    <t>IdSat(A)</t>
  </si>
  <si>
    <t>Calcul de Cox</t>
  </si>
  <si>
    <t>Cox(F/m²)</t>
  </si>
  <si>
    <t>Cox(fF/μm²)</t>
  </si>
  <si>
    <t>Calcul de Kn</t>
  </si>
  <si>
    <t>Kn(A/V²)</t>
  </si>
  <si>
    <t>Kn(uA/V²)</t>
  </si>
  <si>
    <t>Pour W=10e-6, on calcule les valeurs en dessous (W peut varier--&gt;dimensionnement  bloc)</t>
  </si>
  <si>
    <t>Calcul de Vdsat</t>
  </si>
  <si>
    <t>VDsat(V)</t>
  </si>
  <si>
    <t>Calcul de Gm</t>
  </si>
  <si>
    <t>Gm(A/V)</t>
  </si>
  <si>
    <t>Calcul de Capa</t>
  </si>
  <si>
    <t>Cgs/Cgd(F)</t>
  </si>
  <si>
    <t>Cgs/Cgd(fF)</t>
  </si>
  <si>
    <t>CMiller(fF/um)</t>
  </si>
  <si>
    <t>CJunction(fF/um²)</t>
  </si>
  <si>
    <t>Datasheet Pmos</t>
  </si>
  <si>
    <t>μp (cm²/V.s)</t>
  </si>
  <si>
    <t>Calcul de Kp</t>
  </si>
  <si>
    <t>Kp(A/V²)</t>
  </si>
  <si>
    <t>Kp(uA/V²)</t>
  </si>
  <si>
    <t>Dimmensionnement théorique (Methode Qe variante design)</t>
  </si>
  <si>
    <t>Cahier des Charges</t>
  </si>
  <si>
    <t>Linéaire</t>
  </si>
  <si>
    <t>Kn (A/V²)</t>
  </si>
  <si>
    <t>Cox (F/m²)</t>
  </si>
  <si>
    <r>
      <t>C</t>
    </r>
    <r>
      <rPr>
        <vertAlign val="subscript"/>
        <sz val="11"/>
        <color theme="1"/>
        <rFont val="Aptos Narrow"/>
        <family val="2"/>
        <scheme val="minor"/>
      </rPr>
      <t>gs,theorique, adapté50ohm</t>
    </r>
    <r>
      <rPr>
        <sz val="11"/>
        <color theme="1"/>
        <rFont val="Aptos Narrow"/>
        <family val="2"/>
        <scheme val="minor"/>
      </rPr>
      <t xml:space="preserve"> (F)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</si>
  <si>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(Hz)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</si>
  <si>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(rad.s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</si>
  <si>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Méthode avec équation du 0,35µ</t>
  </si>
  <si>
    <t>F (dB)</t>
  </si>
  <si>
    <r>
      <t>Q</t>
    </r>
    <r>
      <rPr>
        <vertAlign val="subscript"/>
        <sz val="11"/>
        <color theme="1"/>
        <rFont val="Aptos Narrow"/>
        <family val="2"/>
        <scheme val="minor"/>
      </rPr>
      <t>e</t>
    </r>
  </si>
  <si>
    <t>γ</t>
  </si>
  <si>
    <r>
      <t>G</t>
    </r>
    <r>
      <rPr>
        <sz val="11"/>
        <color theme="1"/>
        <rFont val="Aptos Narrow"/>
        <family val="2"/>
        <scheme val="minor"/>
      </rPr>
      <t xml:space="preserve"> (dB)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</si>
  <si>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(Ω)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</si>
  <si>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(Hz)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</si>
  <si>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(rad.s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</si>
  <si>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L (H)</t>
  </si>
  <si>
    <t>BW (Hz)</t>
  </si>
  <si>
    <t>F</t>
  </si>
  <si>
    <t>Gv</t>
  </si>
  <si>
    <t>IIP3 (dBm)</t>
  </si>
  <si>
    <t>VeIP3 (V)</t>
  </si>
  <si>
    <t>Vgs-Vt (V)</t>
  </si>
  <si>
    <t>Ip (A)</t>
  </si>
  <si>
    <t>W/L</t>
  </si>
  <si>
    <t>L (m)</t>
  </si>
  <si>
    <t>W (m)</t>
  </si>
  <si>
    <t>gm (S)</t>
  </si>
  <si>
    <t>C (F)</t>
  </si>
  <si>
    <r>
      <t>R (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>)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</si>
  <si>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gs</t>
    </r>
    <r>
      <rPr>
        <sz val="11"/>
        <color theme="1"/>
        <rFont val="Aptos Narrow"/>
        <family val="2"/>
        <scheme val="minor"/>
      </rPr>
      <t xml:space="preserve"> (F)</t>
    </r>
  </si>
  <si>
    <r>
      <t>L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(H)</t>
    </r>
  </si>
  <si>
    <r>
      <t>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(H)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</si>
  <si>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(F)</t>
    </r>
  </si>
  <si>
    <t>Conso (W)</t>
  </si>
  <si>
    <t>Dimensionnement Théorique (avec L2 fixé)</t>
  </si>
  <si>
    <t>Données fixes</t>
  </si>
  <si>
    <t>Détermination C0</t>
  </si>
  <si>
    <t>Détermination L1</t>
  </si>
  <si>
    <t>C2</t>
  </si>
  <si>
    <t xml:space="preserve">L </t>
  </si>
  <si>
    <t>Gain</t>
  </si>
  <si>
    <t>gm</t>
  </si>
  <si>
    <t>IIP3</t>
  </si>
  <si>
    <t>Ve</t>
  </si>
  <si>
    <t>Vout (c-c)</t>
  </si>
  <si>
    <t>Tangente Vout (dB)</t>
  </si>
  <si>
    <t>diff(Vout-tangente)</t>
  </si>
  <si>
    <t>dB</t>
  </si>
  <si>
    <t>Vout min</t>
  </si>
  <si>
    <t>Vout max</t>
  </si>
  <si>
    <t>GAIN</t>
  </si>
  <si>
    <t>Dimensionnement théorique</t>
  </si>
  <si>
    <t>Paramètre</t>
  </si>
  <si>
    <t>Point de compression (Vin dB)</t>
  </si>
  <si>
    <t>GRAPH</t>
  </si>
  <si>
    <t>S</t>
  </si>
  <si>
    <t>H</t>
  </si>
  <si>
    <t>m</t>
  </si>
  <si>
    <t>C</t>
  </si>
  <si>
    <t xml:space="preserve">R </t>
  </si>
  <si>
    <t>L1</t>
  </si>
  <si>
    <t>L2</t>
  </si>
  <si>
    <t>S11</t>
  </si>
  <si>
    <t>-</t>
  </si>
  <si>
    <t>S22</t>
  </si>
  <si>
    <t>SIMULATION PARAMETRES S</t>
  </si>
  <si>
    <t>SCHEMA</t>
  </si>
  <si>
    <t>ADAPTATION EN ENTREE &amp; SORTIE</t>
  </si>
  <si>
    <t>NF</t>
  </si>
  <si>
    <t>SANS ADAPTATION</t>
  </si>
  <si>
    <t>Rpol</t>
  </si>
  <si>
    <t>Rrf</t>
  </si>
  <si>
    <t>Miroir de courant</t>
  </si>
  <si>
    <t xml:space="preserve">C1 </t>
  </si>
  <si>
    <t>Consommation</t>
  </si>
  <si>
    <t>Zin</t>
  </si>
  <si>
    <t>S21</t>
  </si>
  <si>
    <t>System</t>
  </si>
  <si>
    <t>Adaptation entrée</t>
  </si>
  <si>
    <t>C1 {W}</t>
  </si>
  <si>
    <t>C1 {L}</t>
  </si>
  <si>
    <t>C2 {W}</t>
  </si>
  <si>
    <t>C2 {L}</t>
  </si>
  <si>
    <t>Dimensionnement LNA single</t>
  </si>
  <si>
    <t>Unité</t>
  </si>
  <si>
    <t>S12</t>
  </si>
  <si>
    <t>mA</t>
  </si>
  <si>
    <t>Ω</t>
  </si>
  <si>
    <t>Point compression</t>
  </si>
  <si>
    <t>AVEC ADAPTATION + BONDING</t>
  </si>
  <si>
    <t xml:space="preserve">SANS ADAPTATION </t>
  </si>
  <si>
    <t>Simulation</t>
  </si>
  <si>
    <t>DC</t>
  </si>
  <si>
    <t>Transitoire</t>
  </si>
  <si>
    <t>Commentaires</t>
  </si>
  <si>
    <t>Choix fixé</t>
  </si>
  <si>
    <t>Dependant de L</t>
  </si>
  <si>
    <t>Capactié de résonnance pour le LNA seul</t>
  </si>
  <si>
    <t>Dimensionnement LNA Seul</t>
  </si>
  <si>
    <t xml:space="preserve">Résonnance + adaptation </t>
  </si>
  <si>
    <t>NOISE FACTOR</t>
  </si>
  <si>
    <t>K</t>
  </si>
  <si>
    <t>DELTA</t>
  </si>
  <si>
    <t>32m</t>
  </si>
  <si>
    <t>Dimensionnement LNA final (adapté + bonding)</t>
  </si>
  <si>
    <t>Pas réussi à réaliser la simulation IIP3</t>
  </si>
  <si>
    <t>Gain différent entre parametre S et Transitoire</t>
  </si>
  <si>
    <t>NF a une valeur curieuse</t>
  </si>
  <si>
    <t>Voir feuille S11</t>
  </si>
  <si>
    <t>Voir feuille S22</t>
  </si>
  <si>
    <t>Voir feuille S21</t>
  </si>
  <si>
    <t>Voir Feuille S12</t>
  </si>
  <si>
    <t>Dimensionnement nécessaire pour polariser N1 au point DC Vgs = 0,656</t>
  </si>
  <si>
    <t>Point de polarisation</t>
  </si>
  <si>
    <t>V</t>
  </si>
  <si>
    <t>Résistance dûe aux pertes de l'inductance</t>
  </si>
  <si>
    <t>C0</t>
  </si>
  <si>
    <t>Parametres-S</t>
  </si>
  <si>
    <t>Rpol {W}</t>
  </si>
  <si>
    <t>Rpol {L}</t>
  </si>
  <si>
    <t>Rrf {W}</t>
  </si>
  <si>
    <t xml:space="preserve">NMOS3 {W} </t>
  </si>
  <si>
    <t xml:space="preserve">NMOS3 {L} </t>
  </si>
  <si>
    <t>Rrf {L}</t>
  </si>
  <si>
    <t>NMOS1 &amp; NMOS2 {W}</t>
  </si>
  <si>
    <t>NMOS1 &amp; NMOS2 {L}</t>
  </si>
  <si>
    <t>Vin</t>
  </si>
  <si>
    <t>Vout</t>
  </si>
  <si>
    <t>RMS</t>
  </si>
  <si>
    <t xml:space="preserve">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</si>
</sst>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E+00"/>
    <numFmt numFmtId="165" formatCode="##0E+0"/>
    <numFmt numFmtId="166" formatCode="0.0E+00"/>
    <numFmt numFmtId="167" formatCode="0.000"/>
    <numFmt numFmtId="168" formatCode="##0.00E+0"/>
    <numFmt numFmtId="169" formatCode="0.0000"/>
    <numFmt numFmtId="170" formatCode="0.0"/>
  </numFmts>
  <fonts count="17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per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12"/>
      <color theme="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36"/>
      <color theme="2"/>
      <name val="Aptos Narrow"/>
      <family val="2"/>
      <scheme val="minor"/>
    </font>
    <font>
      <b/>
      <sz val="48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48" fontId="0" fillId="0" borderId="13" xfId="0" applyNumberFormat="1" applyBorder="1" applyAlignment="1">
      <alignment horizontal="center" vertical="center"/>
    </xf>
    <xf numFmtId="0" fontId="5" fillId="0" borderId="0" xfId="1"/>
    <xf numFmtId="0" fontId="6" fillId="0" borderId="18" xfId="1" applyFont="1" applyBorder="1"/>
    <xf numFmtId="2" fontId="6" fillId="0" borderId="18" xfId="1" applyNumberFormat="1" applyFont="1" applyBorder="1"/>
    <xf numFmtId="11" fontId="6" fillId="0" borderId="18" xfId="1" applyNumberFormat="1" applyFont="1" applyBorder="1"/>
    <xf numFmtId="0" fontId="6" fillId="7" borderId="18" xfId="1" applyFont="1" applyFill="1" applyBorder="1"/>
    <xf numFmtId="0" fontId="7" fillId="0" borderId="0" xfId="1" applyFont="1"/>
    <xf numFmtId="0" fontId="5" fillId="7" borderId="18" xfId="1" applyFill="1" applyBorder="1"/>
    <xf numFmtId="11" fontId="7" fillId="0" borderId="18" xfId="1" applyNumberFormat="1" applyFont="1" applyBorder="1"/>
    <xf numFmtId="0" fontId="6" fillId="8" borderId="0" xfId="1" applyFont="1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11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8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4" fillId="11" borderId="25" xfId="0" applyFont="1" applyFill="1" applyBorder="1"/>
    <xf numFmtId="0" fontId="4" fillId="11" borderId="26" xfId="0" applyFont="1" applyFill="1" applyBorder="1"/>
    <xf numFmtId="0" fontId="4" fillId="11" borderId="27" xfId="0" applyFont="1" applyFill="1" applyBorder="1"/>
    <xf numFmtId="1" fontId="0" fillId="0" borderId="24" xfId="0" applyNumberFormat="1" applyBorder="1"/>
    <xf numFmtId="169" fontId="0" fillId="0" borderId="23" xfId="0" applyNumberFormat="1" applyBorder="1"/>
    <xf numFmtId="169" fontId="0" fillId="0" borderId="25" xfId="0" applyNumberFormat="1" applyBorder="1"/>
    <xf numFmtId="0" fontId="0" fillId="0" borderId="33" xfId="0" applyBorder="1"/>
    <xf numFmtId="0" fontId="0" fillId="0" borderId="28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6" xfId="0" applyNumberFormat="1" applyBorder="1"/>
    <xf numFmtId="1" fontId="0" fillId="0" borderId="27" xfId="0" applyNumberFormat="1" applyBorder="1"/>
    <xf numFmtId="0" fontId="4" fillId="11" borderId="23" xfId="0" applyFont="1" applyFill="1" applyBorder="1"/>
    <xf numFmtId="0" fontId="4" fillId="11" borderId="0" xfId="0" applyFont="1" applyFill="1"/>
    <xf numFmtId="165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1" fontId="0" fillId="0" borderId="28" xfId="0" applyNumberFormat="1" applyBorder="1" applyAlignment="1">
      <alignment vertical="center"/>
    </xf>
    <xf numFmtId="0" fontId="11" fillId="12" borderId="19" xfId="0" applyFont="1" applyFill="1" applyBorder="1" applyAlignment="1">
      <alignment vertical="center"/>
    </xf>
    <xf numFmtId="0" fontId="10" fillId="15" borderId="5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167" fontId="10" fillId="15" borderId="7" xfId="0" applyNumberFormat="1" applyFont="1" applyFill="1" applyBorder="1" applyAlignment="1">
      <alignment horizontal="center" vertical="center"/>
    </xf>
    <xf numFmtId="165" fontId="0" fillId="0" borderId="28" xfId="0" applyNumberFormat="1" applyBorder="1" applyAlignment="1">
      <alignment horizontal="center"/>
    </xf>
    <xf numFmtId="0" fontId="0" fillId="0" borderId="32" xfId="0" applyBorder="1"/>
    <xf numFmtId="0" fontId="2" fillId="0" borderId="24" xfId="0" applyFont="1" applyBorder="1"/>
    <xf numFmtId="0" fontId="0" fillId="0" borderId="24" xfId="0" quotePrefix="1" applyBorder="1"/>
    <xf numFmtId="1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11" fillId="12" borderId="26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11" fontId="13" fillId="14" borderId="0" xfId="0" applyNumberFormat="1" applyFont="1" applyFill="1" applyAlignment="1">
      <alignment horizontal="center" vertical="center"/>
    </xf>
    <xf numFmtId="11" fontId="13" fillId="14" borderId="20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48" fontId="0" fillId="0" borderId="33" xfId="0" applyNumberFormat="1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2" fillId="0" borderId="0" xfId="0" applyFont="1"/>
    <xf numFmtId="0" fontId="0" fillId="0" borderId="32" xfId="0" applyBorder="1" applyAlignment="1">
      <alignment horizontal="center" vertical="center" wrapText="1"/>
    </xf>
    <xf numFmtId="170" fontId="0" fillId="0" borderId="33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48" fontId="0" fillId="0" borderId="3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8" fontId="0" fillId="0" borderId="28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68" fontId="0" fillId="0" borderId="33" xfId="0" applyNumberFormat="1" applyBorder="1" applyAlignment="1">
      <alignment horizontal="center" vertical="center"/>
    </xf>
    <xf numFmtId="165" fontId="14" fillId="13" borderId="19" xfId="0" applyNumberFormat="1" applyFont="1" applyFill="1" applyBorder="1" applyAlignment="1">
      <alignment horizontal="center" vertical="center"/>
    </xf>
    <xf numFmtId="165" fontId="14" fillId="13" borderId="19" xfId="0" applyNumberFormat="1" applyFont="1" applyFill="1" applyBorder="1" applyAlignment="1">
      <alignment horizontal="center" vertical="center" wrapText="1"/>
    </xf>
    <xf numFmtId="165" fontId="14" fillId="13" borderId="32" xfId="0" applyNumberFormat="1" applyFont="1" applyFill="1" applyBorder="1" applyAlignment="1">
      <alignment horizontal="center" vertical="center" wrapText="1"/>
    </xf>
    <xf numFmtId="165" fontId="0" fillId="0" borderId="33" xfId="0" applyNumberFormat="1" applyBorder="1" applyAlignment="1">
      <alignment horizontal="left" vertical="center"/>
    </xf>
    <xf numFmtId="165" fontId="0" fillId="0" borderId="28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4" fillId="11" borderId="5" xfId="0" applyNumberFormat="1" applyFont="1" applyFill="1" applyBorder="1" applyAlignment="1">
      <alignment horizontal="center" vertical="center"/>
    </xf>
    <xf numFmtId="165" fontId="4" fillId="11" borderId="6" xfId="0" applyNumberFormat="1" applyFont="1" applyFill="1" applyBorder="1" applyAlignment="1">
      <alignment horizontal="center" vertical="center"/>
    </xf>
    <xf numFmtId="165" fontId="4" fillId="11" borderId="21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2" fillId="12" borderId="25" xfId="0" applyFont="1" applyFill="1" applyBorder="1" applyAlignment="1">
      <alignment horizontal="center"/>
    </xf>
    <xf numFmtId="0" fontId="12" fillId="12" borderId="26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32" xfId="0" applyFont="1" applyFill="1" applyBorder="1" applyAlignment="1">
      <alignment horizontal="center"/>
    </xf>
    <xf numFmtId="0" fontId="8" fillId="13" borderId="28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FB5D2B6C-19CD-4055-A3F6-F8986F20BD36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Linéarité LNA Inductance Dégénérée </a:t>
            </a:r>
          </a:p>
          <a:p>
            <a:pPr>
              <a:defRPr/>
            </a:pPr>
            <a:r>
              <a:rPr lang="fr-FR"/>
              <a:t>Réseau adapation + Bonding</a:t>
            </a:r>
          </a:p>
        </c:rich>
      </c:tx>
      <c:layout>
        <c:manualLayout>
          <c:xMode val="edge"/>
          <c:yMode val="edge"/>
          <c:x val="0.31941780521982832"/>
          <c:y val="5.2298165358968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687560601367694E-2"/>
          <c:y val="0.1641750659541365"/>
          <c:w val="0.92116754126837952"/>
          <c:h val="0.73362813743491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'Simulation transistoire '!$C$2:$D$2</c:f>
              <c:strCache>
                <c:ptCount val="1"/>
                <c:pt idx="0">
                  <c:v>Vout (c-c)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'Simulation transistoire '!$B$4:$B$34</c:f>
              <c:numCache>
                <c:formatCode>0</c:formatCode>
                <c:ptCount val="31"/>
                <c:pt idx="0">
                  <c:v>-101.51441427876236</c:v>
                </c:pt>
                <c:pt idx="1">
                  <c:v>-60</c:v>
                </c:pt>
                <c:pt idx="2">
                  <c:v>-53.979400086720375</c:v>
                </c:pt>
                <c:pt idx="3">
                  <c:v>-50.457574905606748</c:v>
                </c:pt>
                <c:pt idx="4">
                  <c:v>-47.95880017344075</c:v>
                </c:pt>
                <c:pt idx="5">
                  <c:v>-46.020599913279625</c:v>
                </c:pt>
                <c:pt idx="6">
                  <c:v>-44.436974992327123</c:v>
                </c:pt>
                <c:pt idx="7">
                  <c:v>-43.098039199714862</c:v>
                </c:pt>
                <c:pt idx="8">
                  <c:v>-41.938200260161125</c:v>
                </c:pt>
                <c:pt idx="9">
                  <c:v>-40.915149811213503</c:v>
                </c:pt>
                <c:pt idx="10">
                  <c:v>-40</c:v>
                </c:pt>
                <c:pt idx="11">
                  <c:v>-33.979400086720375</c:v>
                </c:pt>
                <c:pt idx="12">
                  <c:v>-30.457574905606752</c:v>
                </c:pt>
                <c:pt idx="13">
                  <c:v>-27.95880017344075</c:v>
                </c:pt>
                <c:pt idx="14">
                  <c:v>-26.020599913279625</c:v>
                </c:pt>
                <c:pt idx="15">
                  <c:v>-25.679933127304015</c:v>
                </c:pt>
                <c:pt idx="16">
                  <c:v>-24.436974992327126</c:v>
                </c:pt>
                <c:pt idx="17">
                  <c:v>-23.098039199714862</c:v>
                </c:pt>
                <c:pt idx="18">
                  <c:v>-21.938200260161128</c:v>
                </c:pt>
                <c:pt idx="19">
                  <c:v>-20.915149811213503</c:v>
                </c:pt>
                <c:pt idx="20">
                  <c:v>-20</c:v>
                </c:pt>
                <c:pt idx="21">
                  <c:v>-13.979400086720375</c:v>
                </c:pt>
                <c:pt idx="22">
                  <c:v>-10.457574905606752</c:v>
                </c:pt>
                <c:pt idx="23">
                  <c:v>-7.9588001734407516</c:v>
                </c:pt>
                <c:pt idx="24">
                  <c:v>-6.0205999132796242</c:v>
                </c:pt>
                <c:pt idx="25">
                  <c:v>-4.4369749923271282</c:v>
                </c:pt>
                <c:pt idx="26">
                  <c:v>-3.0980391997148637</c:v>
                </c:pt>
                <c:pt idx="27">
                  <c:v>-1.9382002601611279</c:v>
                </c:pt>
                <c:pt idx="28">
                  <c:v>-0.91514981121350236</c:v>
                </c:pt>
                <c:pt idx="29">
                  <c:v>0</c:v>
                </c:pt>
                <c:pt idx="30">
                  <c:v>6.0205999132796242</c:v>
                </c:pt>
              </c:numCache>
            </c:numRef>
          </c:xVal>
          <c:yVal>
            <c:numRef>
              <c:f>'Simulation transistoire '!$F$4:$F$34</c:f>
              <c:numCache>
                <c:formatCode>General</c:formatCode>
                <c:ptCount val="31"/>
                <c:pt idx="0">
                  <c:v>-81.938200260158453</c:v>
                </c:pt>
                <c:pt idx="1">
                  <c:v>-40.251143901283974</c:v>
                </c:pt>
                <c:pt idx="2">
                  <c:v>-34.232779450540967</c:v>
                </c:pt>
                <c:pt idx="3">
                  <c:v>-29.936447811638793</c:v>
                </c:pt>
                <c:pt idx="4">
                  <c:v>-28.228963870287149</c:v>
                </c:pt>
                <c:pt idx="5">
                  <c:v>-26.302195510808279</c:v>
                </c:pt>
                <c:pt idx="6">
                  <c:v>-24.735184853799499</c:v>
                </c:pt>
                <c:pt idx="7">
                  <c:v>-23.414567966442728</c:v>
                </c:pt>
                <c:pt idx="8">
                  <c:v>-22.277520837571302</c:v>
                </c:pt>
                <c:pt idx="9">
                  <c:v>-21.279784085695809</c:v>
                </c:pt>
                <c:pt idx="10">
                  <c:v>-20.394022717245544</c:v>
                </c:pt>
                <c:pt idx="11">
                  <c:v>-14.940513493041564</c:v>
                </c:pt>
                <c:pt idx="12">
                  <c:v>-12.421146027731254</c:v>
                </c:pt>
                <c:pt idx="13">
                  <c:v>-11.120978936408079</c:v>
                </c:pt>
                <c:pt idx="14">
                  <c:v>-10.300628701830348</c:v>
                </c:pt>
                <c:pt idx="15">
                  <c:v>-10.170805014803419</c:v>
                </c:pt>
                <c:pt idx="16">
                  <c:v>-9.7272592433660474</c:v>
                </c:pt>
                <c:pt idx="17">
                  <c:v>-9.2960170538238955</c:v>
                </c:pt>
                <c:pt idx="18">
                  <c:v>-8.9538038854933362</c:v>
                </c:pt>
                <c:pt idx="19">
                  <c:v>-8.6713797972099194</c:v>
                </c:pt>
                <c:pt idx="20">
                  <c:v>-8.4301383263649807</c:v>
                </c:pt>
                <c:pt idx="21">
                  <c:v>-6.9695843466543597</c:v>
                </c:pt>
                <c:pt idx="22">
                  <c:v>-5.9374496141549793</c:v>
                </c:pt>
                <c:pt idx="23">
                  <c:v>-5.2010412462124647</c:v>
                </c:pt>
                <c:pt idx="24">
                  <c:v>-4.5708962339376367</c:v>
                </c:pt>
                <c:pt idx="25">
                  <c:v>-4.0072625688581738</c:v>
                </c:pt>
                <c:pt idx="26">
                  <c:v>-3.5621996852190301</c:v>
                </c:pt>
                <c:pt idx="27">
                  <c:v>-2.8059485309938434</c:v>
                </c:pt>
                <c:pt idx="28">
                  <c:v>-2.358108314772303</c:v>
                </c:pt>
                <c:pt idx="29">
                  <c:v>-1.9615750124747711</c:v>
                </c:pt>
                <c:pt idx="30">
                  <c:v>-1.41630290876875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6-4959-92D5-1A5BB80482ED}"/>
            </c:ext>
          </c:extLst>
        </c:ser>
        <c:ser>
          <c:idx val="1"/>
          <c:order val="1"/>
          <c:tx>
            <c:strRef>
              <c:f>'Simulation transistoire '!$I$2:$I$3</c:f>
              <c:strCache>
                <c:ptCount val="2"/>
                <c:pt idx="0">
                  <c:v>Tangente Vout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'Simulation transistoire '!$B$4:$B$34</c:f>
              <c:numCache>
                <c:formatCode>0</c:formatCode>
                <c:ptCount val="31"/>
                <c:pt idx="0">
                  <c:v>-101.51441427876236</c:v>
                </c:pt>
                <c:pt idx="1">
                  <c:v>-60</c:v>
                </c:pt>
                <c:pt idx="2">
                  <c:v>-53.979400086720375</c:v>
                </c:pt>
                <c:pt idx="3">
                  <c:v>-50.457574905606748</c:v>
                </c:pt>
                <c:pt idx="4">
                  <c:v>-47.95880017344075</c:v>
                </c:pt>
                <c:pt idx="5">
                  <c:v>-46.020599913279625</c:v>
                </c:pt>
                <c:pt idx="6">
                  <c:v>-44.436974992327123</c:v>
                </c:pt>
                <c:pt idx="7">
                  <c:v>-43.098039199714862</c:v>
                </c:pt>
                <c:pt idx="8">
                  <c:v>-41.938200260161125</c:v>
                </c:pt>
                <c:pt idx="9">
                  <c:v>-40.915149811213503</c:v>
                </c:pt>
                <c:pt idx="10">
                  <c:v>-40</c:v>
                </c:pt>
                <c:pt idx="11">
                  <c:v>-33.979400086720375</c:v>
                </c:pt>
                <c:pt idx="12">
                  <c:v>-30.457574905606752</c:v>
                </c:pt>
                <c:pt idx="13">
                  <c:v>-27.95880017344075</c:v>
                </c:pt>
                <c:pt idx="14">
                  <c:v>-26.020599913279625</c:v>
                </c:pt>
                <c:pt idx="15">
                  <c:v>-25.679933127304015</c:v>
                </c:pt>
                <c:pt idx="16">
                  <c:v>-24.436974992327126</c:v>
                </c:pt>
                <c:pt idx="17">
                  <c:v>-23.098039199714862</c:v>
                </c:pt>
                <c:pt idx="18">
                  <c:v>-21.938200260161128</c:v>
                </c:pt>
                <c:pt idx="19">
                  <c:v>-20.915149811213503</c:v>
                </c:pt>
                <c:pt idx="20">
                  <c:v>-20</c:v>
                </c:pt>
                <c:pt idx="21">
                  <c:v>-13.979400086720375</c:v>
                </c:pt>
                <c:pt idx="22">
                  <c:v>-10.457574905606752</c:v>
                </c:pt>
                <c:pt idx="23">
                  <c:v>-7.9588001734407516</c:v>
                </c:pt>
                <c:pt idx="24">
                  <c:v>-6.0205999132796242</c:v>
                </c:pt>
                <c:pt idx="25">
                  <c:v>-4.4369749923271282</c:v>
                </c:pt>
                <c:pt idx="26">
                  <c:v>-3.0980391997148637</c:v>
                </c:pt>
                <c:pt idx="27">
                  <c:v>-1.9382002601611279</c:v>
                </c:pt>
                <c:pt idx="28">
                  <c:v>-0.91514981121350236</c:v>
                </c:pt>
                <c:pt idx="29">
                  <c:v>0</c:v>
                </c:pt>
                <c:pt idx="30">
                  <c:v>6.0205999132796242</c:v>
                </c:pt>
              </c:numCache>
            </c:numRef>
          </c:xVal>
          <c:yVal>
            <c:numRef>
              <c:f>'Simulation transistoire '!$I$4:$I$34</c:f>
              <c:numCache>
                <c:formatCode>General</c:formatCode>
                <c:ptCount val="31"/>
                <c:pt idx="0">
                  <c:v>-81.961681034420337</c:v>
                </c:pt>
                <c:pt idx="1">
                  <c:v>-40.110999999999997</c:v>
                </c:pt>
                <c:pt idx="2">
                  <c:v>-34.041633227422807</c:v>
                </c:pt>
                <c:pt idx="3">
                  <c:v>-30.491281262342163</c:v>
                </c:pt>
                <c:pt idx="4">
                  <c:v>-27.972266454845617</c:v>
                </c:pt>
                <c:pt idx="5">
                  <c:v>-26.018366772577188</c:v>
                </c:pt>
                <c:pt idx="6">
                  <c:v>-24.421914489764973</c:v>
                </c:pt>
                <c:pt idx="7">
                  <c:v>-23.072133317232549</c:v>
                </c:pt>
                <c:pt idx="8">
                  <c:v>-21.902899682268426</c:v>
                </c:pt>
                <c:pt idx="9">
                  <c:v>-20.871562524684329</c:v>
                </c:pt>
                <c:pt idx="10">
                  <c:v>-19.948999999999998</c:v>
                </c:pt>
                <c:pt idx="11">
                  <c:v>-13.879633227422808</c:v>
                </c:pt>
                <c:pt idx="12">
                  <c:v>-10.329281262342167</c:v>
                </c:pt>
                <c:pt idx="13">
                  <c:v>-7.8102664548456211</c:v>
                </c:pt>
                <c:pt idx="14">
                  <c:v>-5.8563667725771893</c:v>
                </c:pt>
                <c:pt idx="15">
                  <c:v>-5.5129405856351781</c:v>
                </c:pt>
                <c:pt idx="16">
                  <c:v>-4.2599144897649772</c:v>
                </c:pt>
                <c:pt idx="17">
                  <c:v>-2.9101333172325532</c:v>
                </c:pt>
                <c:pt idx="18">
                  <c:v>-1.7408996822684344</c:v>
                </c:pt>
                <c:pt idx="19">
                  <c:v>-0.70956252468433334</c:v>
                </c:pt>
                <c:pt idx="20">
                  <c:v>0.21300000000000097</c:v>
                </c:pt>
                <c:pt idx="21">
                  <c:v>6.2823667725771895</c:v>
                </c:pt>
                <c:pt idx="22">
                  <c:v>9.8327187376578333</c:v>
                </c:pt>
                <c:pt idx="23">
                  <c:v>12.351733545154378</c:v>
                </c:pt>
                <c:pt idx="24">
                  <c:v>14.30563322742281</c:v>
                </c:pt>
                <c:pt idx="25">
                  <c:v>15.902085510235022</c:v>
                </c:pt>
                <c:pt idx="26">
                  <c:v>17.251866682767446</c:v>
                </c:pt>
                <c:pt idx="27">
                  <c:v>18.421100317731568</c:v>
                </c:pt>
                <c:pt idx="28">
                  <c:v>19.452437475315669</c:v>
                </c:pt>
                <c:pt idx="29">
                  <c:v>20.375</c:v>
                </c:pt>
                <c:pt idx="30">
                  <c:v>26.44436677257719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6-4959-92D5-1A5BB804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9952"/>
        <c:axId val="161520912"/>
      </c:scatterChart>
      <c:valAx>
        <c:axId val="161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20912"/>
        <c:crosses val="autoZero"/>
        <c:crossBetween val="midCat"/>
      </c:valAx>
      <c:valAx>
        <c:axId val="161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Linéarité LNA Inductance Dégénérée - réseau adapation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687560601367694E-2"/>
          <c:y val="0.10352901059147958"/>
          <c:w val="0.92116754126837952"/>
          <c:h val="0.738307094560017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'Simulation transistoire '!$U$2:$V$2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'Simulation transistoire '!$P$5:$P$34</c:f>
              <c:numCache>
                <c:formatCode>0</c:formatCode>
                <c:ptCount val="30"/>
                <c:pt idx="0">
                  <c:v>-60</c:v>
                </c:pt>
                <c:pt idx="1">
                  <c:v>-53.979400086720375</c:v>
                </c:pt>
                <c:pt idx="2">
                  <c:v>-50.457574905606748</c:v>
                </c:pt>
                <c:pt idx="3">
                  <c:v>-47.95880017344075</c:v>
                </c:pt>
                <c:pt idx="4">
                  <c:v>-46.020599913279625</c:v>
                </c:pt>
                <c:pt idx="5">
                  <c:v>-44.436974992327123</c:v>
                </c:pt>
                <c:pt idx="6">
                  <c:v>-43.098039199714862</c:v>
                </c:pt>
                <c:pt idx="7">
                  <c:v>-41.938200260161125</c:v>
                </c:pt>
                <c:pt idx="8">
                  <c:v>-40.915149811213503</c:v>
                </c:pt>
                <c:pt idx="9">
                  <c:v>-40</c:v>
                </c:pt>
                <c:pt idx="10">
                  <c:v>-33.979400086720375</c:v>
                </c:pt>
                <c:pt idx="11">
                  <c:v>-30.457574905606752</c:v>
                </c:pt>
                <c:pt idx="12">
                  <c:v>-27.95880017344075</c:v>
                </c:pt>
                <c:pt idx="13">
                  <c:v>-26.020599913279625</c:v>
                </c:pt>
                <c:pt idx="14">
                  <c:v>-25.679933127304015</c:v>
                </c:pt>
                <c:pt idx="15">
                  <c:v>-24.436974992327126</c:v>
                </c:pt>
                <c:pt idx="16">
                  <c:v>-23.098039199714862</c:v>
                </c:pt>
                <c:pt idx="17">
                  <c:v>-21.938200260161128</c:v>
                </c:pt>
                <c:pt idx="18">
                  <c:v>-20.915149811213503</c:v>
                </c:pt>
                <c:pt idx="19">
                  <c:v>-20</c:v>
                </c:pt>
                <c:pt idx="20">
                  <c:v>-13.979400086720375</c:v>
                </c:pt>
                <c:pt idx="21">
                  <c:v>-10.457574905606752</c:v>
                </c:pt>
                <c:pt idx="22">
                  <c:v>-7.9588001734407516</c:v>
                </c:pt>
                <c:pt idx="23">
                  <c:v>-6.0205999132796242</c:v>
                </c:pt>
                <c:pt idx="24">
                  <c:v>-4.4369749923271282</c:v>
                </c:pt>
                <c:pt idx="25">
                  <c:v>-3.0980391997148637</c:v>
                </c:pt>
                <c:pt idx="26">
                  <c:v>-1.9382002601611279</c:v>
                </c:pt>
                <c:pt idx="27">
                  <c:v>-0.91514981121350236</c:v>
                </c:pt>
                <c:pt idx="28">
                  <c:v>0</c:v>
                </c:pt>
                <c:pt idx="29">
                  <c:v>6.0205999132796242</c:v>
                </c:pt>
              </c:numCache>
            </c:numRef>
          </c:xVal>
          <c:yVal>
            <c:numRef>
              <c:f>'Simulation transistoire '!$T$5:$T$34</c:f>
              <c:numCache>
                <c:formatCode>General</c:formatCode>
                <c:ptCount val="30"/>
                <c:pt idx="0">
                  <c:v>-34.132748905771066</c:v>
                </c:pt>
                <c:pt idx="1">
                  <c:v>-28.112148992491463</c:v>
                </c:pt>
                <c:pt idx="2">
                  <c:v>-24.59032381137785</c:v>
                </c:pt>
                <c:pt idx="3">
                  <c:v>-22.097076212480154</c:v>
                </c:pt>
                <c:pt idx="4">
                  <c:v>-20.157770244261002</c:v>
                </c:pt>
                <c:pt idx="5">
                  <c:v>-18.573408262793148</c:v>
                </c:pt>
                <c:pt idx="6">
                  <c:v>-17.237105116410255</c:v>
                </c:pt>
                <c:pt idx="7">
                  <c:v>-16.076476299200532</c:v>
                </c:pt>
                <c:pt idx="8">
                  <c:v>-15.05526900986472</c:v>
                </c:pt>
                <c:pt idx="9">
                  <c:v>-14.13916070684126</c:v>
                </c:pt>
                <c:pt idx="10">
                  <c:v>-8.1347218285308767</c:v>
                </c:pt>
                <c:pt idx="11">
                  <c:v>-4.6959455308744529</c:v>
                </c:pt>
                <c:pt idx="12">
                  <c:v>-2.5080446259360039</c:v>
                </c:pt>
                <c:pt idx="13">
                  <c:v>-1.0797039484344466</c:v>
                </c:pt>
                <c:pt idx="14">
                  <c:v>-0.85489584315959544</c:v>
                </c:pt>
                <c:pt idx="15">
                  <c:v>0.18608529578739971</c:v>
                </c:pt>
                <c:pt idx="16">
                  <c:v>0.93998025071243829</c:v>
                </c:pt>
                <c:pt idx="17">
                  <c:v>1.4435221082193841</c:v>
                </c:pt>
                <c:pt idx="18">
                  <c:v>1.8047200497847162</c:v>
                </c:pt>
                <c:pt idx="19">
                  <c:v>2.0823642817013677</c:v>
                </c:pt>
                <c:pt idx="20">
                  <c:v>1.9323370433614517</c:v>
                </c:pt>
                <c:pt idx="21">
                  <c:v>4.7889427835416134</c:v>
                </c:pt>
                <c:pt idx="22">
                  <c:v>5.43550824452387</c:v>
                </c:pt>
                <c:pt idx="23">
                  <c:v>5.995700900452495</c:v>
                </c:pt>
                <c:pt idx="24">
                  <c:v>6.4285714598432211</c:v>
                </c:pt>
                <c:pt idx="25">
                  <c:v>6.6446070541248261</c:v>
                </c:pt>
                <c:pt idx="26">
                  <c:v>6.7886710475624179</c:v>
                </c:pt>
                <c:pt idx="27">
                  <c:v>6.910219153938999</c:v>
                </c:pt>
                <c:pt idx="28">
                  <c:v>7.1174746364926103</c:v>
                </c:pt>
                <c:pt idx="29">
                  <c:v>7.4120565176933937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09E-969D-63AC16044731}"/>
            </c:ext>
          </c:extLst>
        </c:ser>
        <c:ser>
          <c:idx val="1"/>
          <c:order val="1"/>
          <c:tx>
            <c:strRef>
              <c:f>'Simulation transistoire '!$W$2:$W$3</c:f>
              <c:strCache>
                <c:ptCount val="2"/>
                <c:pt idx="0">
                  <c:v>Tangente Vout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'Simulation transistoire '!$P$4:$P$34</c:f>
              <c:numCache>
                <c:formatCode>0</c:formatCode>
                <c:ptCount val="31"/>
                <c:pt idx="0">
                  <c:v>-81.514414278762359</c:v>
                </c:pt>
                <c:pt idx="1">
                  <c:v>-60</c:v>
                </c:pt>
                <c:pt idx="2">
                  <c:v>-53.979400086720375</c:v>
                </c:pt>
                <c:pt idx="3">
                  <c:v>-50.457574905606748</c:v>
                </c:pt>
                <c:pt idx="4">
                  <c:v>-47.95880017344075</c:v>
                </c:pt>
                <c:pt idx="5">
                  <c:v>-46.020599913279625</c:v>
                </c:pt>
                <c:pt idx="6">
                  <c:v>-44.436974992327123</c:v>
                </c:pt>
                <c:pt idx="7">
                  <c:v>-43.098039199714862</c:v>
                </c:pt>
                <c:pt idx="8">
                  <c:v>-41.938200260161125</c:v>
                </c:pt>
                <c:pt idx="9">
                  <c:v>-40.915149811213503</c:v>
                </c:pt>
                <c:pt idx="10">
                  <c:v>-40</c:v>
                </c:pt>
                <c:pt idx="11">
                  <c:v>-33.979400086720375</c:v>
                </c:pt>
                <c:pt idx="12">
                  <c:v>-30.457574905606752</c:v>
                </c:pt>
                <c:pt idx="13">
                  <c:v>-27.95880017344075</c:v>
                </c:pt>
                <c:pt idx="14">
                  <c:v>-26.020599913279625</c:v>
                </c:pt>
                <c:pt idx="15">
                  <c:v>-25.679933127304015</c:v>
                </c:pt>
                <c:pt idx="16">
                  <c:v>-24.436974992327126</c:v>
                </c:pt>
                <c:pt idx="17">
                  <c:v>-23.098039199714862</c:v>
                </c:pt>
                <c:pt idx="18">
                  <c:v>-21.938200260161128</c:v>
                </c:pt>
                <c:pt idx="19">
                  <c:v>-20.915149811213503</c:v>
                </c:pt>
                <c:pt idx="20">
                  <c:v>-20</c:v>
                </c:pt>
                <c:pt idx="21">
                  <c:v>-13.979400086720375</c:v>
                </c:pt>
                <c:pt idx="22">
                  <c:v>-10.457574905606752</c:v>
                </c:pt>
                <c:pt idx="23">
                  <c:v>-7.9588001734407516</c:v>
                </c:pt>
                <c:pt idx="24">
                  <c:v>-6.0205999132796242</c:v>
                </c:pt>
                <c:pt idx="25">
                  <c:v>-4.4369749923271282</c:v>
                </c:pt>
                <c:pt idx="26">
                  <c:v>-3.0980391997148637</c:v>
                </c:pt>
                <c:pt idx="27">
                  <c:v>-1.9382002601611279</c:v>
                </c:pt>
                <c:pt idx="28">
                  <c:v>-0.91514981121350236</c:v>
                </c:pt>
                <c:pt idx="29">
                  <c:v>0</c:v>
                </c:pt>
                <c:pt idx="30">
                  <c:v>6.0205999132796242</c:v>
                </c:pt>
              </c:numCache>
            </c:numRef>
          </c:xVal>
          <c:yVal>
            <c:numRef>
              <c:f>'Simulation transistoire '!$W$4:$W$34</c:f>
              <c:numCache>
                <c:formatCode>General</c:formatCode>
                <c:ptCount val="31"/>
                <c:pt idx="0">
                  <c:v>-55.637808513050864</c:v>
                </c:pt>
                <c:pt idx="1">
                  <c:v>-34.131999999999998</c:v>
                </c:pt>
                <c:pt idx="2">
                  <c:v>-28.113808326685685</c:v>
                </c:pt>
                <c:pt idx="3">
                  <c:v>-24.593391875644507</c:v>
                </c:pt>
                <c:pt idx="4">
                  <c:v>-22.095616653371373</c:v>
                </c:pt>
                <c:pt idx="5">
                  <c:v>-20.158191673314313</c:v>
                </c:pt>
                <c:pt idx="6">
                  <c:v>-18.575200202330194</c:v>
                </c:pt>
                <c:pt idx="7">
                  <c:v>-17.236799984034974</c:v>
                </c:pt>
                <c:pt idx="8">
                  <c:v>-16.07742498005706</c:v>
                </c:pt>
                <c:pt idx="9">
                  <c:v>-15.054783751289015</c:v>
                </c:pt>
                <c:pt idx="10">
                  <c:v>-14.14</c:v>
                </c:pt>
                <c:pt idx="11">
                  <c:v>-8.121808326685688</c:v>
                </c:pt>
                <c:pt idx="12">
                  <c:v>-4.6013918756445094</c:v>
                </c:pt>
                <c:pt idx="13">
                  <c:v>-2.1036166533713718</c:v>
                </c:pt>
                <c:pt idx="14">
                  <c:v>-0.16619167331431228</c:v>
                </c:pt>
                <c:pt idx="15">
                  <c:v>0.17433884594690596</c:v>
                </c:pt>
                <c:pt idx="16">
                  <c:v>1.4167997976698032</c:v>
                </c:pt>
                <c:pt idx="17">
                  <c:v>2.7552000159650234</c:v>
                </c:pt>
                <c:pt idx="18">
                  <c:v>3.9145750199429372</c:v>
                </c:pt>
                <c:pt idx="19">
                  <c:v>4.9372162487109819</c:v>
                </c:pt>
                <c:pt idx="20">
                  <c:v>5.8520000000000003</c:v>
                </c:pt>
                <c:pt idx="21">
                  <c:v>11.870191673314315</c:v>
                </c:pt>
                <c:pt idx="22">
                  <c:v>15.390608124355492</c:v>
                </c:pt>
                <c:pt idx="23">
                  <c:v>17.888383346628626</c:v>
                </c:pt>
                <c:pt idx="24">
                  <c:v>19.825808326685689</c:v>
                </c:pt>
                <c:pt idx="25">
                  <c:v>21.408799797669804</c:v>
                </c:pt>
                <c:pt idx="26">
                  <c:v>22.747200015965024</c:v>
                </c:pt>
                <c:pt idx="27">
                  <c:v>23.906575019942938</c:v>
                </c:pt>
                <c:pt idx="28">
                  <c:v>24.929216248710983</c:v>
                </c:pt>
                <c:pt idx="29">
                  <c:v>25.844000000000001</c:v>
                </c:pt>
                <c:pt idx="30">
                  <c:v>31.862191673314314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09E-969D-63AC1604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9952"/>
        <c:axId val="161520912"/>
      </c:scatterChart>
      <c:valAx>
        <c:axId val="161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20912"/>
        <c:crosses val="autoZero"/>
        <c:crossBetween val="midCat"/>
      </c:valAx>
      <c:valAx>
        <c:axId val="161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Vout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439830</xdr:colOff>
      <xdr:row>0</xdr:row>
      <xdr:rowOff>389404</xdr:rowOff>
    </xdr:from>
    <xdr:to>
      <xdr:col>13</xdr:col>
      <xdr:colOff>145383</xdr:colOff>
      <xdr:row>21</xdr:row>
      <xdr:rowOff>110256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97BCE4C3-6EC7-4AFC-9677-41A547C6D2D6}"/>
            </a:ext>
          </a:extLst>
        </xdr:cNvPr>
        <xdr:cNvGrpSpPr/>
      </xdr:nvGrpSpPr>
      <xdr:grpSpPr>
        <a:xfrm>
          <a:off x="9875183" y="389404"/>
          <a:ext cx="4277553" cy="3967881"/>
          <a:chOff x="1224435" y="1774659"/>
          <a:chExt cx="3362952" cy="447071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CC4BB50-0AFF-0436-DCEB-FDC7D130A9F7}"/>
              </a:ext>
            </a:extLst>
          </xdr:cNvPr>
          <xdr:cNvSpPr/>
        </xdr:nvSpPr>
        <xdr:spPr>
          <a:xfrm>
            <a:off x="1339411" y="1774659"/>
            <a:ext cx="2775389" cy="447071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4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30EBD1F8-BA1E-57D9-6B54-CD1B851AF8D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>
            <a:off x="1433059" y="4501455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26DD3897-881F-DFFD-A8E1-19321F7D5F7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 rot="5400000">
            <a:off x="2366021" y="5449183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ZoneTexte 126">
                <a:extLst>
                  <a:ext uri="{FF2B5EF4-FFF2-40B4-BE49-F238E27FC236}">
                    <a16:creationId xmlns:a16="http://schemas.microsoft.com/office/drawing/2014/main" id="{DF17441E-73C1-C293-7821-47CA6235DC27}"/>
                  </a:ext>
                </a:extLst>
              </xdr:cNvPr>
              <xdr:cNvSpPr txBox="1"/>
            </xdr:nvSpPr>
            <xdr:spPr>
              <a:xfrm>
                <a:off x="2414781" y="538857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2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6" name="ZoneTexte 126">
                <a:extLst>
                  <a:ext uri="{FF2B5EF4-FFF2-40B4-BE49-F238E27FC236}">
                    <a16:creationId xmlns:a16="http://schemas.microsoft.com/office/drawing/2014/main" id="{DF17441E-73C1-C293-7821-47CA6235DC27}"/>
                  </a:ext>
                </a:extLst>
              </xdr:cNvPr>
              <xdr:cNvSpPr txBox="1"/>
            </xdr:nvSpPr>
            <xdr:spPr>
              <a:xfrm>
                <a:off x="2414781" y="538857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2</a:t>
                </a:r>
                <a:endParaRPr lang="fr-FR" baseline="-25000"/>
              </a:p>
            </xdr:txBody>
          </xdr:sp>
        </mc:Fallback>
      </mc:AlternateContent>
      <xdr:pic>
        <xdr:nvPicPr>
          <xdr:cNvPr id="7" name="Picture 6" descr="symbole d'inducteur électrique, inducteur électrique : image vectorielle de  stock (libre de droits) 2174383067 | Shutterstock">
            <a:extLst>
              <a:ext uri="{FF2B5EF4-FFF2-40B4-BE49-F238E27FC236}">
                <a16:creationId xmlns:a16="http://schemas.microsoft.com/office/drawing/2014/main" id="{FACFC67E-D9F6-334D-08A6-5B06F0FF8D5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672" t="29403" r="10534" b="50298"/>
          <a:stretch/>
        </xdr:blipFill>
        <xdr:spPr bwMode="auto">
          <a:xfrm rot="5400000">
            <a:off x="1853276" y="2427747"/>
            <a:ext cx="760244" cy="227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2" descr="Résistances – SOA">
            <a:extLst>
              <a:ext uri="{FF2B5EF4-FFF2-40B4-BE49-F238E27FC236}">
                <a16:creationId xmlns:a16="http://schemas.microsoft.com/office/drawing/2014/main" id="{17490E6C-091D-3EEF-8D7D-7DB6F594954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204" r="9048"/>
          <a:stretch/>
        </xdr:blipFill>
        <xdr:spPr bwMode="auto">
          <a:xfrm rot="5400000">
            <a:off x="2382288" y="2305121"/>
            <a:ext cx="569291" cy="5233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9" name="Groupe 8">
            <a:extLst>
              <a:ext uri="{FF2B5EF4-FFF2-40B4-BE49-F238E27FC236}">
                <a16:creationId xmlns:a16="http://schemas.microsoft.com/office/drawing/2014/main" id="{323234AA-709C-CFE2-C1DC-730C026D7EC8}"/>
              </a:ext>
            </a:extLst>
          </xdr:cNvPr>
          <xdr:cNvGrpSpPr/>
        </xdr:nvGrpSpPr>
        <xdr:grpSpPr>
          <a:xfrm rot="16200000">
            <a:off x="3604180" y="1926473"/>
            <a:ext cx="753566" cy="1212849"/>
            <a:chOff x="3095627" y="987425"/>
            <a:chExt cx="847724" cy="1212849"/>
          </a:xfrm>
        </xdr:grpSpPr>
        <xdr:cxnSp macro="">
          <xdr:nvCxnSpPr>
            <xdr:cNvPr id="54" name="Connecteur droit 53">
              <a:extLst>
                <a:ext uri="{FF2B5EF4-FFF2-40B4-BE49-F238E27FC236}">
                  <a16:creationId xmlns:a16="http://schemas.microsoft.com/office/drawing/2014/main" id="{07BDA3E6-BF8D-4E58-6725-6B93627F53FE}"/>
                </a:ext>
              </a:extLst>
            </xdr:cNvPr>
            <xdr:cNvCxnSpPr>
              <a:cxnSpLocks/>
            </xdr:cNvCxnSpPr>
          </xdr:nvCxnSpPr>
          <xdr:spPr>
            <a:xfrm rot="5400000" flipV="1">
              <a:off x="3765551" y="1009650"/>
              <a:ext cx="6350" cy="3492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5" name="ZoneTexte 9">
                  <a:extLst>
                    <a:ext uri="{FF2B5EF4-FFF2-40B4-BE49-F238E27FC236}">
                      <a16:creationId xmlns:a16="http://schemas.microsoft.com/office/drawing/2014/main" id="{CBD31CA4-5CBE-3353-057F-9FD78A05D6BE}"/>
                    </a:ext>
                  </a:extLst>
                </xdr:cNvPr>
                <xdr:cNvSpPr txBox="1"/>
              </xdr:nvSpPr>
              <xdr:spPr>
                <a:xfrm rot="5400000">
                  <a:off x="2935937" y="1389680"/>
                  <a:ext cx="1212849" cy="40833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m:rPr>
                            <m:sty m:val="p"/>
                          </m:rPr>
                          <a:rPr lang="fr-FR" b="0" i="0">
                            <a:latin typeface="Cambria Math" panose="02040503050406030204" pitchFamily="18" charset="0"/>
                          </a:rPr>
                          <m:t>C</m:t>
                        </m:r>
                      </m:oMath>
                    </m:oMathPara>
                  </a14:m>
                  <a:endParaRPr lang="fr-FR" baseline="-25000"/>
                </a:p>
              </xdr:txBody>
            </xdr:sp>
          </mc:Choice>
          <mc:Fallback xmlns="">
            <xdr:sp macro="" textlink="">
              <xdr:nvSpPr>
                <xdr:cNvPr id="55" name="ZoneTexte 9">
                  <a:extLst>
                    <a:ext uri="{FF2B5EF4-FFF2-40B4-BE49-F238E27FC236}">
                      <a16:creationId xmlns:a16="http://schemas.microsoft.com/office/drawing/2014/main" id="{CBD31CA4-5CBE-3353-057F-9FD78A05D6BE}"/>
                    </a:ext>
                  </a:extLst>
                </xdr:cNvPr>
                <xdr:cNvSpPr txBox="1"/>
              </xdr:nvSpPr>
              <xdr:spPr>
                <a:xfrm rot="5400000">
                  <a:off x="2935937" y="1389680"/>
                  <a:ext cx="1212849" cy="40833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C</a:t>
                  </a:r>
                  <a:endParaRPr lang="fr-FR" baseline="-25000"/>
                </a:p>
              </xdr:txBody>
            </xdr:sp>
          </mc:Fallback>
        </mc:AlternateContent>
        <xdr:cxnSp macro="">
          <xdr:nvCxnSpPr>
            <xdr:cNvPr id="56" name="Connecteur droit 55">
              <a:extLst>
                <a:ext uri="{FF2B5EF4-FFF2-40B4-BE49-F238E27FC236}">
                  <a16:creationId xmlns:a16="http://schemas.microsoft.com/office/drawing/2014/main" id="{28CEAD20-F65E-300D-12E6-418C6FD069C6}"/>
                </a:ext>
              </a:extLst>
            </xdr:cNvPr>
            <xdr:cNvCxnSpPr>
              <a:cxnSpLocks/>
            </xdr:cNvCxnSpPr>
          </xdr:nvCxnSpPr>
          <xdr:spPr>
            <a:xfrm rot="5400000" flipH="1">
              <a:off x="3254377" y="1181101"/>
              <a:ext cx="38735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" name="Connecteur droit 56">
              <a:extLst>
                <a:ext uri="{FF2B5EF4-FFF2-40B4-BE49-F238E27FC236}">
                  <a16:creationId xmlns:a16="http://schemas.microsoft.com/office/drawing/2014/main" id="{E52BFAE7-B7C0-DFF1-E3FF-B3F69410E421}"/>
                </a:ext>
              </a:extLst>
            </xdr:cNvPr>
            <xdr:cNvCxnSpPr>
              <a:cxnSpLocks/>
            </xdr:cNvCxnSpPr>
          </xdr:nvCxnSpPr>
          <xdr:spPr>
            <a:xfrm rot="5400000" flipH="1">
              <a:off x="3406777" y="1181100"/>
              <a:ext cx="38735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" name="Connecteur droit 57">
              <a:extLst>
                <a:ext uri="{FF2B5EF4-FFF2-40B4-BE49-F238E27FC236}">
                  <a16:creationId xmlns:a16="http://schemas.microsoft.com/office/drawing/2014/main" id="{ECDA029C-46B5-2B16-471B-17C54D0397F1}"/>
                </a:ext>
              </a:extLst>
            </xdr:cNvPr>
            <xdr:cNvCxnSpPr>
              <a:cxnSpLocks/>
            </xdr:cNvCxnSpPr>
          </xdr:nvCxnSpPr>
          <xdr:spPr>
            <a:xfrm rot="5400000" flipV="1">
              <a:off x="3267077" y="1009650"/>
              <a:ext cx="6350" cy="3492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0" name="Groupe 9">
            <a:extLst>
              <a:ext uri="{FF2B5EF4-FFF2-40B4-BE49-F238E27FC236}">
                <a16:creationId xmlns:a16="http://schemas.microsoft.com/office/drawing/2014/main" id="{EB47FE1B-CF58-F9C9-4257-59BFF63C7A44}"/>
              </a:ext>
            </a:extLst>
          </xdr:cNvPr>
          <xdr:cNvGrpSpPr/>
        </xdr:nvGrpSpPr>
        <xdr:grpSpPr>
          <a:xfrm>
            <a:off x="2124843" y="2985446"/>
            <a:ext cx="542544" cy="1208778"/>
            <a:chOff x="9287256" y="548140"/>
            <a:chExt cx="542544" cy="1208778"/>
          </a:xfrm>
        </xdr:grpSpPr>
        <xdr:cxnSp macro="">
          <xdr:nvCxnSpPr>
            <xdr:cNvPr id="47" name="Connecteur droit 46">
              <a:extLst>
                <a:ext uri="{FF2B5EF4-FFF2-40B4-BE49-F238E27FC236}">
                  <a16:creationId xmlns:a16="http://schemas.microsoft.com/office/drawing/2014/main" id="{037CF998-91CB-54DD-37FD-E46812399452}"/>
                </a:ext>
              </a:extLst>
            </xdr:cNvPr>
            <xdr:cNvCxnSpPr/>
          </xdr:nvCxnSpPr>
          <xdr:spPr>
            <a:xfrm>
              <a:off x="9829800" y="54814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" name="Connecteur droit 47">
              <a:extLst>
                <a:ext uri="{FF2B5EF4-FFF2-40B4-BE49-F238E27FC236}">
                  <a16:creationId xmlns:a16="http://schemas.microsoft.com/office/drawing/2014/main" id="{AC531D37-7C34-3FFE-9AD9-5842A1652118}"/>
                </a:ext>
              </a:extLst>
            </xdr:cNvPr>
            <xdr:cNvCxnSpPr>
              <a:cxnSpLocks/>
            </xdr:cNvCxnSpPr>
          </xdr:nvCxnSpPr>
          <xdr:spPr>
            <a:xfrm>
              <a:off x="9601200" y="910709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" name="Connecteur droit 48">
              <a:extLst>
                <a:ext uri="{FF2B5EF4-FFF2-40B4-BE49-F238E27FC236}">
                  <a16:creationId xmlns:a16="http://schemas.microsoft.com/office/drawing/2014/main" id="{3A815D89-70FC-DB35-9B7B-E5F3844D0ADE}"/>
                </a:ext>
              </a:extLst>
            </xdr:cNvPr>
            <xdr:cNvCxnSpPr>
              <a:cxnSpLocks/>
            </xdr:cNvCxnSpPr>
          </xdr:nvCxnSpPr>
          <xdr:spPr>
            <a:xfrm flipH="1">
              <a:off x="9596628" y="916240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" name="Connecteur droit 49">
              <a:extLst>
                <a:ext uri="{FF2B5EF4-FFF2-40B4-BE49-F238E27FC236}">
                  <a16:creationId xmlns:a16="http://schemas.microsoft.com/office/drawing/2014/main" id="{7BE87855-CC5E-B471-E1CD-6DC5A46FABED}"/>
                </a:ext>
              </a:extLst>
            </xdr:cNvPr>
            <xdr:cNvCxnSpPr>
              <a:cxnSpLocks/>
            </xdr:cNvCxnSpPr>
          </xdr:nvCxnSpPr>
          <xdr:spPr>
            <a:xfrm flipH="1">
              <a:off x="9287256" y="1144329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Connecteur droit 50">
              <a:extLst>
                <a:ext uri="{FF2B5EF4-FFF2-40B4-BE49-F238E27FC236}">
                  <a16:creationId xmlns:a16="http://schemas.microsoft.com/office/drawing/2014/main" id="{0B6C8E68-EA75-D19F-1383-4D1639EA9CF8}"/>
                </a:ext>
              </a:extLst>
            </xdr:cNvPr>
            <xdr:cNvCxnSpPr/>
          </xdr:nvCxnSpPr>
          <xdr:spPr>
            <a:xfrm>
              <a:off x="9829800" y="137795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" name="Connecteur droit 51">
              <a:extLst>
                <a:ext uri="{FF2B5EF4-FFF2-40B4-BE49-F238E27FC236}">
                  <a16:creationId xmlns:a16="http://schemas.microsoft.com/office/drawing/2014/main" id="{891C4EBA-9A0E-A092-A9B3-E22312153924}"/>
                </a:ext>
              </a:extLst>
            </xdr:cNvPr>
            <xdr:cNvCxnSpPr>
              <a:cxnSpLocks/>
            </xdr:cNvCxnSpPr>
          </xdr:nvCxnSpPr>
          <xdr:spPr>
            <a:xfrm>
              <a:off x="9515856" y="910708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" name="Connecteur droit avec flèche 52">
              <a:extLst>
                <a:ext uri="{FF2B5EF4-FFF2-40B4-BE49-F238E27FC236}">
                  <a16:creationId xmlns:a16="http://schemas.microsoft.com/office/drawing/2014/main" id="{45B6EA60-9C34-364C-E7AF-1120EB6A26DB}"/>
                </a:ext>
              </a:extLst>
            </xdr:cNvPr>
            <xdr:cNvCxnSpPr>
              <a:cxnSpLocks/>
            </xdr:cNvCxnSpPr>
          </xdr:nvCxnSpPr>
          <xdr:spPr>
            <a:xfrm>
              <a:off x="9596628" y="1377949"/>
              <a:ext cx="2286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A13BEBAA-B0EB-1169-D7BB-55980B3F66F6}"/>
              </a:ext>
            </a:extLst>
          </xdr:cNvPr>
          <xdr:cNvGrpSpPr/>
        </xdr:nvGrpSpPr>
        <xdr:grpSpPr>
          <a:xfrm>
            <a:off x="1628924" y="1774659"/>
            <a:ext cx="1945639" cy="386199"/>
            <a:chOff x="5357573" y="1925201"/>
            <a:chExt cx="1945639" cy="386199"/>
          </a:xfrm>
        </xdr:grpSpPr>
        <xdr:cxnSp macro="">
          <xdr:nvCxnSpPr>
            <xdr:cNvPr id="45" name="Connecteur droit 44">
              <a:extLst>
                <a:ext uri="{FF2B5EF4-FFF2-40B4-BE49-F238E27FC236}">
                  <a16:creationId xmlns:a16="http://schemas.microsoft.com/office/drawing/2014/main" id="{F1204B44-6006-6EC4-EE29-7230855EF3A6}"/>
                </a:ext>
              </a:extLst>
            </xdr:cNvPr>
            <xdr:cNvCxnSpPr>
              <a:cxnSpLocks/>
            </xdr:cNvCxnSpPr>
          </xdr:nvCxnSpPr>
          <xdr:spPr>
            <a:xfrm>
              <a:off x="5357573" y="2311400"/>
              <a:ext cx="1945639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6" name="ZoneTexte 70">
                  <a:extLst>
                    <a:ext uri="{FF2B5EF4-FFF2-40B4-BE49-F238E27FC236}">
                      <a16:creationId xmlns:a16="http://schemas.microsoft.com/office/drawing/2014/main" id="{81ED3DC7-5883-0DA0-646B-EBCA0FE5AA47}"/>
                    </a:ext>
                  </a:extLst>
                </xdr:cNvPr>
                <xdr:cNvSpPr txBox="1"/>
              </xdr:nvSpPr>
              <xdr:spPr>
                <a:xfrm>
                  <a:off x="5569758" y="1925201"/>
                  <a:ext cx="121284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fr-FR" b="0" i="1">
                            <a:latin typeface="Cambria Math" panose="02040503050406030204" pitchFamily="18" charset="0"/>
                          </a:rPr>
                          <m:t>𝑉𝑑𝑑</m:t>
                        </m:r>
                      </m:oMath>
                    </m:oMathPara>
                  </a14:m>
                  <a:endParaRPr lang="fr-FR"/>
                </a:p>
              </xdr:txBody>
            </xdr:sp>
          </mc:Choice>
          <mc:Fallback xmlns="">
            <xdr:sp macro="" textlink="">
              <xdr:nvSpPr>
                <xdr:cNvPr id="46" name="ZoneTexte 70">
                  <a:extLst>
                    <a:ext uri="{FF2B5EF4-FFF2-40B4-BE49-F238E27FC236}">
                      <a16:creationId xmlns:a16="http://schemas.microsoft.com/office/drawing/2014/main" id="{81ED3DC7-5883-0DA0-646B-EBCA0FE5AA47}"/>
                    </a:ext>
                  </a:extLst>
                </xdr:cNvPr>
                <xdr:cNvSpPr txBox="1"/>
              </xdr:nvSpPr>
              <xdr:spPr>
                <a:xfrm>
                  <a:off x="5569758" y="1925201"/>
                  <a:ext cx="121284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𝑉𝑑𝑑</a:t>
                  </a:r>
                  <a:endParaRPr lang="fr-FR"/>
                </a:p>
              </xdr:txBody>
            </xdr:sp>
          </mc:Fallback>
        </mc:AlternateContent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" name="ZoneTexte 85">
                <a:extLst>
                  <a:ext uri="{FF2B5EF4-FFF2-40B4-BE49-F238E27FC236}">
                    <a16:creationId xmlns:a16="http://schemas.microsoft.com/office/drawing/2014/main" id="{BD70FC00-9222-4B4C-F342-817D3FE67240}"/>
                  </a:ext>
                </a:extLst>
              </xdr:cNvPr>
              <xdr:cNvSpPr txBox="1"/>
            </xdr:nvSpPr>
            <xdr:spPr>
              <a:xfrm>
                <a:off x="2539371" y="4529546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1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12" name="ZoneTexte 85">
                <a:extLst>
                  <a:ext uri="{FF2B5EF4-FFF2-40B4-BE49-F238E27FC236}">
                    <a16:creationId xmlns:a16="http://schemas.microsoft.com/office/drawing/2014/main" id="{BD70FC00-9222-4B4C-F342-817D3FE67240}"/>
                  </a:ext>
                </a:extLst>
              </xdr:cNvPr>
              <xdr:cNvSpPr txBox="1"/>
            </xdr:nvSpPr>
            <xdr:spPr>
              <a:xfrm>
                <a:off x="2539371" y="4529546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𝑁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1</a:t>
                </a:r>
                <a:endParaRPr lang="fr-FR" baseline="-25000"/>
              </a:p>
            </xdr:txBody>
          </xdr:sp>
        </mc:Fallback>
      </mc:AlternateContent>
      <xdr:cxnSp macro="">
        <xdr:nvCxnSpPr>
          <xdr:cNvPr id="13" name="Connecteur droit 12">
            <a:extLst>
              <a:ext uri="{FF2B5EF4-FFF2-40B4-BE49-F238E27FC236}">
                <a16:creationId xmlns:a16="http://schemas.microsoft.com/office/drawing/2014/main" id="{842F87AA-2854-354F-05F6-34D1AFBFBCF5}"/>
              </a:ext>
            </a:extLst>
          </xdr:cNvPr>
          <xdr:cNvCxnSpPr>
            <a:cxnSpLocks/>
          </xdr:cNvCxnSpPr>
        </xdr:nvCxnSpPr>
        <xdr:spPr>
          <a:xfrm flipH="1">
            <a:off x="2663879" y="2160715"/>
            <a:ext cx="1233" cy="1718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ZoneTexte 90">
                <a:extLst>
                  <a:ext uri="{FF2B5EF4-FFF2-40B4-BE49-F238E27FC236}">
                    <a16:creationId xmlns:a16="http://schemas.microsoft.com/office/drawing/2014/main" id="{052324FA-857C-DCB9-E4E2-B196322290F6}"/>
                  </a:ext>
                </a:extLst>
              </xdr:cNvPr>
              <xdr:cNvSpPr txBox="1"/>
            </xdr:nvSpPr>
            <xdr:spPr>
              <a:xfrm>
                <a:off x="2393840" y="2367623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𝑅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14" name="ZoneTexte 90">
                <a:extLst>
                  <a:ext uri="{FF2B5EF4-FFF2-40B4-BE49-F238E27FC236}">
                    <a16:creationId xmlns:a16="http://schemas.microsoft.com/office/drawing/2014/main" id="{052324FA-857C-DCB9-E4E2-B196322290F6}"/>
                  </a:ext>
                </a:extLst>
              </xdr:cNvPr>
              <xdr:cNvSpPr txBox="1"/>
            </xdr:nvSpPr>
            <xdr:spPr>
              <a:xfrm>
                <a:off x="2393840" y="2367623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𝑅</a:t>
                </a:r>
                <a:endParaRPr lang="fr-FR" baseline="-250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ZoneTexte 91">
                <a:extLst>
                  <a:ext uri="{FF2B5EF4-FFF2-40B4-BE49-F238E27FC236}">
                    <a16:creationId xmlns:a16="http://schemas.microsoft.com/office/drawing/2014/main" id="{179D6260-C9AC-CB93-30D8-720B1421AF56}"/>
                  </a:ext>
                </a:extLst>
              </xdr:cNvPr>
              <xdr:cNvSpPr txBox="1"/>
            </xdr:nvSpPr>
            <xdr:spPr>
              <a:xfrm>
                <a:off x="1339411" y="232790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15" name="ZoneTexte 91">
                <a:extLst>
                  <a:ext uri="{FF2B5EF4-FFF2-40B4-BE49-F238E27FC236}">
                    <a16:creationId xmlns:a16="http://schemas.microsoft.com/office/drawing/2014/main" id="{179D6260-C9AC-CB93-30D8-720B1421AF56}"/>
                  </a:ext>
                </a:extLst>
              </xdr:cNvPr>
              <xdr:cNvSpPr txBox="1"/>
            </xdr:nvSpPr>
            <xdr:spPr>
              <a:xfrm>
                <a:off x="1339411" y="2327904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endParaRPr lang="fr-FR" baseline="-25000"/>
              </a:p>
            </xdr:txBody>
          </xdr:sp>
        </mc:Fallback>
      </mc:AlternateContent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CC7961F6-9302-0E1D-E293-6C54AF2718D4}"/>
              </a:ext>
            </a:extLst>
          </xdr:cNvPr>
          <xdr:cNvCxnSpPr>
            <a:cxnSpLocks/>
          </xdr:cNvCxnSpPr>
        </xdr:nvCxnSpPr>
        <xdr:spPr>
          <a:xfrm>
            <a:off x="2154378" y="2915660"/>
            <a:ext cx="1417043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Connecteur droit 16">
            <a:extLst>
              <a:ext uri="{FF2B5EF4-FFF2-40B4-BE49-F238E27FC236}">
                <a16:creationId xmlns:a16="http://schemas.microsoft.com/office/drawing/2014/main" id="{B8DDEBBA-89A5-2597-4E80-E341C05D75B9}"/>
              </a:ext>
            </a:extLst>
          </xdr:cNvPr>
          <xdr:cNvCxnSpPr>
            <a:cxnSpLocks/>
          </xdr:cNvCxnSpPr>
        </xdr:nvCxnSpPr>
        <xdr:spPr>
          <a:xfrm>
            <a:off x="2667387" y="2756454"/>
            <a:ext cx="0" cy="33452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grpSp>
        <xdr:nvGrpSpPr>
          <xdr:cNvPr id="18" name="Groupe 17">
            <a:extLst>
              <a:ext uri="{FF2B5EF4-FFF2-40B4-BE49-F238E27FC236}">
                <a16:creationId xmlns:a16="http://schemas.microsoft.com/office/drawing/2014/main" id="{E29507B9-00E1-46A5-9F21-042BDED162EF}"/>
              </a:ext>
            </a:extLst>
          </xdr:cNvPr>
          <xdr:cNvGrpSpPr/>
        </xdr:nvGrpSpPr>
        <xdr:grpSpPr>
          <a:xfrm>
            <a:off x="2122568" y="4095293"/>
            <a:ext cx="542544" cy="1208778"/>
            <a:chOff x="9287256" y="548140"/>
            <a:chExt cx="542544" cy="1208778"/>
          </a:xfrm>
        </xdr:grpSpPr>
        <xdr:cxnSp macro="">
          <xdr:nvCxnSpPr>
            <xdr:cNvPr id="38" name="Connecteur droit 37">
              <a:extLst>
                <a:ext uri="{FF2B5EF4-FFF2-40B4-BE49-F238E27FC236}">
                  <a16:creationId xmlns:a16="http://schemas.microsoft.com/office/drawing/2014/main" id="{B8458B48-E62D-11A9-D2A8-FF947CD324DB}"/>
                </a:ext>
              </a:extLst>
            </xdr:cNvPr>
            <xdr:cNvCxnSpPr/>
          </xdr:nvCxnSpPr>
          <xdr:spPr>
            <a:xfrm>
              <a:off x="9829800" y="54814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Connecteur droit 38">
              <a:extLst>
                <a:ext uri="{FF2B5EF4-FFF2-40B4-BE49-F238E27FC236}">
                  <a16:creationId xmlns:a16="http://schemas.microsoft.com/office/drawing/2014/main" id="{7E557AD4-FB1A-9C6C-C7BA-226ACD99EFBD}"/>
                </a:ext>
              </a:extLst>
            </xdr:cNvPr>
            <xdr:cNvCxnSpPr>
              <a:cxnSpLocks/>
            </xdr:cNvCxnSpPr>
          </xdr:nvCxnSpPr>
          <xdr:spPr>
            <a:xfrm>
              <a:off x="9601200" y="910709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Connecteur droit 39">
              <a:extLst>
                <a:ext uri="{FF2B5EF4-FFF2-40B4-BE49-F238E27FC236}">
                  <a16:creationId xmlns:a16="http://schemas.microsoft.com/office/drawing/2014/main" id="{6AFA2114-9F50-FBC3-F5CA-1FCB8662A57C}"/>
                </a:ext>
              </a:extLst>
            </xdr:cNvPr>
            <xdr:cNvCxnSpPr>
              <a:cxnSpLocks/>
            </xdr:cNvCxnSpPr>
          </xdr:nvCxnSpPr>
          <xdr:spPr>
            <a:xfrm flipH="1">
              <a:off x="9596628" y="916240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necteur droit 40">
              <a:extLst>
                <a:ext uri="{FF2B5EF4-FFF2-40B4-BE49-F238E27FC236}">
                  <a16:creationId xmlns:a16="http://schemas.microsoft.com/office/drawing/2014/main" id="{55C9E4E1-A181-5262-BA06-04ED2789DF0D}"/>
                </a:ext>
              </a:extLst>
            </xdr:cNvPr>
            <xdr:cNvCxnSpPr>
              <a:cxnSpLocks/>
            </xdr:cNvCxnSpPr>
          </xdr:nvCxnSpPr>
          <xdr:spPr>
            <a:xfrm flipH="1">
              <a:off x="9287256" y="1144329"/>
              <a:ext cx="228600" cy="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" name="Connecteur droit 41">
              <a:extLst>
                <a:ext uri="{FF2B5EF4-FFF2-40B4-BE49-F238E27FC236}">
                  <a16:creationId xmlns:a16="http://schemas.microsoft.com/office/drawing/2014/main" id="{8203B877-CB08-EDAD-B7CD-1A2AD984C20A}"/>
                </a:ext>
              </a:extLst>
            </xdr:cNvPr>
            <xdr:cNvCxnSpPr/>
          </xdr:nvCxnSpPr>
          <xdr:spPr>
            <a:xfrm>
              <a:off x="9829800" y="1377950"/>
              <a:ext cx="0" cy="37896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" name="Connecteur droit 42">
              <a:extLst>
                <a:ext uri="{FF2B5EF4-FFF2-40B4-BE49-F238E27FC236}">
                  <a16:creationId xmlns:a16="http://schemas.microsoft.com/office/drawing/2014/main" id="{F37D209D-5A38-1656-F7FB-5411F9F9FAA1}"/>
                </a:ext>
              </a:extLst>
            </xdr:cNvPr>
            <xdr:cNvCxnSpPr>
              <a:cxnSpLocks/>
            </xdr:cNvCxnSpPr>
          </xdr:nvCxnSpPr>
          <xdr:spPr>
            <a:xfrm>
              <a:off x="9515856" y="910708"/>
              <a:ext cx="0" cy="46724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" name="Connecteur droit avec flèche 43">
              <a:extLst>
                <a:ext uri="{FF2B5EF4-FFF2-40B4-BE49-F238E27FC236}">
                  <a16:creationId xmlns:a16="http://schemas.microsoft.com/office/drawing/2014/main" id="{B67BDE5D-C864-4F9F-B78B-A0845EF1D9E3}"/>
                </a:ext>
              </a:extLst>
            </xdr:cNvPr>
            <xdr:cNvCxnSpPr>
              <a:cxnSpLocks/>
            </xdr:cNvCxnSpPr>
          </xdr:nvCxnSpPr>
          <xdr:spPr>
            <a:xfrm>
              <a:off x="9596628" y="1377949"/>
              <a:ext cx="2286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9" name="ZoneTexte 104">
                <a:extLst>
                  <a:ext uri="{FF2B5EF4-FFF2-40B4-BE49-F238E27FC236}">
                    <a16:creationId xmlns:a16="http://schemas.microsoft.com/office/drawing/2014/main" id="{54724140-680F-3F35-48DF-C7132ECB43DE}"/>
                  </a:ext>
                </a:extLst>
              </xdr:cNvPr>
              <xdr:cNvSpPr txBox="1"/>
            </xdr:nvSpPr>
            <xdr:spPr>
              <a:xfrm>
                <a:off x="2492024" y="3390638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2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19" name="ZoneTexte 104">
                <a:extLst>
                  <a:ext uri="{FF2B5EF4-FFF2-40B4-BE49-F238E27FC236}">
                    <a16:creationId xmlns:a16="http://schemas.microsoft.com/office/drawing/2014/main" id="{54724140-680F-3F35-48DF-C7132ECB43DE}"/>
                  </a:ext>
                </a:extLst>
              </xdr:cNvPr>
              <xdr:cNvSpPr txBox="1"/>
            </xdr:nvSpPr>
            <xdr:spPr>
              <a:xfrm>
                <a:off x="2492024" y="3390638"/>
                <a:ext cx="50824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𝑁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2</a:t>
                </a:r>
                <a:endParaRPr lang="fr-FR" baseline="-25000"/>
              </a:p>
            </xdr:txBody>
          </xdr:sp>
        </mc:Fallback>
      </mc:AlternateContent>
      <xdr:grpSp>
        <xdr:nvGrpSpPr>
          <xdr:cNvPr id="20" name="Groupe 19">
            <a:extLst>
              <a:ext uri="{FF2B5EF4-FFF2-40B4-BE49-F238E27FC236}">
                <a16:creationId xmlns:a16="http://schemas.microsoft.com/office/drawing/2014/main" id="{FA2639E4-2B29-C404-4569-A82D02D0D0B3}"/>
              </a:ext>
            </a:extLst>
          </xdr:cNvPr>
          <xdr:cNvGrpSpPr/>
        </xdr:nvGrpSpPr>
        <xdr:grpSpPr>
          <a:xfrm>
            <a:off x="2332717" y="5832331"/>
            <a:ext cx="535739" cy="365175"/>
            <a:chOff x="5650011" y="4392707"/>
            <a:chExt cx="535739" cy="365175"/>
          </a:xfrm>
        </xdr:grpSpPr>
        <xdr:cxnSp macro="">
          <xdr:nvCxnSpPr>
            <xdr:cNvPr id="32" name="Connecteur droit 31">
              <a:extLst>
                <a:ext uri="{FF2B5EF4-FFF2-40B4-BE49-F238E27FC236}">
                  <a16:creationId xmlns:a16="http://schemas.microsoft.com/office/drawing/2014/main" id="{D19456B7-F28E-A09E-808D-27202D0921D0}"/>
                </a:ext>
              </a:extLst>
            </xdr:cNvPr>
            <xdr:cNvCxnSpPr>
              <a:cxnSpLocks/>
            </xdr:cNvCxnSpPr>
          </xdr:nvCxnSpPr>
          <xdr:spPr>
            <a:xfrm>
              <a:off x="5785700" y="4646707"/>
              <a:ext cx="400050" cy="31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Connecteur droit 32">
              <a:extLst>
                <a:ext uri="{FF2B5EF4-FFF2-40B4-BE49-F238E27FC236}">
                  <a16:creationId xmlns:a16="http://schemas.microsoft.com/office/drawing/2014/main" id="{B78885A3-83DB-275E-E96E-BF0D2B25A712}"/>
                </a:ext>
              </a:extLst>
            </xdr:cNvPr>
            <xdr:cNvCxnSpPr/>
          </xdr:nvCxnSpPr>
          <xdr:spPr>
            <a:xfrm flipV="1">
              <a:off x="5650011" y="4645871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" name="Connecteur droit 33">
              <a:extLst>
                <a:ext uri="{FF2B5EF4-FFF2-40B4-BE49-F238E27FC236}">
                  <a16:creationId xmlns:a16="http://schemas.microsoft.com/office/drawing/2014/main" id="{B9A03B9A-90DC-B3E5-4D3A-B9FC9E93FB1D}"/>
                </a:ext>
              </a:extLst>
            </xdr:cNvPr>
            <xdr:cNvCxnSpPr/>
          </xdr:nvCxnSpPr>
          <xdr:spPr>
            <a:xfrm flipV="1">
              <a:off x="5902415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Connecteur droit 34">
              <a:extLst>
                <a:ext uri="{FF2B5EF4-FFF2-40B4-BE49-F238E27FC236}">
                  <a16:creationId xmlns:a16="http://schemas.microsoft.com/office/drawing/2014/main" id="{4031A439-832A-8922-E3FE-7599A8B5D46A}"/>
                </a:ext>
              </a:extLst>
            </xdr:cNvPr>
            <xdr:cNvCxnSpPr/>
          </xdr:nvCxnSpPr>
          <xdr:spPr>
            <a:xfrm flipV="1">
              <a:off x="6042092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Connecteur droit 35">
              <a:extLst>
                <a:ext uri="{FF2B5EF4-FFF2-40B4-BE49-F238E27FC236}">
                  <a16:creationId xmlns:a16="http://schemas.microsoft.com/office/drawing/2014/main" id="{B7D80FB7-87F3-8301-6CC3-44D9E2896BCE}"/>
                </a:ext>
              </a:extLst>
            </xdr:cNvPr>
            <xdr:cNvCxnSpPr>
              <a:cxnSpLocks/>
            </xdr:cNvCxnSpPr>
          </xdr:nvCxnSpPr>
          <xdr:spPr>
            <a:xfrm flipV="1">
              <a:off x="5985725" y="4392707"/>
              <a:ext cx="0" cy="254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Connecteur droit 36">
              <a:extLst>
                <a:ext uri="{FF2B5EF4-FFF2-40B4-BE49-F238E27FC236}">
                  <a16:creationId xmlns:a16="http://schemas.microsoft.com/office/drawing/2014/main" id="{9479080D-D228-DE99-6586-427874154A21}"/>
                </a:ext>
              </a:extLst>
            </xdr:cNvPr>
            <xdr:cNvCxnSpPr/>
          </xdr:nvCxnSpPr>
          <xdr:spPr>
            <a:xfrm flipV="1">
              <a:off x="5771749" y="4649882"/>
              <a:ext cx="139700" cy="1080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" name="Connecteur droit 20">
            <a:extLst>
              <a:ext uri="{FF2B5EF4-FFF2-40B4-BE49-F238E27FC236}">
                <a16:creationId xmlns:a16="http://schemas.microsoft.com/office/drawing/2014/main" id="{18D1EA7F-362D-C097-174B-3BDE99369D18}"/>
              </a:ext>
            </a:extLst>
          </xdr:cNvPr>
          <xdr:cNvCxnSpPr>
            <a:cxnSpLocks/>
          </xdr:cNvCxnSpPr>
        </xdr:nvCxnSpPr>
        <xdr:spPr>
          <a:xfrm flipV="1">
            <a:off x="1633519" y="2156120"/>
            <a:ext cx="0" cy="142804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Connecteur droit 21">
            <a:extLst>
              <a:ext uri="{FF2B5EF4-FFF2-40B4-BE49-F238E27FC236}">
                <a16:creationId xmlns:a16="http://schemas.microsoft.com/office/drawing/2014/main" id="{D1189706-4447-9764-4426-7C488AA81A34}"/>
              </a:ext>
            </a:extLst>
          </xdr:cNvPr>
          <xdr:cNvCxnSpPr>
            <a:cxnSpLocks/>
          </xdr:cNvCxnSpPr>
        </xdr:nvCxnSpPr>
        <xdr:spPr>
          <a:xfrm>
            <a:off x="1628924" y="3585409"/>
            <a:ext cx="604474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3" name="ZoneTexte 1041">
                <a:extLst>
                  <a:ext uri="{FF2B5EF4-FFF2-40B4-BE49-F238E27FC236}">
                    <a16:creationId xmlns:a16="http://schemas.microsoft.com/office/drawing/2014/main" id="{F9A5414E-5405-6A41-9D48-58986DF1F6F8}"/>
                  </a:ext>
                </a:extLst>
              </xdr:cNvPr>
              <xdr:cNvSpPr txBox="1"/>
            </xdr:nvSpPr>
            <xdr:spPr>
              <a:xfrm>
                <a:off x="1224435" y="4092076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fr-FR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fr-FR" b="0" i="1" baseline="-25000">
                          <a:latin typeface="Cambria Math" panose="02040503050406030204" pitchFamily="18" charset="0"/>
                        </a:rPr>
                        <m:t>1</m:t>
                      </m:r>
                    </m:oMath>
                  </m:oMathPara>
                </a14:m>
                <a:endParaRPr lang="fr-FR" baseline="-25000"/>
              </a:p>
            </xdr:txBody>
          </xdr:sp>
        </mc:Choice>
        <mc:Fallback xmlns="">
          <xdr:sp macro="" textlink="">
            <xdr:nvSpPr>
              <xdr:cNvPr id="23" name="ZoneTexte 1041">
                <a:extLst>
                  <a:ext uri="{FF2B5EF4-FFF2-40B4-BE49-F238E27FC236}">
                    <a16:creationId xmlns:a16="http://schemas.microsoft.com/office/drawing/2014/main" id="{F9A5414E-5405-6A41-9D48-58986DF1F6F8}"/>
                  </a:ext>
                </a:extLst>
              </xdr:cNvPr>
              <xdr:cNvSpPr txBox="1"/>
            </xdr:nvSpPr>
            <xdr:spPr>
              <a:xfrm>
                <a:off x="1224435" y="4092076"/>
                <a:ext cx="121284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fr-FR" b="0" i="0">
                    <a:latin typeface="Cambria Math" panose="02040503050406030204" pitchFamily="18" charset="0"/>
                  </a:rPr>
                  <a:t>𝐿</a:t>
                </a:r>
                <a:r>
                  <a:rPr lang="fr-FR" b="0" i="0" baseline="-25000">
                    <a:latin typeface="Cambria Math" panose="02040503050406030204" pitchFamily="18" charset="0"/>
                  </a:rPr>
                  <a:t>1</a:t>
                </a:r>
                <a:endParaRPr lang="fr-FR" baseline="-25000"/>
              </a:p>
            </xdr:txBody>
          </xdr:sp>
        </mc:Fallback>
      </mc:AlternateContent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2EB52ECF-402A-AD16-A7E2-6E2CDF4630DB}"/>
              </a:ext>
            </a:extLst>
          </xdr:cNvPr>
          <xdr:cNvGrpSpPr/>
        </xdr:nvGrpSpPr>
        <xdr:grpSpPr>
          <a:xfrm>
            <a:off x="1996779" y="5042071"/>
            <a:ext cx="651960" cy="542806"/>
            <a:chOff x="2730875" y="987425"/>
            <a:chExt cx="1437327" cy="1009910"/>
          </a:xfrm>
        </xdr:grpSpPr>
        <xdr:cxnSp macro="">
          <xdr:nvCxnSpPr>
            <xdr:cNvPr id="27" name="Connecteur droit 26">
              <a:extLst>
                <a:ext uri="{FF2B5EF4-FFF2-40B4-BE49-F238E27FC236}">
                  <a16:creationId xmlns:a16="http://schemas.microsoft.com/office/drawing/2014/main" id="{E406EB4A-9EB0-C155-A58F-CF2C48936DAB}"/>
                </a:ext>
              </a:extLst>
            </xdr:cNvPr>
            <xdr:cNvCxnSpPr>
              <a:cxnSpLocks/>
            </xdr:cNvCxnSpPr>
          </xdr:nvCxnSpPr>
          <xdr:spPr>
            <a:xfrm>
              <a:off x="3594100" y="1181099"/>
              <a:ext cx="349250" cy="63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8" name="ZoneTexte 1098">
                  <a:extLst>
                    <a:ext uri="{FF2B5EF4-FFF2-40B4-BE49-F238E27FC236}">
                      <a16:creationId xmlns:a16="http://schemas.microsoft.com/office/drawing/2014/main" id="{98B88FEB-772B-3EFF-FBF0-049E81F4B0A9}"/>
                    </a:ext>
                  </a:extLst>
                </xdr:cNvPr>
                <xdr:cNvSpPr txBox="1"/>
              </xdr:nvSpPr>
              <xdr:spPr>
                <a:xfrm>
                  <a:off x="2730875" y="1207641"/>
                  <a:ext cx="1437327" cy="78969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m:rPr>
                            <m:sty m:val="p"/>
                          </m:rPr>
                          <a:rPr lang="fr-FR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a:rPr lang="fr-FR" b="0" i="0">
                            <a:latin typeface="Cambria Math" panose="02040503050406030204" pitchFamily="18" charset="0"/>
                          </a:rPr>
                          <m:t>0</m:t>
                        </m:r>
                      </m:oMath>
                    </m:oMathPara>
                  </a14:m>
                  <a:endParaRPr lang="fr-FR" baseline="-25000"/>
                </a:p>
              </xdr:txBody>
            </xdr:sp>
          </mc:Choice>
          <mc:Fallback xmlns="">
            <xdr:sp macro="" textlink="">
              <xdr:nvSpPr>
                <xdr:cNvPr id="28" name="ZoneTexte 1098">
                  <a:extLst>
                    <a:ext uri="{FF2B5EF4-FFF2-40B4-BE49-F238E27FC236}">
                      <a16:creationId xmlns:a16="http://schemas.microsoft.com/office/drawing/2014/main" id="{98B88FEB-772B-3EFF-FBF0-049E81F4B0A9}"/>
                    </a:ext>
                  </a:extLst>
                </xdr:cNvPr>
                <xdr:cNvSpPr txBox="1"/>
              </xdr:nvSpPr>
              <xdr:spPr>
                <a:xfrm>
                  <a:off x="2730875" y="1207641"/>
                  <a:ext cx="1437327" cy="78969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fr-FR" b="0" i="0">
                      <a:latin typeface="Cambria Math" panose="02040503050406030204" pitchFamily="18" charset="0"/>
                    </a:rPr>
                    <a:t>C0</a:t>
                  </a:r>
                  <a:endParaRPr lang="fr-FR" baseline="-25000"/>
                </a:p>
              </xdr:txBody>
            </xdr:sp>
          </mc:Fallback>
        </mc:AlternateContent>
        <xdr:cxnSp macro="">
          <xdr:nvCxnSpPr>
            <xdr:cNvPr id="29" name="Connecteur droit 28">
              <a:extLst>
                <a:ext uri="{FF2B5EF4-FFF2-40B4-BE49-F238E27FC236}">
                  <a16:creationId xmlns:a16="http://schemas.microsoft.com/office/drawing/2014/main" id="{8D800E74-7717-25E5-EC7F-5E3A599B86C9}"/>
                </a:ext>
              </a:extLst>
            </xdr:cNvPr>
            <xdr:cNvCxnSpPr>
              <a:cxnSpLocks/>
            </xdr:cNvCxnSpPr>
          </xdr:nvCxnSpPr>
          <xdr:spPr>
            <a:xfrm flipV="1">
              <a:off x="3448053" y="987425"/>
              <a:ext cx="0" cy="38735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Connecteur droit 29">
              <a:extLst>
                <a:ext uri="{FF2B5EF4-FFF2-40B4-BE49-F238E27FC236}">
                  <a16:creationId xmlns:a16="http://schemas.microsoft.com/office/drawing/2014/main" id="{651AA240-7677-DF3F-924C-5F665074A612}"/>
                </a:ext>
              </a:extLst>
            </xdr:cNvPr>
            <xdr:cNvCxnSpPr>
              <a:cxnSpLocks/>
            </xdr:cNvCxnSpPr>
          </xdr:nvCxnSpPr>
          <xdr:spPr>
            <a:xfrm flipV="1">
              <a:off x="3600452" y="987425"/>
              <a:ext cx="0" cy="387351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Connecteur droit 30">
              <a:extLst>
                <a:ext uri="{FF2B5EF4-FFF2-40B4-BE49-F238E27FC236}">
                  <a16:creationId xmlns:a16="http://schemas.microsoft.com/office/drawing/2014/main" id="{3EF1CE1F-4676-6FDE-08FA-AA58818F67EB}"/>
                </a:ext>
              </a:extLst>
            </xdr:cNvPr>
            <xdr:cNvCxnSpPr>
              <a:cxnSpLocks/>
            </xdr:cNvCxnSpPr>
          </xdr:nvCxnSpPr>
          <xdr:spPr>
            <a:xfrm>
              <a:off x="3095628" y="1181099"/>
              <a:ext cx="349250" cy="635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" name="Connecteur droit 24">
            <a:extLst>
              <a:ext uri="{FF2B5EF4-FFF2-40B4-BE49-F238E27FC236}">
                <a16:creationId xmlns:a16="http://schemas.microsoft.com/office/drawing/2014/main" id="{738181FC-76AC-4E67-C20A-B8B771B13AC1}"/>
              </a:ext>
            </a:extLst>
          </xdr:cNvPr>
          <xdr:cNvCxnSpPr>
            <a:cxnSpLocks/>
          </xdr:cNvCxnSpPr>
        </xdr:nvCxnSpPr>
        <xdr:spPr>
          <a:xfrm flipV="1">
            <a:off x="2171481" y="4677887"/>
            <a:ext cx="11612" cy="4680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63C30AC6-1149-7C20-7684-EFB08B015CD4}"/>
              </a:ext>
            </a:extLst>
          </xdr:cNvPr>
          <xdr:cNvCxnSpPr>
            <a:cxnSpLocks/>
          </xdr:cNvCxnSpPr>
        </xdr:nvCxnSpPr>
        <xdr:spPr>
          <a:xfrm>
            <a:off x="2486594" y="5147005"/>
            <a:ext cx="18000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151086</xdr:colOff>
      <xdr:row>19</xdr:row>
      <xdr:rowOff>190500</xdr:rowOff>
    </xdr:from>
    <xdr:to>
      <xdr:col>4</xdr:col>
      <xdr:colOff>453259</xdr:colOff>
      <xdr:row>21</xdr:row>
      <xdr:rowOff>105103</xdr:rowOff>
    </xdr:to>
    <xdr:sp macro="" textlink="">
      <xdr:nvSpPr>
        <xdr:cNvPr id="4" name="Flèche : droite 1">
          <a:extLst>
            <a:ext uri="{FF2B5EF4-FFF2-40B4-BE49-F238E27FC236}">
              <a16:creationId xmlns:a16="http://schemas.microsoft.com/office/drawing/2014/main" id="{9D6E8BD8-548B-F54D-1CD6-2AA8F307A5C4}"/>
            </a:ext>
          </a:extLst>
        </xdr:cNvPr>
        <xdr:cNvSpPr/>
      </xdr:nvSpPr>
      <xdr:spPr>
        <a:xfrm>
          <a:off x="2423948" y="3987362"/>
          <a:ext cx="302173" cy="3415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119555</xdr:colOff>
      <xdr:row>19</xdr:row>
      <xdr:rowOff>185245</xdr:rowOff>
    </xdr:from>
    <xdr:to>
      <xdr:col>7</xdr:col>
      <xdr:colOff>421728</xdr:colOff>
      <xdr:row>21</xdr:row>
      <xdr:rowOff>99848</xdr:rowOff>
    </xdr:to>
    <xdr:sp macro="" textlink="">
      <xdr:nvSpPr>
        <xdr:cNvPr id="5" name="Flèche : droite 2">
          <a:extLst>
            <a:ext uri="{FF2B5EF4-FFF2-40B4-BE49-F238E27FC236}">
              <a16:creationId xmlns:a16="http://schemas.microsoft.com/office/drawing/2014/main" id="{4372036C-6602-F8BA-3494-7F4EBC8F9B2E}"/>
            </a:ext>
          </a:extLst>
        </xdr:cNvPr>
        <xdr:cNvSpPr/>
      </xdr:nvSpPr>
      <xdr:spPr>
        <a:xfrm>
          <a:off x="4928038" y="3982107"/>
          <a:ext cx="302173" cy="3415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1472044</xdr:colOff>
      <xdr:row>5</xdr:row>
      <xdr:rowOff>311727</xdr:rowOff>
    </xdr:from>
    <xdr:to>
      <xdr:col>1</xdr:col>
      <xdr:colOff>5959377</xdr:colOff>
      <xdr:row>5</xdr:row>
      <xdr:rowOff>3983182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86F5FEE-6E86-AFEB-D64D-469DE27B09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2" t="55632" r="75769" b="23932"/>
        <a:stretch>
          <a:fillRect/>
        </a:stretch>
      </xdr:blipFill>
      <xdr:spPr>
        <a:xfrm>
          <a:off x="9732817" y="6459682"/>
          <a:ext cx="4487333" cy="3671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407570</xdr:colOff>
      <xdr:row>8</xdr:row>
      <xdr:rowOff>123265</xdr:rowOff>
    </xdr:from>
    <xdr:to>
      <xdr:col>19</xdr:col>
      <xdr:colOff>67236</xdr:colOff>
      <xdr:row>32</xdr:row>
      <xdr:rowOff>89646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DCE06FC5-DBFE-4D12-95E2-57332CF0E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56029</xdr:colOff>
      <xdr:row>6</xdr:row>
      <xdr:rowOff>145677</xdr:rowOff>
    </xdr:from>
    <xdr:to>
      <xdr:col>28</xdr:col>
      <xdr:colOff>356830</xdr:colOff>
      <xdr:row>17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74DB1E1-AA84-4222-8226-2C77193A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16A6-060C-4304-8F67-6A903A44498D}">
  <sheetPr>
    <tabColor theme="9" tint="0.39997558519241921"/>
  </sheetPr>
  <dimension ref="A1:G39"/>
  <sheetViews>
    <sheetView zoomScale="85" zoomScaleNormal="85" workbookViewId="0">
      <selection sqref="A1:G39"/>
    </sheetView>
  </sheetViews>
  <sheetFormatPr baseColWidth="10" defaultRowHeight="15" x14ac:dyDescent="0.25"/>
  <cols>
    <col min="1" max="1" width="19.5703125" style="127" bestFit="1" customWidth="1"/>
    <col min="2" max="2" width="16.7109375" customWidth="1"/>
    <col min="3" max="3" width="17.7109375" style="1" customWidth="1"/>
    <col min="4" max="4" width="22.85546875" style="1" customWidth="1"/>
    <col min="5" max="5" width="10.85546875" customWidth="1"/>
    <col min="6" max="6" width="14.42578125" bestFit="1" customWidth="1"/>
    <col min="7" max="7" width="39.42578125" style="1" customWidth="1"/>
  </cols>
  <sheetData>
    <row r="1" spans="1:7" ht="30.75" thickBot="1" x14ac:dyDescent="0.3">
      <c r="A1" s="122" t="s">
        <v>84</v>
      </c>
      <c r="B1" s="123" t="s">
        <v>83</v>
      </c>
      <c r="C1" s="123" t="s">
        <v>130</v>
      </c>
      <c r="D1" s="123" t="s">
        <v>136</v>
      </c>
      <c r="E1" s="124" t="s">
        <v>116</v>
      </c>
      <c r="F1" s="123" t="s">
        <v>123</v>
      </c>
      <c r="G1" s="123" t="s">
        <v>126</v>
      </c>
    </row>
    <row r="2" spans="1:7" ht="15.75" thickBot="1" x14ac:dyDescent="0.3">
      <c r="A2" s="131" t="s">
        <v>109</v>
      </c>
      <c r="B2" s="132"/>
      <c r="C2" s="132"/>
      <c r="D2" s="132"/>
      <c r="E2" s="132"/>
      <c r="F2" s="132"/>
      <c r="G2" s="134"/>
    </row>
    <row r="3" spans="1:7" x14ac:dyDescent="0.25">
      <c r="A3" s="125" t="s">
        <v>106</v>
      </c>
      <c r="B3" s="85">
        <v>1.2</v>
      </c>
      <c r="C3" s="101">
        <v>4.49</v>
      </c>
      <c r="D3" s="101">
        <v>4.49</v>
      </c>
      <c r="E3" s="42" t="s">
        <v>118</v>
      </c>
      <c r="F3" s="92" t="s">
        <v>124</v>
      </c>
      <c r="G3" s="100"/>
    </row>
    <row r="4" spans="1:7" x14ac:dyDescent="0.25">
      <c r="A4" s="125" t="s">
        <v>145</v>
      </c>
      <c r="B4" s="85" t="s">
        <v>95</v>
      </c>
      <c r="C4" s="101">
        <v>0.65600000000000003</v>
      </c>
      <c r="D4" s="101">
        <v>0.65600000000000003</v>
      </c>
      <c r="E4" s="42" t="s">
        <v>146</v>
      </c>
      <c r="F4" s="76" t="s">
        <v>124</v>
      </c>
      <c r="G4" s="101"/>
    </row>
    <row r="5" spans="1:7" x14ac:dyDescent="0.25">
      <c r="A5" s="125" t="s">
        <v>74</v>
      </c>
      <c r="B5" s="85">
        <v>-5</v>
      </c>
      <c r="C5" s="120">
        <f>C9-9.6</f>
        <v>-35.620599913279626</v>
      </c>
      <c r="D5" s="120">
        <f>D9-9.6</f>
        <v>-49.6</v>
      </c>
      <c r="E5" s="42" t="s">
        <v>79</v>
      </c>
      <c r="F5" s="76" t="s">
        <v>95</v>
      </c>
      <c r="G5" s="101" t="s">
        <v>137</v>
      </c>
    </row>
    <row r="6" spans="1:7" x14ac:dyDescent="0.25">
      <c r="A6" s="125" t="s">
        <v>72</v>
      </c>
      <c r="B6" s="114">
        <v>20</v>
      </c>
      <c r="C6" s="114">
        <f>'Simulation transistoire '!$Z$4</f>
        <v>25.75937220901746</v>
      </c>
      <c r="D6" s="114">
        <f>'Simulation transistoire '!$L$4</f>
        <v>19.757122032341272</v>
      </c>
      <c r="E6" s="42" t="s">
        <v>79</v>
      </c>
      <c r="F6" s="76" t="s">
        <v>125</v>
      </c>
      <c r="G6" s="101" t="s">
        <v>138</v>
      </c>
    </row>
    <row r="7" spans="1:7" x14ac:dyDescent="0.25">
      <c r="A7" s="125" t="s">
        <v>100</v>
      </c>
      <c r="B7" s="114">
        <v>3.5</v>
      </c>
      <c r="C7" s="114">
        <f>'Simulation Parametre_S'!B15</f>
        <v>3.1806333496276156</v>
      </c>
      <c r="D7" s="114">
        <f>'Simulation Parametre_S'!A15</f>
        <v>0.82785370316450069</v>
      </c>
      <c r="E7" s="42" t="s">
        <v>79</v>
      </c>
      <c r="F7" s="76" t="s">
        <v>149</v>
      </c>
      <c r="G7" s="101" t="s">
        <v>139</v>
      </c>
    </row>
    <row r="8" spans="1:7" x14ac:dyDescent="0.25">
      <c r="A8" s="125" t="s">
        <v>107</v>
      </c>
      <c r="B8" s="85">
        <v>50</v>
      </c>
      <c r="C8" s="114">
        <f>'Simulation Parametre_S'!B10</f>
        <v>47.643267100399406</v>
      </c>
      <c r="D8" s="114">
        <f>'Simulation Parametre_S'!A10</f>
        <v>39.350903420379055</v>
      </c>
      <c r="E8" s="93" t="s">
        <v>119</v>
      </c>
      <c r="F8" s="76" t="s">
        <v>149</v>
      </c>
      <c r="G8" s="101"/>
    </row>
    <row r="9" spans="1:7" x14ac:dyDescent="0.25">
      <c r="A9" s="125" t="s">
        <v>120</v>
      </c>
      <c r="B9" s="85" t="s">
        <v>95</v>
      </c>
      <c r="C9" s="120">
        <f>'Simulation transistoire '!$AA$4</f>
        <v>-26.020599913279625</v>
      </c>
      <c r="D9" s="101">
        <f>'Simulation transistoire '!$M$4</f>
        <v>-40</v>
      </c>
      <c r="E9" s="93" t="s">
        <v>79</v>
      </c>
      <c r="F9" s="76" t="s">
        <v>125</v>
      </c>
      <c r="G9" s="101"/>
    </row>
    <row r="10" spans="1:7" x14ac:dyDescent="0.25">
      <c r="A10" s="125" t="s">
        <v>94</v>
      </c>
      <c r="B10" s="85" t="s">
        <v>95</v>
      </c>
      <c r="C10" s="101" t="s">
        <v>140</v>
      </c>
      <c r="D10" s="101" t="s">
        <v>140</v>
      </c>
      <c r="E10" s="42" t="s">
        <v>95</v>
      </c>
      <c r="F10" s="76" t="s">
        <v>149</v>
      </c>
      <c r="G10" s="101" t="s">
        <v>95</v>
      </c>
    </row>
    <row r="11" spans="1:7" x14ac:dyDescent="0.25">
      <c r="A11" s="125" t="s">
        <v>96</v>
      </c>
      <c r="B11" s="85" t="s">
        <v>95</v>
      </c>
      <c r="C11" s="101" t="s">
        <v>141</v>
      </c>
      <c r="D11" s="101" t="s">
        <v>141</v>
      </c>
      <c r="E11" s="94" t="s">
        <v>95</v>
      </c>
      <c r="F11" s="76" t="s">
        <v>149</v>
      </c>
      <c r="G11" s="101" t="s">
        <v>95</v>
      </c>
    </row>
    <row r="12" spans="1:7" x14ac:dyDescent="0.25">
      <c r="A12" s="125" t="s">
        <v>108</v>
      </c>
      <c r="B12" s="85" t="s">
        <v>95</v>
      </c>
      <c r="C12" s="101" t="s">
        <v>142</v>
      </c>
      <c r="D12" s="101" t="s">
        <v>142</v>
      </c>
      <c r="E12" s="42" t="s">
        <v>95</v>
      </c>
      <c r="F12" s="76" t="s">
        <v>149</v>
      </c>
      <c r="G12" s="101" t="s">
        <v>95</v>
      </c>
    </row>
    <row r="13" spans="1:7" ht="15.75" thickBot="1" x14ac:dyDescent="0.3">
      <c r="A13" s="125" t="s">
        <v>117</v>
      </c>
      <c r="B13" s="84" t="s">
        <v>95</v>
      </c>
      <c r="C13" s="115" t="s">
        <v>143</v>
      </c>
      <c r="D13" s="115" t="s">
        <v>143</v>
      </c>
      <c r="E13" s="42" t="s">
        <v>95</v>
      </c>
      <c r="F13" s="76" t="s">
        <v>149</v>
      </c>
      <c r="G13" s="101" t="s">
        <v>95</v>
      </c>
    </row>
    <row r="14" spans="1:7" ht="15.75" thickBot="1" x14ac:dyDescent="0.3">
      <c r="A14" s="131" t="s">
        <v>110</v>
      </c>
      <c r="B14" s="132"/>
      <c r="C14" s="132"/>
      <c r="D14" s="132"/>
      <c r="E14" s="132"/>
      <c r="F14" s="132"/>
      <c r="G14" s="134"/>
    </row>
    <row r="15" spans="1:7" x14ac:dyDescent="0.25">
      <c r="A15" s="125" t="s">
        <v>90</v>
      </c>
      <c r="B15" s="110">
        <v>1.4100000000000001E-12</v>
      </c>
      <c r="C15" s="121">
        <v>1.2999999999999999E-12</v>
      </c>
      <c r="D15" s="101" t="s">
        <v>95</v>
      </c>
      <c r="E15" s="42" t="s">
        <v>49</v>
      </c>
      <c r="F15" s="76" t="s">
        <v>149</v>
      </c>
      <c r="G15" s="113" t="s">
        <v>129</v>
      </c>
    </row>
    <row r="16" spans="1:7" x14ac:dyDescent="0.25">
      <c r="A16" s="125" t="s">
        <v>105</v>
      </c>
      <c r="B16" s="84" t="s">
        <v>95</v>
      </c>
      <c r="C16" s="115" t="s">
        <v>95</v>
      </c>
      <c r="D16" s="116">
        <v>1.14E-12</v>
      </c>
      <c r="E16" s="42" t="s">
        <v>49</v>
      </c>
      <c r="F16" s="76" t="s">
        <v>149</v>
      </c>
      <c r="G16" s="135" t="s">
        <v>131</v>
      </c>
    </row>
    <row r="17" spans="1:7" x14ac:dyDescent="0.25">
      <c r="A17" s="125" t="s">
        <v>111</v>
      </c>
      <c r="B17" s="84" t="s">
        <v>95</v>
      </c>
      <c r="C17" s="115" t="s">
        <v>95</v>
      </c>
      <c r="D17" s="117">
        <v>2.5899999999999999E-5</v>
      </c>
      <c r="E17" s="42" t="s">
        <v>89</v>
      </c>
      <c r="F17" s="76" t="s">
        <v>149</v>
      </c>
      <c r="G17" s="135"/>
    </row>
    <row r="18" spans="1:7" x14ac:dyDescent="0.25">
      <c r="A18" s="125" t="s">
        <v>112</v>
      </c>
      <c r="B18" s="84" t="s">
        <v>95</v>
      </c>
      <c r="C18" s="115" t="s">
        <v>95</v>
      </c>
      <c r="D18" s="117">
        <v>2.5899999999999999E-5</v>
      </c>
      <c r="E18" s="42" t="s">
        <v>89</v>
      </c>
      <c r="F18" s="76" t="s">
        <v>149</v>
      </c>
      <c r="G18" s="135"/>
    </row>
    <row r="19" spans="1:7" x14ac:dyDescent="0.25">
      <c r="A19" s="125" t="s">
        <v>70</v>
      </c>
      <c r="B19" s="84" t="s">
        <v>95</v>
      </c>
      <c r="C19" s="115" t="s">
        <v>95</v>
      </c>
      <c r="D19" s="116">
        <v>1.7400000000000001E-12</v>
      </c>
      <c r="E19" s="42" t="s">
        <v>49</v>
      </c>
      <c r="F19" s="76" t="s">
        <v>149</v>
      </c>
      <c r="G19" s="135" t="s">
        <v>131</v>
      </c>
    </row>
    <row r="20" spans="1:7" x14ac:dyDescent="0.25">
      <c r="A20" s="125" t="s">
        <v>113</v>
      </c>
      <c r="B20" s="84" t="s">
        <v>95</v>
      </c>
      <c r="C20" s="115" t="s">
        <v>95</v>
      </c>
      <c r="D20" s="117">
        <v>3.4E-5</v>
      </c>
      <c r="E20" s="42" t="s">
        <v>89</v>
      </c>
      <c r="F20" s="76" t="s">
        <v>149</v>
      </c>
      <c r="G20" s="135"/>
    </row>
    <row r="21" spans="1:7" ht="15.75" thickBot="1" x14ac:dyDescent="0.3">
      <c r="A21" s="125" t="s">
        <v>114</v>
      </c>
      <c r="B21" s="85" t="s">
        <v>95</v>
      </c>
      <c r="C21" s="101" t="s">
        <v>95</v>
      </c>
      <c r="D21" s="117">
        <v>3.4E-5</v>
      </c>
      <c r="E21" s="42" t="s">
        <v>89</v>
      </c>
      <c r="F21" s="76" t="s">
        <v>149</v>
      </c>
      <c r="G21" s="136"/>
    </row>
    <row r="22" spans="1:7" ht="15.75" thickBot="1" x14ac:dyDescent="0.3">
      <c r="A22" s="131" t="s">
        <v>115</v>
      </c>
      <c r="B22" s="132"/>
      <c r="C22" s="132"/>
      <c r="D22" s="132"/>
      <c r="E22" s="132"/>
      <c r="F22" s="132"/>
      <c r="G22" s="134"/>
    </row>
    <row r="23" spans="1:7" x14ac:dyDescent="0.25">
      <c r="A23" s="125" t="s">
        <v>73</v>
      </c>
      <c r="B23" s="84" t="s">
        <v>135</v>
      </c>
      <c r="C23" s="115" t="s">
        <v>135</v>
      </c>
      <c r="D23" s="101" t="s">
        <v>135</v>
      </c>
      <c r="E23" t="s">
        <v>87</v>
      </c>
      <c r="F23" s="92" t="s">
        <v>124</v>
      </c>
      <c r="G23" s="100" t="s">
        <v>95</v>
      </c>
    </row>
    <row r="24" spans="1:7" x14ac:dyDescent="0.25">
      <c r="A24" s="125" t="s">
        <v>91</v>
      </c>
      <c r="B24" s="85">
        <v>310</v>
      </c>
      <c r="C24" s="101">
        <v>510</v>
      </c>
      <c r="D24" s="101">
        <v>510</v>
      </c>
      <c r="E24" s="112" t="s">
        <v>119</v>
      </c>
      <c r="F24" s="76" t="s">
        <v>128</v>
      </c>
      <c r="G24" s="101" t="s">
        <v>147</v>
      </c>
    </row>
    <row r="25" spans="1:7" x14ac:dyDescent="0.25">
      <c r="A25" s="125" t="s">
        <v>71</v>
      </c>
      <c r="B25" s="84">
        <v>3E-9</v>
      </c>
      <c r="C25" s="115">
        <v>3E-9</v>
      </c>
      <c r="D25" s="115">
        <v>3E-9</v>
      </c>
      <c r="E25" t="s">
        <v>88</v>
      </c>
      <c r="F25" s="76" t="s">
        <v>127</v>
      </c>
      <c r="G25" s="101" t="s">
        <v>95</v>
      </c>
    </row>
    <row r="26" spans="1:7" x14ac:dyDescent="0.25">
      <c r="A26" s="125" t="s">
        <v>92</v>
      </c>
      <c r="B26" s="109">
        <v>1.6000000000000001E-9</v>
      </c>
      <c r="C26" s="117">
        <v>1.6000000000000001E-9</v>
      </c>
      <c r="D26" s="117">
        <v>1.6000000000000001E-9</v>
      </c>
      <c r="E26" t="s">
        <v>88</v>
      </c>
      <c r="F26" s="76" t="s">
        <v>127</v>
      </c>
      <c r="G26" s="101" t="s">
        <v>95</v>
      </c>
    </row>
    <row r="27" spans="1:7" x14ac:dyDescent="0.25">
      <c r="A27" s="125" t="s">
        <v>93</v>
      </c>
      <c r="B27" s="84">
        <v>3E-9</v>
      </c>
      <c r="C27" s="115">
        <v>3E-9</v>
      </c>
      <c r="D27" s="115">
        <v>3E-9</v>
      </c>
      <c r="E27" t="s">
        <v>88</v>
      </c>
      <c r="F27" s="76" t="s">
        <v>127</v>
      </c>
      <c r="G27" s="101" t="s">
        <v>95</v>
      </c>
    </row>
    <row r="28" spans="1:7" x14ac:dyDescent="0.25">
      <c r="A28" s="125" t="s">
        <v>148</v>
      </c>
      <c r="B28" s="84">
        <v>8.4200000000000005E-13</v>
      </c>
      <c r="C28" s="117">
        <v>1.0099999999999999E-12</v>
      </c>
      <c r="D28" s="117">
        <v>1.0099999999999999E-12</v>
      </c>
      <c r="E28" t="s">
        <v>49</v>
      </c>
      <c r="F28" s="76" t="s">
        <v>149</v>
      </c>
      <c r="G28" s="101" t="s">
        <v>95</v>
      </c>
    </row>
    <row r="29" spans="1:7" x14ac:dyDescent="0.25">
      <c r="A29" s="125" t="s">
        <v>156</v>
      </c>
      <c r="B29" s="84">
        <v>1.06E-4</v>
      </c>
      <c r="C29" s="115">
        <v>1.06E-4</v>
      </c>
      <c r="D29" s="115">
        <v>1.06E-4</v>
      </c>
      <c r="E29" t="s">
        <v>89</v>
      </c>
      <c r="F29" s="76" t="s">
        <v>127</v>
      </c>
      <c r="G29" s="101" t="s">
        <v>95</v>
      </c>
    </row>
    <row r="30" spans="1:7" ht="15.75" thickBot="1" x14ac:dyDescent="0.3">
      <c r="A30" s="125" t="s">
        <v>157</v>
      </c>
      <c r="B30" s="84">
        <v>1.3E-7</v>
      </c>
      <c r="C30" s="84">
        <v>1.3E-7</v>
      </c>
      <c r="D30" s="115">
        <v>1.06E-4</v>
      </c>
      <c r="E30" t="s">
        <v>89</v>
      </c>
      <c r="F30" s="77" t="s">
        <v>127</v>
      </c>
      <c r="G30" s="102" t="s">
        <v>95</v>
      </c>
    </row>
    <row r="31" spans="1:7" ht="15.75" thickBot="1" x14ac:dyDescent="0.3">
      <c r="A31" s="131" t="s">
        <v>104</v>
      </c>
      <c r="B31" s="132"/>
      <c r="C31" s="132"/>
      <c r="D31" s="132"/>
      <c r="E31" s="132"/>
      <c r="F31" s="133"/>
      <c r="G31" s="134"/>
    </row>
    <row r="32" spans="1:7" x14ac:dyDescent="0.25">
      <c r="A32" s="125" t="s">
        <v>153</v>
      </c>
      <c r="B32" s="111" t="s">
        <v>95</v>
      </c>
      <c r="C32" s="118">
        <v>5.8E-5</v>
      </c>
      <c r="D32" s="118">
        <v>5.8E-5</v>
      </c>
      <c r="E32" t="s">
        <v>89</v>
      </c>
      <c r="F32" s="92" t="s">
        <v>124</v>
      </c>
      <c r="G32" s="128" t="s">
        <v>144</v>
      </c>
    </row>
    <row r="33" spans="1:7" x14ac:dyDescent="0.25">
      <c r="A33" s="125" t="s">
        <v>154</v>
      </c>
      <c r="B33" s="84" t="s">
        <v>95</v>
      </c>
      <c r="C33" s="115">
        <v>1.9999999999999999E-7</v>
      </c>
      <c r="D33" s="115">
        <v>1.9999999999999999E-7</v>
      </c>
      <c r="E33" t="s">
        <v>89</v>
      </c>
      <c r="F33" s="76" t="s">
        <v>124</v>
      </c>
      <c r="G33" s="129"/>
    </row>
    <row r="34" spans="1:7" x14ac:dyDescent="0.25">
      <c r="A34" s="125" t="s">
        <v>102</v>
      </c>
      <c r="B34" s="84" t="s">
        <v>95</v>
      </c>
      <c r="C34" s="101">
        <v>130</v>
      </c>
      <c r="D34" s="101">
        <v>130</v>
      </c>
      <c r="E34" s="112" t="s">
        <v>119</v>
      </c>
      <c r="F34" s="76" t="s">
        <v>124</v>
      </c>
      <c r="G34" s="129"/>
    </row>
    <row r="35" spans="1:7" x14ac:dyDescent="0.25">
      <c r="A35" s="125" t="s">
        <v>150</v>
      </c>
      <c r="B35" s="84" t="s">
        <v>95</v>
      </c>
      <c r="C35" s="117">
        <v>1.1999999999999999E-6</v>
      </c>
      <c r="D35" s="117">
        <v>1.1999999999999999E-6</v>
      </c>
      <c r="E35" t="s">
        <v>89</v>
      </c>
      <c r="F35" s="76" t="s">
        <v>124</v>
      </c>
      <c r="G35" s="129"/>
    </row>
    <row r="36" spans="1:7" x14ac:dyDescent="0.25">
      <c r="A36" s="125" t="s">
        <v>151</v>
      </c>
      <c r="B36" s="84" t="s">
        <v>95</v>
      </c>
      <c r="C36" s="117">
        <v>2.0000000000000002E-5</v>
      </c>
      <c r="D36" s="117">
        <v>2.0000000000000002E-5</v>
      </c>
      <c r="E36" t="s">
        <v>89</v>
      </c>
      <c r="F36" s="76" t="s">
        <v>124</v>
      </c>
      <c r="G36" s="129"/>
    </row>
    <row r="37" spans="1:7" x14ac:dyDescent="0.25">
      <c r="A37" s="125" t="s">
        <v>103</v>
      </c>
      <c r="B37" s="84" t="s">
        <v>95</v>
      </c>
      <c r="C37" s="117">
        <v>5000</v>
      </c>
      <c r="D37" s="117">
        <v>5000</v>
      </c>
      <c r="E37" s="112" t="s">
        <v>119</v>
      </c>
      <c r="F37" s="76" t="s">
        <v>124</v>
      </c>
      <c r="G37" s="129"/>
    </row>
    <row r="38" spans="1:7" x14ac:dyDescent="0.25">
      <c r="A38" s="125" t="s">
        <v>152</v>
      </c>
      <c r="B38" s="84" t="s">
        <v>95</v>
      </c>
      <c r="C38" s="117">
        <v>9.9999999999999995E-7</v>
      </c>
      <c r="D38" s="117">
        <v>9.9999999999999995E-7</v>
      </c>
      <c r="E38" t="s">
        <v>89</v>
      </c>
      <c r="F38" s="76" t="s">
        <v>124</v>
      </c>
      <c r="G38" s="129"/>
    </row>
    <row r="39" spans="1:7" ht="15.75" thickBot="1" x14ac:dyDescent="0.3">
      <c r="A39" s="126" t="s">
        <v>155</v>
      </c>
      <c r="B39" s="91" t="s">
        <v>95</v>
      </c>
      <c r="C39" s="119">
        <v>1.9999999999999999E-6</v>
      </c>
      <c r="D39" s="119">
        <v>1.9999999999999999E-6</v>
      </c>
      <c r="E39" s="44" t="s">
        <v>89</v>
      </c>
      <c r="F39" s="77" t="s">
        <v>124</v>
      </c>
      <c r="G39" s="130"/>
    </row>
  </sheetData>
  <mergeCells count="7">
    <mergeCell ref="G32:G39"/>
    <mergeCell ref="A31:G31"/>
    <mergeCell ref="A22:G22"/>
    <mergeCell ref="A14:G14"/>
    <mergeCell ref="A2:G2"/>
    <mergeCell ref="G16:G18"/>
    <mergeCell ref="G19:G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0C2B-59CB-48F8-A013-E5ED37A27393}">
  <sheetPr>
    <outlinePr summaryBelow="0" summaryRight="0"/>
  </sheetPr>
  <dimension ref="A1:K35"/>
  <sheetViews>
    <sheetView workbookViewId="0">
      <selection activeCell="B3" sqref="B3"/>
    </sheetView>
  </sheetViews>
  <sheetFormatPr baseColWidth="10" defaultColWidth="12.5703125" defaultRowHeight="15.75" customHeight="1" x14ac:dyDescent="0.25"/>
  <cols>
    <col min="1" max="1" width="17.42578125" style="28" customWidth="1"/>
    <col min="2" max="2" width="12.5703125" style="28"/>
    <col min="3" max="3" width="11" style="28" bestFit="1" customWidth="1"/>
    <col min="4" max="4" width="12.5703125" style="28"/>
    <col min="5" max="5" width="15.7109375" style="28" bestFit="1" customWidth="1"/>
    <col min="6" max="16384" width="12.5703125" style="28"/>
  </cols>
  <sheetData>
    <row r="1" spans="1:11" ht="13.5" x14ac:dyDescent="0.25">
      <c r="A1" s="33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6"/>
    </row>
    <row r="2" spans="1:11" ht="13.5" x14ac:dyDescent="0.25">
      <c r="B2" s="29">
        <v>310</v>
      </c>
      <c r="C2" s="35">
        <f>8.854*10^-12</f>
        <v>8.8539999999999992E-12</v>
      </c>
      <c r="D2" s="31">
        <f>3.95*C2</f>
        <v>3.4973300000000002E-11</v>
      </c>
      <c r="E2" s="30">
        <f>2.45</f>
        <v>2.4500000000000002</v>
      </c>
      <c r="F2" s="31">
        <f>10*10^-6</f>
        <v>9.9999999999999991E-6</v>
      </c>
      <c r="G2" s="31">
        <f>130*10^-9</f>
        <v>1.3E-7</v>
      </c>
      <c r="H2" s="29">
        <f>0.5</f>
        <v>0.5</v>
      </c>
      <c r="I2" s="29">
        <v>1.2</v>
      </c>
      <c r="J2" s="31">
        <f>480*F2</f>
        <v>4.7999999999999996E-3</v>
      </c>
      <c r="K2" s="36"/>
    </row>
    <row r="3" spans="1:11" ht="13.5" x14ac:dyDescent="0.25">
      <c r="B3" s="28">
        <v>0.03</v>
      </c>
      <c r="K3" s="36"/>
    </row>
    <row r="4" spans="1:11" ht="13.5" x14ac:dyDescent="0.25">
      <c r="A4" s="33" t="s">
        <v>10</v>
      </c>
      <c r="B4" s="32" t="s">
        <v>11</v>
      </c>
      <c r="C4" s="32" t="s">
        <v>12</v>
      </c>
    </row>
    <row r="5" spans="1:11" ht="13.5" x14ac:dyDescent="0.25">
      <c r="B5" s="31">
        <f>(D2)/(E2*10^-9)</f>
        <v>1.4274816326530611E-2</v>
      </c>
      <c r="C5" s="30">
        <f>B5*(10^15/(10^6)^2)</f>
        <v>14.27481632653061</v>
      </c>
    </row>
    <row r="7" spans="1:11" ht="13.5" x14ac:dyDescent="0.25">
      <c r="A7" s="33" t="s">
        <v>13</v>
      </c>
      <c r="B7" s="32" t="s">
        <v>14</v>
      </c>
      <c r="C7" s="32" t="s">
        <v>15</v>
      </c>
    </row>
    <row r="8" spans="1:11" ht="13.5" x14ac:dyDescent="0.25">
      <c r="B8" s="31">
        <f>B2*10^-4*B5/2</f>
        <v>2.2125965306122447E-4</v>
      </c>
      <c r="C8" s="30">
        <f>B8*10^6</f>
        <v>221.25965306122447</v>
      </c>
    </row>
    <row r="9" spans="1:11" ht="15.75" customHeight="1" x14ac:dyDescent="0.25">
      <c r="A9" s="28" t="s">
        <v>16</v>
      </c>
    </row>
    <row r="10" spans="1:11" ht="13.5" x14ac:dyDescent="0.25">
      <c r="A10" s="33" t="s">
        <v>17</v>
      </c>
      <c r="B10" s="34" t="s">
        <v>18</v>
      </c>
    </row>
    <row r="11" spans="1:11" ht="13.5" x14ac:dyDescent="0.25">
      <c r="B11" s="30">
        <f>SQRT(((J2)*G2*2)/((F2*B2*10^-4*B5)))</f>
        <v>0.53105705324397456</v>
      </c>
    </row>
    <row r="13" spans="1:11" ht="13.5" x14ac:dyDescent="0.25">
      <c r="A13" s="33" t="s">
        <v>19</v>
      </c>
      <c r="B13" s="32" t="s">
        <v>20</v>
      </c>
    </row>
    <row r="14" spans="1:11" ht="13.5" x14ac:dyDescent="0.25">
      <c r="B14" s="29">
        <f>(2*J2)/B11</f>
        <v>1.8077153747150465E-2</v>
      </c>
    </row>
    <row r="16" spans="1:11" ht="13.5" x14ac:dyDescent="0.25">
      <c r="A16" s="33" t="s">
        <v>21</v>
      </c>
      <c r="B16" s="32" t="s">
        <v>22</v>
      </c>
      <c r="C16" s="32" t="s">
        <v>23</v>
      </c>
      <c r="D16" s="32" t="s">
        <v>24</v>
      </c>
      <c r="E16" s="32" t="s">
        <v>25</v>
      </c>
    </row>
    <row r="17" spans="1:10" ht="13.5" x14ac:dyDescent="0.25">
      <c r="B17" s="31">
        <f>0.5*B5*(F2*G2)</f>
        <v>9.2786306122448959E-15</v>
      </c>
      <c r="C17" s="31">
        <f>B17*10^15</f>
        <v>9.2786306122448963</v>
      </c>
      <c r="D17" s="29">
        <v>0.36</v>
      </c>
      <c r="E17" s="29">
        <v>0.95</v>
      </c>
    </row>
    <row r="19" spans="1:10" ht="13.5" x14ac:dyDescent="0.25">
      <c r="A19" s="33" t="s">
        <v>26</v>
      </c>
      <c r="B19" s="32" t="s">
        <v>27</v>
      </c>
      <c r="C19" s="32" t="s">
        <v>2</v>
      </c>
      <c r="D19" s="32" t="s">
        <v>3</v>
      </c>
      <c r="E19" s="32" t="s">
        <v>4</v>
      </c>
      <c r="F19" s="32" t="s">
        <v>5</v>
      </c>
      <c r="G19" s="32" t="s">
        <v>6</v>
      </c>
      <c r="H19" s="32" t="s">
        <v>7</v>
      </c>
      <c r="I19" s="32" t="s">
        <v>8</v>
      </c>
      <c r="J19" s="32" t="s">
        <v>9</v>
      </c>
    </row>
    <row r="20" spans="1:10" ht="13.5" x14ac:dyDescent="0.25">
      <c r="B20" s="29">
        <v>200</v>
      </c>
      <c r="C20" s="35">
        <f>8.854*10^-12</f>
        <v>8.8539999999999992E-12</v>
      </c>
      <c r="D20" s="31">
        <f>3.95*C20</f>
        <v>3.4973300000000002E-11</v>
      </c>
      <c r="E20" s="30">
        <f>2.45</f>
        <v>2.4500000000000002</v>
      </c>
      <c r="F20" s="31">
        <f>10*10^-6</f>
        <v>9.9999999999999991E-6</v>
      </c>
      <c r="G20" s="31">
        <f>130*10^-9</f>
        <v>1.3E-7</v>
      </c>
      <c r="H20" s="29">
        <f>0.47</f>
        <v>0.47</v>
      </c>
      <c r="I20" s="29">
        <v>1.2</v>
      </c>
      <c r="J20" s="31">
        <f>215*F20</f>
        <v>2.15E-3</v>
      </c>
    </row>
    <row r="22" spans="1:10" ht="13.5" x14ac:dyDescent="0.25">
      <c r="A22" s="33" t="s">
        <v>10</v>
      </c>
      <c r="B22" s="32" t="s">
        <v>11</v>
      </c>
      <c r="C22" s="32" t="s">
        <v>12</v>
      </c>
    </row>
    <row r="23" spans="1:10" ht="13.5" x14ac:dyDescent="0.25">
      <c r="B23" s="31">
        <f>(D20)/(E20*10^-9)</f>
        <v>1.4274816326530611E-2</v>
      </c>
      <c r="C23" s="30">
        <f>B23*(10^15/(10^6)^2)</f>
        <v>14.27481632653061</v>
      </c>
    </row>
    <row r="25" spans="1:10" ht="13.5" x14ac:dyDescent="0.25">
      <c r="A25" s="33" t="s">
        <v>28</v>
      </c>
      <c r="B25" s="32" t="s">
        <v>29</v>
      </c>
      <c r="C25" s="32" t="s">
        <v>30</v>
      </c>
    </row>
    <row r="26" spans="1:10" ht="13.5" x14ac:dyDescent="0.25">
      <c r="B26" s="31">
        <f>B20*10^-4*B23/2</f>
        <v>1.4274816326530611E-4</v>
      </c>
      <c r="C26" s="30">
        <f>B26*10^6</f>
        <v>142.74816326530612</v>
      </c>
    </row>
    <row r="28" spans="1:10" ht="13.5" x14ac:dyDescent="0.25">
      <c r="A28" s="33" t="s">
        <v>17</v>
      </c>
      <c r="B28" s="34" t="s">
        <v>18</v>
      </c>
    </row>
    <row r="29" spans="1:10" ht="13.5" x14ac:dyDescent="0.25">
      <c r="B29" s="30">
        <f>SQRT(((J20)*G20*2)/((F20*B20*10^-4*B23)))</f>
        <v>0.44249222246909764</v>
      </c>
    </row>
    <row r="31" spans="1:10" ht="13.5" x14ac:dyDescent="0.25">
      <c r="A31" s="33" t="s">
        <v>19</v>
      </c>
      <c r="B31" s="32" t="s">
        <v>20</v>
      </c>
    </row>
    <row r="32" spans="1:10" ht="13.5" x14ac:dyDescent="0.25">
      <c r="B32" s="30">
        <f>(2*J20)/B29</f>
        <v>9.7176849256379854E-3</v>
      </c>
    </row>
    <row r="34" spans="1:5" ht="13.5" x14ac:dyDescent="0.25">
      <c r="A34" s="33" t="s">
        <v>21</v>
      </c>
      <c r="B34" s="32" t="s">
        <v>22</v>
      </c>
      <c r="C34" s="32" t="s">
        <v>23</v>
      </c>
      <c r="D34" s="32" t="s">
        <v>24</v>
      </c>
      <c r="E34" s="32" t="s">
        <v>25</v>
      </c>
    </row>
    <row r="35" spans="1:5" ht="13.5" x14ac:dyDescent="0.25">
      <c r="B35" s="31">
        <f>0.5*B23*(F20*G20)</f>
        <v>9.2786306122448959E-15</v>
      </c>
      <c r="C35" s="30">
        <f>B35*10^15</f>
        <v>9.2786306122448963</v>
      </c>
      <c r="D35" s="29">
        <v>0.36</v>
      </c>
      <c r="E35" s="29">
        <v>0.95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3"/>
  <sheetViews>
    <sheetView zoomScale="90" zoomScaleNormal="145" workbookViewId="0">
      <selection activeCell="C40" sqref="C40"/>
    </sheetView>
  </sheetViews>
  <sheetFormatPr baseColWidth="10" defaultColWidth="8.7109375" defaultRowHeight="15" x14ac:dyDescent="0.25"/>
  <cols>
    <col min="1" max="1" width="8.7109375" style="1"/>
    <col min="2" max="2" width="8.42578125" style="1" bestFit="1" customWidth="1"/>
    <col min="3" max="3" width="12.28515625" style="1" customWidth="1"/>
    <col min="4" max="4" width="8.85546875" style="1" bestFit="1" customWidth="1"/>
    <col min="5" max="5" width="8.5703125" style="1" bestFit="1" customWidth="1"/>
    <col min="6" max="6" width="20.28515625" style="1" bestFit="1" customWidth="1"/>
    <col min="7" max="7" width="8.42578125" style="1" bestFit="1" customWidth="1"/>
    <col min="8" max="8" width="9.28515625" style="1" bestFit="1" customWidth="1"/>
    <col min="9" max="9" width="15.7109375" style="1" bestFit="1" customWidth="1"/>
    <col min="10" max="10" width="8.42578125" style="1" bestFit="1" customWidth="1"/>
    <col min="11" max="11" width="9" style="1" bestFit="1" customWidth="1"/>
    <col min="12" max="12" width="8.5703125" style="1" bestFit="1" customWidth="1"/>
    <col min="13" max="13" width="8" style="1" bestFit="1" customWidth="1"/>
    <col min="14" max="14" width="9" style="1" bestFit="1" customWidth="1"/>
    <col min="15" max="15" width="11.85546875" style="1" bestFit="1" customWidth="1"/>
    <col min="16" max="16" width="9.5703125" style="1" bestFit="1" customWidth="1"/>
    <col min="17" max="17" width="11.140625" style="1" bestFit="1" customWidth="1"/>
    <col min="18" max="18" width="11.7109375" style="1" bestFit="1" customWidth="1"/>
    <col min="19" max="19" width="20.42578125" style="1" bestFit="1" customWidth="1"/>
    <col min="20" max="20" width="8" style="1" bestFit="1" customWidth="1"/>
    <col min="21" max="21" width="10.140625" style="1" bestFit="1" customWidth="1"/>
    <col min="22" max="23" width="9.5703125" style="1" bestFit="1" customWidth="1"/>
    <col min="24" max="24" width="8.42578125" style="1" bestFit="1" customWidth="1"/>
    <col min="25" max="25" width="9.140625" style="1" bestFit="1" customWidth="1"/>
    <col min="26" max="26" width="9" style="1" bestFit="1" customWidth="1"/>
    <col min="27" max="27" width="4.140625" style="1" bestFit="1" customWidth="1"/>
    <col min="28" max="29" width="7" style="1" bestFit="1" customWidth="1"/>
    <col min="30" max="16384" width="8.7109375" style="1"/>
  </cols>
  <sheetData>
    <row r="1" spans="2:30" ht="15.75" thickBot="1" x14ac:dyDescent="0.3"/>
    <row r="2" spans="2:30" ht="15.75" thickBot="1" x14ac:dyDescent="0.3">
      <c r="B2" s="140" t="s">
        <v>31</v>
      </c>
      <c r="C2" s="141"/>
      <c r="D2" s="141"/>
      <c r="E2" s="141"/>
      <c r="F2" s="141"/>
      <c r="G2" s="141"/>
      <c r="H2" s="141"/>
      <c r="I2" s="141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55"/>
    </row>
    <row r="3" spans="2:30" ht="18.75" thickBot="1" x14ac:dyDescent="0.3">
      <c r="B3" s="56"/>
      <c r="C3" s="145" t="s">
        <v>32</v>
      </c>
      <c r="D3" s="146"/>
      <c r="E3" s="146"/>
      <c r="F3" s="146"/>
      <c r="G3" s="146"/>
      <c r="H3" s="146"/>
      <c r="I3" s="146"/>
      <c r="J3" s="146"/>
      <c r="K3" s="147"/>
      <c r="M3" s="145" t="s">
        <v>33</v>
      </c>
      <c r="N3" s="147"/>
      <c r="P3" s="23" t="s">
        <v>34</v>
      </c>
      <c r="Q3" s="24" t="s">
        <v>35</v>
      </c>
      <c r="S3" s="49" t="s">
        <v>36</v>
      </c>
      <c r="T3" s="49" t="s">
        <v>37</v>
      </c>
      <c r="U3" s="49" t="s">
        <v>38</v>
      </c>
      <c r="W3" s="137" t="s">
        <v>39</v>
      </c>
      <c r="X3" s="138"/>
      <c r="Y3" s="138"/>
      <c r="Z3" s="138"/>
      <c r="AA3" s="138"/>
      <c r="AB3" s="138"/>
      <c r="AC3" s="139"/>
      <c r="AD3" s="57"/>
    </row>
    <row r="4" spans="2:30" ht="18.75" thickBot="1" x14ac:dyDescent="0.3">
      <c r="B4" s="56"/>
      <c r="C4" s="8" t="s">
        <v>40</v>
      </c>
      <c r="D4" s="9" t="s">
        <v>41</v>
      </c>
      <c r="E4" s="10" t="s">
        <v>42</v>
      </c>
      <c r="F4" s="10" t="s">
        <v>43</v>
      </c>
      <c r="G4" s="10" t="s">
        <v>44</v>
      </c>
      <c r="H4" s="9" t="s">
        <v>45</v>
      </c>
      <c r="I4" s="9" t="s">
        <v>46</v>
      </c>
      <c r="J4" s="9" t="s">
        <v>47</v>
      </c>
      <c r="K4" s="16" t="s">
        <v>48</v>
      </c>
      <c r="M4" s="3" t="s">
        <v>49</v>
      </c>
      <c r="N4" s="4" t="s">
        <v>50</v>
      </c>
      <c r="P4" s="40">
        <f>'Paramètres techno'!B8</f>
        <v>2.2125965306122447E-4</v>
      </c>
      <c r="Q4" s="15">
        <f>'Paramètres techno'!B5</f>
        <v>1.4274816326530611E-2</v>
      </c>
      <c r="S4" s="47">
        <f>1/(50*I5*D5)</f>
        <v>1.2992240252399618E-12</v>
      </c>
      <c r="T4" s="47">
        <f>C10/((K10+N10)*2*PI())</f>
        <v>3955692566.6604905</v>
      </c>
      <c r="U4" s="47">
        <f>2*PI()*T4</f>
        <v>24854349414.560699</v>
      </c>
      <c r="W4" s="17" t="s">
        <v>51</v>
      </c>
      <c r="X4" s="22" t="s">
        <v>52</v>
      </c>
      <c r="Y4" s="26" t="s">
        <v>53</v>
      </c>
      <c r="Z4" s="19" t="s">
        <v>54</v>
      </c>
      <c r="AA4" s="17" t="s">
        <v>55</v>
      </c>
      <c r="AB4" s="18" t="s">
        <v>56</v>
      </c>
      <c r="AC4" s="19" t="s">
        <v>57</v>
      </c>
      <c r="AD4" s="57"/>
    </row>
    <row r="5" spans="2:30" ht="15.75" thickBot="1" x14ac:dyDescent="0.3">
      <c r="B5" s="56"/>
      <c r="C5" s="11">
        <v>3.5</v>
      </c>
      <c r="D5" s="12">
        <v>1</v>
      </c>
      <c r="E5" s="12">
        <v>2</v>
      </c>
      <c r="F5" s="12">
        <v>20</v>
      </c>
      <c r="G5" s="12">
        <v>50</v>
      </c>
      <c r="H5" s="13">
        <v>2450000000</v>
      </c>
      <c r="I5" s="13">
        <f>2*PI()*H5</f>
        <v>15393804002.589987</v>
      </c>
      <c r="J5" s="14">
        <f>0.000000003</f>
        <v>3E-9</v>
      </c>
      <c r="K5" s="15">
        <v>3000000</v>
      </c>
      <c r="M5" s="5">
        <f>10^(C5/10)</f>
        <v>2.2387211385683394</v>
      </c>
      <c r="N5" s="6">
        <f>10^(F5/20)</f>
        <v>10</v>
      </c>
      <c r="W5" s="11">
        <v>-5</v>
      </c>
      <c r="X5" s="25">
        <f>SQRT(2*50*10^-3*10^(W5/10))</f>
        <v>0.17782794100389229</v>
      </c>
      <c r="Y5" s="54">
        <f>(D5*X5/0.64)^2</f>
        <v>7.720404443770458E-2</v>
      </c>
      <c r="Z5" s="27">
        <f>(C10/2)*Y5</f>
        <v>1.2465121008096089E-3</v>
      </c>
      <c r="AA5" s="48">
        <f>(Z5/P4)*(1/(Y5^2))</f>
        <v>945.17922597075437</v>
      </c>
      <c r="AB5" s="20">
        <v>1.3E-7</v>
      </c>
      <c r="AC5" s="21">
        <f>AA5*AB5</f>
        <v>1.2287329937619808E-4</v>
      </c>
      <c r="AD5" s="57"/>
    </row>
    <row r="6" spans="2:30" x14ac:dyDescent="0.25">
      <c r="B6" s="56"/>
      <c r="AD6" s="57"/>
    </row>
    <row r="7" spans="2:30" x14ac:dyDescent="0.25">
      <c r="B7" s="56"/>
      <c r="AD7" s="57"/>
    </row>
    <row r="8" spans="2:30" ht="15.75" thickBot="1" x14ac:dyDescent="0.3">
      <c r="B8" s="56"/>
      <c r="AD8" s="57"/>
    </row>
    <row r="9" spans="2:30" ht="18" x14ac:dyDescent="0.25">
      <c r="B9" s="56"/>
      <c r="C9" s="37" t="s">
        <v>58</v>
      </c>
      <c r="D9" s="38" t="s">
        <v>59</v>
      </c>
      <c r="E9" s="39" t="s">
        <v>60</v>
      </c>
      <c r="G9" s="26" t="s">
        <v>54</v>
      </c>
      <c r="H9" s="18" t="s">
        <v>55</v>
      </c>
      <c r="I9" s="19" t="s">
        <v>57</v>
      </c>
      <c r="K9" s="17" t="s">
        <v>61</v>
      </c>
      <c r="L9" s="18" t="s">
        <v>62</v>
      </c>
      <c r="M9" s="18" t="s">
        <v>63</v>
      </c>
      <c r="N9" s="19" t="s">
        <v>64</v>
      </c>
      <c r="AD9" s="57"/>
    </row>
    <row r="10" spans="2:30" ht="15.75" thickBot="1" x14ac:dyDescent="0.3">
      <c r="B10" s="56"/>
      <c r="C10" s="69">
        <f>(E5/((G5*D5^2)*(M5-1)))</f>
        <v>3.2291367891106044E-2</v>
      </c>
      <c r="D10" s="13">
        <f>1/(I5^2*J5)</f>
        <v>1.4066525564672742E-12</v>
      </c>
      <c r="E10" s="50">
        <f>N5/C10*D5</f>
        <v>309.68028464208487</v>
      </c>
      <c r="G10" s="51">
        <v>1.5E-3</v>
      </c>
      <c r="H10" s="52">
        <f>C10^2/(4*P4*G10)</f>
        <v>785.45156173760347</v>
      </c>
      <c r="I10" s="21">
        <f>H10*AB5</f>
        <v>1.0210870302588845E-4</v>
      </c>
      <c r="K10" s="46">
        <f>(2/3)*Q4*I10*AB5</f>
        <v>1.2632385835635087E-13</v>
      </c>
      <c r="L10" s="53">
        <f>1/(I5^2*(N10+K10))-M10</f>
        <v>1.2363397333491717E-9</v>
      </c>
      <c r="M10" s="53">
        <f>G5/U4</f>
        <v>2.0117203297507334E-9</v>
      </c>
      <c r="N10" s="62">
        <f>S4-K10</f>
        <v>1.172900166883611E-12</v>
      </c>
      <c r="AD10" s="57"/>
    </row>
    <row r="11" spans="2:30" x14ac:dyDescent="0.25">
      <c r="B11" s="56"/>
      <c r="AD11" s="57"/>
    </row>
    <row r="12" spans="2:30" ht="15.75" thickBot="1" x14ac:dyDescent="0.3">
      <c r="B12" s="58"/>
      <c r="C12" s="59"/>
      <c r="D12" s="59"/>
      <c r="E12" s="59"/>
      <c r="F12" s="59"/>
      <c r="G12" s="60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61"/>
    </row>
    <row r="14" spans="2:30" x14ac:dyDescent="0.25">
      <c r="N14" s="1">
        <f>30000000000/600</f>
        <v>50000000</v>
      </c>
    </row>
    <row r="15" spans="2:30" x14ac:dyDescent="0.25">
      <c r="R15" s="2"/>
      <c r="S15" s="7"/>
      <c r="T15" s="7"/>
    </row>
    <row r="16" spans="2:30" x14ac:dyDescent="0.25">
      <c r="P16" s="1" t="s">
        <v>65</v>
      </c>
      <c r="T16" s="7"/>
    </row>
    <row r="17" spans="2:16" ht="15.75" thickBot="1" x14ac:dyDescent="0.3">
      <c r="P17" s="68">
        <f>G10*'Paramètres techno'!I2</f>
        <v>1.8E-3</v>
      </c>
    </row>
    <row r="18" spans="2:16" x14ac:dyDescent="0.25">
      <c r="B18" s="78"/>
      <c r="C18" s="144" t="s">
        <v>66</v>
      </c>
      <c r="D18" s="144"/>
      <c r="E18" s="144"/>
      <c r="F18" s="144"/>
      <c r="G18" s="144"/>
      <c r="H18" s="144"/>
      <c r="I18" s="79"/>
      <c r="J18" s="55"/>
    </row>
    <row r="19" spans="2:16" ht="15.75" thickBot="1" x14ac:dyDescent="0.3">
      <c r="B19" s="56"/>
      <c r="J19" s="57"/>
      <c r="M19" s="1">
        <v>100</v>
      </c>
      <c r="N19" s="1">
        <f>N5/M19</f>
        <v>0.1</v>
      </c>
    </row>
    <row r="20" spans="2:16" ht="15.75" thickBot="1" x14ac:dyDescent="0.3">
      <c r="B20" s="56"/>
      <c r="C20" s="142" t="s">
        <v>67</v>
      </c>
      <c r="D20" s="143"/>
      <c r="F20" s="142" t="s">
        <v>68</v>
      </c>
      <c r="G20" s="143"/>
      <c r="I20" s="66" t="s">
        <v>69</v>
      </c>
      <c r="J20" s="57"/>
      <c r="L20" s="2"/>
    </row>
    <row r="21" spans="2:16" ht="18" x14ac:dyDescent="0.25">
      <c r="B21" s="56"/>
      <c r="C21" s="67" t="s">
        <v>63</v>
      </c>
      <c r="D21" s="67" t="s">
        <v>61</v>
      </c>
      <c r="F21" s="63" t="s">
        <v>36</v>
      </c>
      <c r="G21" s="19" t="s">
        <v>64</v>
      </c>
      <c r="I21" s="67" t="s">
        <v>62</v>
      </c>
      <c r="J21" s="57"/>
    </row>
    <row r="22" spans="2:16" ht="15.75" thickBot="1" x14ac:dyDescent="0.3">
      <c r="B22" s="56"/>
      <c r="C22" s="65">
        <v>1.5E-9</v>
      </c>
      <c r="D22" s="64">
        <f>K10</f>
        <v>1.2632385835635087E-13</v>
      </c>
      <c r="F22" s="64">
        <f>(C22*C10)/50</f>
        <v>9.6874103673318132E-13</v>
      </c>
      <c r="G22" s="21">
        <f>F22-D22</f>
        <v>8.424171783768305E-13</v>
      </c>
      <c r="I22" s="65">
        <f>(1/(I5^2*F22))-C22</f>
        <v>2.8561256407930186E-9</v>
      </c>
      <c r="J22" s="57"/>
      <c r="K22" s="2"/>
    </row>
    <row r="23" spans="2:16" ht="15.75" thickBot="1" x14ac:dyDescent="0.3">
      <c r="B23" s="58"/>
      <c r="C23" s="59"/>
      <c r="D23" s="59"/>
      <c r="E23" s="59"/>
      <c r="F23" s="59"/>
      <c r="G23" s="59"/>
      <c r="H23" s="59"/>
      <c r="I23" s="59"/>
      <c r="J23" s="61"/>
    </row>
  </sheetData>
  <mergeCells count="7">
    <mergeCell ref="W3:AC3"/>
    <mergeCell ref="B2:I2"/>
    <mergeCell ref="C20:D20"/>
    <mergeCell ref="F20:G20"/>
    <mergeCell ref="C18:H18"/>
    <mergeCell ref="C3:K3"/>
    <mergeCell ref="M3:N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2D4C-50C3-42B0-9E2A-99F328BEE698}">
  <dimension ref="A1:B19"/>
  <sheetViews>
    <sheetView showGridLines="0" topLeftCell="B1" zoomScale="115" zoomScaleNormal="115" workbookViewId="0">
      <selection activeCell="B9" sqref="B9"/>
    </sheetView>
  </sheetViews>
  <sheetFormatPr baseColWidth="10" defaultColWidth="11.42578125" defaultRowHeight="15" x14ac:dyDescent="0.25"/>
  <cols>
    <col min="1" max="1" width="123.85546875" style="1" customWidth="1"/>
    <col min="2" max="2" width="109.7109375" style="1" customWidth="1"/>
    <col min="3" max="16384" width="11.42578125" style="1"/>
  </cols>
  <sheetData>
    <row r="1" spans="1:2" ht="21.75" thickBot="1" x14ac:dyDescent="0.3">
      <c r="A1" s="148" t="s">
        <v>97</v>
      </c>
      <c r="B1" s="148"/>
    </row>
    <row r="2" spans="1:2" ht="64.5" thickBot="1" x14ac:dyDescent="0.3">
      <c r="A2" s="104" t="s">
        <v>121</v>
      </c>
      <c r="B2" s="105" t="s">
        <v>101</v>
      </c>
    </row>
    <row r="3" spans="1:2" ht="21.75" thickBot="1" x14ac:dyDescent="0.3">
      <c r="A3" s="87" t="s">
        <v>98</v>
      </c>
      <c r="B3" s="87" t="s">
        <v>98</v>
      </c>
    </row>
    <row r="4" spans="1:2" ht="354" customHeight="1" thickBot="1" x14ac:dyDescent="0.3">
      <c r="A4" s="86" t="e" vm="1">
        <v>#VALUE!</v>
      </c>
      <c r="B4" s="86" t="e" vm="2">
        <v>#VALUE!</v>
      </c>
    </row>
    <row r="5" spans="1:2" ht="21.75" thickBot="1" x14ac:dyDescent="0.3">
      <c r="A5" s="99" t="s">
        <v>99</v>
      </c>
      <c r="B5" s="103" t="s">
        <v>99</v>
      </c>
    </row>
    <row r="6" spans="1:2" ht="333" customHeight="1" thickBot="1" x14ac:dyDescent="0.3">
      <c r="A6" s="66" t="e" vm="3">
        <v>#VALUE!</v>
      </c>
      <c r="B6" s="102"/>
    </row>
    <row r="7" spans="1:2" ht="333" customHeight="1" thickBot="1" x14ac:dyDescent="0.3">
      <c r="A7" s="66" t="e" vm="4">
        <v>#VALUE!</v>
      </c>
      <c r="B7" s="66"/>
    </row>
    <row r="8" spans="1:2" ht="21.75" thickBot="1" x14ac:dyDescent="0.3">
      <c r="A8" s="99" t="s">
        <v>107</v>
      </c>
      <c r="B8" s="103" t="s">
        <v>107</v>
      </c>
    </row>
    <row r="9" spans="1:2" ht="346.5" customHeight="1" thickBot="1" x14ac:dyDescent="0.3">
      <c r="A9" s="96" t="e" vm="5">
        <v>#VALUE!</v>
      </c>
      <c r="B9" s="66" t="e" vm="6">
        <v>#VALUE!</v>
      </c>
    </row>
    <row r="10" spans="1:2" ht="96.75" customHeight="1" thickBot="1" x14ac:dyDescent="0.3">
      <c r="A10" s="107">
        <f>SQRT((38.9)^2 + (5.94)^2)</f>
        <v>39.350903420379055</v>
      </c>
      <c r="B10" s="108">
        <f>SQRT(47.6^2+2.03^2)</f>
        <v>47.643267100399406</v>
      </c>
    </row>
    <row r="11" spans="1:2" ht="36" customHeight="1" thickBot="1" x14ac:dyDescent="0.3">
      <c r="A11" s="98" t="s">
        <v>82</v>
      </c>
      <c r="B11" s="103" t="s">
        <v>82</v>
      </c>
    </row>
    <row r="12" spans="1:2" ht="333" customHeight="1" thickBot="1" x14ac:dyDescent="0.3">
      <c r="A12" s="102" t="e" vm="7">
        <v>#VALUE!</v>
      </c>
      <c r="B12" s="66" t="e" vm="8">
        <v>#VALUE!</v>
      </c>
    </row>
    <row r="13" spans="1:2" ht="21.75" thickBot="1" x14ac:dyDescent="0.3">
      <c r="A13" s="98" t="s">
        <v>132</v>
      </c>
      <c r="B13" s="98" t="s">
        <v>132</v>
      </c>
    </row>
    <row r="14" spans="1:2" ht="333" customHeight="1" thickBot="1" x14ac:dyDescent="0.3">
      <c r="A14" s="66" t="e" vm="9">
        <v>#VALUE!</v>
      </c>
      <c r="B14" s="66" t="e" vm="10">
        <v>#VALUE!</v>
      </c>
    </row>
    <row r="15" spans="1:2" ht="59.25" customHeight="1" thickBot="1" x14ac:dyDescent="0.3">
      <c r="A15" s="106">
        <f>10*LOG10(1.21)</f>
        <v>0.82785370316450069</v>
      </c>
      <c r="B15" s="106">
        <f>10*LOG10(2.08)</f>
        <v>3.1806333496276156</v>
      </c>
    </row>
    <row r="16" spans="1:2" ht="21.75" thickBot="1" x14ac:dyDescent="0.3">
      <c r="A16" s="98" t="s">
        <v>134</v>
      </c>
      <c r="B16" s="98" t="s">
        <v>134</v>
      </c>
    </row>
    <row r="17" spans="1:2" ht="333" customHeight="1" thickBot="1" x14ac:dyDescent="0.3">
      <c r="A17" s="66" t="e" vm="11">
        <v>#VALUE!</v>
      </c>
      <c r="B17" s="66" t="e" vm="12">
        <v>#VALUE!</v>
      </c>
    </row>
    <row r="18" spans="1:2" ht="21.75" thickBot="1" x14ac:dyDescent="0.3">
      <c r="A18" s="98" t="s">
        <v>133</v>
      </c>
      <c r="B18" s="98" t="s">
        <v>133</v>
      </c>
    </row>
    <row r="19" spans="1:2" ht="333" customHeight="1" thickBot="1" x14ac:dyDescent="0.3">
      <c r="A19" s="66" t="e" vm="13">
        <v>#VALUE!</v>
      </c>
      <c r="B19" s="97" t="e" vm="14">
        <v>#VALUE!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40F1-9213-41ED-9F38-7F271A68E683}">
  <dimension ref="A1"/>
  <sheetViews>
    <sheetView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A64-818D-4DB9-ABFE-57582F4BE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3A7E-EB79-45CD-AA33-3CAF49DB1F5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D153-1F20-4D1A-A218-76148584189D}">
  <dimension ref="A1"/>
  <sheetViews>
    <sheetView workbookViewId="0"/>
  </sheetViews>
  <sheetFormatPr baseColWidth="10" defaultRowHeight="15" x14ac:dyDescent="0.25"/>
  <sheetData>
    <row r="1" spans="1:1" x14ac:dyDescent="0.25">
      <c r="A1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C7B0-049C-43F7-8021-0F42C59F8617}">
  <dimension ref="A1:AA41"/>
  <sheetViews>
    <sheetView tabSelected="1" zoomScale="85" zoomScaleNormal="85" workbookViewId="0">
      <selection activeCell="K6" sqref="K6:M6"/>
    </sheetView>
  </sheetViews>
  <sheetFormatPr baseColWidth="10" defaultColWidth="11.42578125" defaultRowHeight="15" x14ac:dyDescent="0.25"/>
  <cols>
    <col min="4" max="4" width="11.42578125" customWidth="1"/>
    <col min="6" max="6" width="10.42578125" bestFit="1" customWidth="1"/>
    <col min="7" max="7" width="11.42578125" customWidth="1"/>
    <col min="8" max="8" width="11.140625" bestFit="1" customWidth="1"/>
    <col min="9" max="9" width="28" bestFit="1" customWidth="1"/>
    <col min="10" max="10" width="18.85546875" bestFit="1" customWidth="1"/>
    <col min="13" max="13" width="37" customWidth="1"/>
    <col min="23" max="23" width="18.7109375" customWidth="1"/>
    <col min="27" max="27" width="40" customWidth="1"/>
  </cols>
  <sheetData>
    <row r="1" spans="1:27" ht="47.25" thickBot="1" x14ac:dyDescent="0.75">
      <c r="A1" s="151" t="s">
        <v>121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O1" s="151" t="s">
        <v>122</v>
      </c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 spans="1:27" ht="24.75" customHeight="1" thickBot="1" x14ac:dyDescent="0.3">
      <c r="A2" s="153" t="s">
        <v>75</v>
      </c>
      <c r="B2" s="155"/>
      <c r="C2" s="153" t="s">
        <v>76</v>
      </c>
      <c r="D2" s="154"/>
      <c r="E2" s="154"/>
      <c r="F2" s="155"/>
      <c r="G2" s="153" t="s">
        <v>72</v>
      </c>
      <c r="H2" s="155"/>
      <c r="I2" s="156" t="s">
        <v>77</v>
      </c>
      <c r="J2" s="156" t="s">
        <v>78</v>
      </c>
      <c r="K2" s="158" t="s">
        <v>82</v>
      </c>
      <c r="L2" s="159"/>
      <c r="M2" s="160" t="s">
        <v>85</v>
      </c>
      <c r="O2" s="153" t="s">
        <v>75</v>
      </c>
      <c r="P2" s="154"/>
      <c r="Q2" s="153" t="s">
        <v>76</v>
      </c>
      <c r="R2" s="154"/>
      <c r="S2" s="154"/>
      <c r="T2" s="155"/>
      <c r="U2" s="153" t="s">
        <v>72</v>
      </c>
      <c r="V2" s="154"/>
      <c r="W2" s="156" t="s">
        <v>77</v>
      </c>
      <c r="X2" s="156" t="s">
        <v>78</v>
      </c>
      <c r="Y2" s="158" t="s">
        <v>82</v>
      </c>
      <c r="Z2" s="159"/>
      <c r="AA2" s="160" t="s">
        <v>85</v>
      </c>
    </row>
    <row r="3" spans="1:27" ht="15" customHeight="1" thickBot="1" x14ac:dyDescent="0.3">
      <c r="A3" s="70" t="s">
        <v>33</v>
      </c>
      <c r="B3" s="72" t="s">
        <v>79</v>
      </c>
      <c r="C3" s="70" t="s">
        <v>80</v>
      </c>
      <c r="D3" s="71" t="s">
        <v>81</v>
      </c>
      <c r="E3" s="71" t="s">
        <v>33</v>
      </c>
      <c r="F3" s="72" t="s">
        <v>79</v>
      </c>
      <c r="G3" s="70" t="s">
        <v>33</v>
      </c>
      <c r="H3" s="72" t="s">
        <v>79</v>
      </c>
      <c r="I3" s="157"/>
      <c r="J3" s="157"/>
      <c r="K3" s="82" t="s">
        <v>33</v>
      </c>
      <c r="L3" s="83" t="s">
        <v>79</v>
      </c>
      <c r="M3" s="161"/>
      <c r="O3" s="70" t="s">
        <v>33</v>
      </c>
      <c r="P3" s="71" t="s">
        <v>79</v>
      </c>
      <c r="Q3" s="70" t="s">
        <v>80</v>
      </c>
      <c r="R3" s="71" t="s">
        <v>81</v>
      </c>
      <c r="S3" s="71" t="s">
        <v>33</v>
      </c>
      <c r="T3" s="72" t="s">
        <v>79</v>
      </c>
      <c r="U3" s="70" t="s">
        <v>33</v>
      </c>
      <c r="V3" s="71" t="s">
        <v>79</v>
      </c>
      <c r="W3" s="157"/>
      <c r="X3" s="157"/>
      <c r="Y3" s="82" t="s">
        <v>33</v>
      </c>
      <c r="Z3" s="83" t="s">
        <v>79</v>
      </c>
      <c r="AA3" s="161"/>
    </row>
    <row r="4" spans="1:27" ht="27" thickBot="1" x14ac:dyDescent="0.3">
      <c r="A4" s="41">
        <v>8.3999999999999992E-6</v>
      </c>
      <c r="B4" s="73">
        <f>20*LOG10(A4)</f>
        <v>-101.51441427876236</v>
      </c>
      <c r="C4" s="74">
        <v>0.45251999999999998</v>
      </c>
      <c r="D4">
        <v>0.45268000000000003</v>
      </c>
      <c r="E4">
        <f>(D4-C4)/2</f>
        <v>8.0000000000024496E-5</v>
      </c>
      <c r="F4" s="42">
        <f>20*LOG10(E4)</f>
        <v>-81.938200260158453</v>
      </c>
      <c r="G4" s="41">
        <f>E4/A4</f>
        <v>9.5238095238124405</v>
      </c>
      <c r="H4" s="42">
        <f>20*LOG10(G4)</f>
        <v>19.576214018603899</v>
      </c>
      <c r="I4" s="76">
        <f>1.0081*B4+20.375</f>
        <v>-81.961681034420337</v>
      </c>
      <c r="J4" s="76">
        <f>I4-F4</f>
        <v>-2.3480774261884108E-2</v>
      </c>
      <c r="K4" s="88">
        <f>AVERAGE(G4:G14)</f>
        <v>9.728299963925231</v>
      </c>
      <c r="L4" s="89">
        <f>AVERAGE(H4:H14)</f>
        <v>19.757122032341272</v>
      </c>
      <c r="M4" s="90">
        <f>B14</f>
        <v>-40</v>
      </c>
      <c r="O4" s="41">
        <v>8.3999999999999995E-5</v>
      </c>
      <c r="P4" s="95">
        <f>20*LOG10(O4)</f>
        <v>-81.514414278762359</v>
      </c>
      <c r="Q4" s="74">
        <v>1.1835</v>
      </c>
      <c r="R4">
        <v>1.1839</v>
      </c>
      <c r="S4">
        <f>(R4-Q4)/2</f>
        <v>1.9999999999997797E-4</v>
      </c>
      <c r="T4" s="42">
        <f>20*LOG10(S4)</f>
        <v>-73.979400086721341</v>
      </c>
      <c r="U4" s="41">
        <f>S4/O4</f>
        <v>2.3809523809521189</v>
      </c>
      <c r="V4">
        <f>20*LOG10(U4)</f>
        <v>7.535014192041035</v>
      </c>
      <c r="W4" s="76">
        <f>0.9996*P4+25.844</f>
        <v>-55.637808513050864</v>
      </c>
      <c r="X4" s="76">
        <f>W4-T4</f>
        <v>18.341591573670478</v>
      </c>
      <c r="Y4" s="88">
        <f>AVERAGE(U5:U18)</f>
        <v>19.415351020408167</v>
      </c>
      <c r="Z4" s="89">
        <f>AVERAGE(V5:V18)</f>
        <v>25.75937220901746</v>
      </c>
      <c r="AA4" s="90">
        <f>P18</f>
        <v>-26.020599913279625</v>
      </c>
    </row>
    <row r="5" spans="1:27" ht="15.75" thickBot="1" x14ac:dyDescent="0.3">
      <c r="A5" s="41">
        <v>1E-3</v>
      </c>
      <c r="B5" s="73">
        <f>20*LOG10(A5)</f>
        <v>-60</v>
      </c>
      <c r="C5" s="74">
        <v>0.44289000000000001</v>
      </c>
      <c r="D5">
        <v>0.46232000000000001</v>
      </c>
      <c r="E5">
        <f>(D5-C5)/2</f>
        <v>9.7150000000000014E-3</v>
      </c>
      <c r="F5" s="42">
        <f>20*LOG10(E5)</f>
        <v>-40.251143901283974</v>
      </c>
      <c r="G5" s="41">
        <f>E5/A5</f>
        <v>9.7150000000000016</v>
      </c>
      <c r="H5" s="42">
        <f t="shared" ref="H5:H34" si="0">20*LOG10(G5)</f>
        <v>19.748856098716029</v>
      </c>
      <c r="I5" s="76">
        <f t="shared" ref="I5:I34" si="1">1.0081*B5+20.375</f>
        <v>-40.110999999999997</v>
      </c>
      <c r="J5" s="76">
        <f>I5-F5</f>
        <v>0.14014390128397736</v>
      </c>
      <c r="O5" s="41">
        <v>1E-3</v>
      </c>
      <c r="P5" s="95">
        <f>20*LOG10(O5)</f>
        <v>-60</v>
      </c>
      <c r="Q5" s="74">
        <v>1.1639999999999999</v>
      </c>
      <c r="R5">
        <v>1.2033</v>
      </c>
      <c r="S5">
        <f>(R5-Q5)/2</f>
        <v>1.9650000000000056E-2</v>
      </c>
      <c r="T5" s="42">
        <f>20*LOG10(S5)</f>
        <v>-34.132748905771066</v>
      </c>
      <c r="U5" s="41">
        <f>S5/O5</f>
        <v>19.650000000000055</v>
      </c>
      <c r="V5">
        <f>20*LOG10(U5)</f>
        <v>25.867251094228934</v>
      </c>
      <c r="W5" s="76">
        <f t="shared" ref="W5:W34" si="2">0.9996*P5+25.844</f>
        <v>-34.131999999999998</v>
      </c>
      <c r="X5" s="76">
        <f>W5-T5</f>
        <v>7.4890577106856426E-4</v>
      </c>
    </row>
    <row r="6" spans="1:27" x14ac:dyDescent="0.25">
      <c r="A6" s="41">
        <v>2E-3</v>
      </c>
      <c r="B6" s="73">
        <f t="shared" ref="B6:B34" si="3">20*LOG10(A6)</f>
        <v>-53.979400086720375</v>
      </c>
      <c r="C6" s="74">
        <v>0.43318000000000001</v>
      </c>
      <c r="D6">
        <v>0.47203000000000001</v>
      </c>
      <c r="E6">
        <f t="shared" ref="E6:E34" si="4">(D6-C6)/2</f>
        <v>1.9424999999999998E-2</v>
      </c>
      <c r="F6" s="42">
        <f t="shared" ref="F6:F34" si="5">20*LOG10(E6)</f>
        <v>-34.232779450540967</v>
      </c>
      <c r="G6" s="41">
        <f t="shared" ref="G6:G34" si="6">E6/A6</f>
        <v>9.7124999999999986</v>
      </c>
      <c r="H6" s="42">
        <f t="shared" si="0"/>
        <v>19.746620636179411</v>
      </c>
      <c r="I6" s="76">
        <f t="shared" si="1"/>
        <v>-34.041633227422807</v>
      </c>
      <c r="J6" s="76">
        <f t="shared" ref="J6:J34" si="7">I6-F6</f>
        <v>0.19114622311816021</v>
      </c>
      <c r="K6" s="149" t="s">
        <v>86</v>
      </c>
      <c r="L6" s="150"/>
      <c r="M6" s="150"/>
      <c r="O6" s="41">
        <v>2E-3</v>
      </c>
      <c r="P6" s="95">
        <f t="shared" ref="P6:P34" si="8">20*LOG10(O6)</f>
        <v>-53.979400086720375</v>
      </c>
      <c r="Q6" s="74">
        <v>1.1442000000000001</v>
      </c>
      <c r="R6">
        <v>1.2228000000000001</v>
      </c>
      <c r="S6">
        <f t="shared" ref="S6:S34" si="9">(R6-Q6)/2</f>
        <v>3.9300000000000002E-2</v>
      </c>
      <c r="T6" s="42">
        <f t="shared" ref="T6:T34" si="10">20*LOG10(S6)</f>
        <v>-28.112148992491463</v>
      </c>
      <c r="U6" s="41">
        <f t="shared" ref="U6:U34" si="11">S6/O6</f>
        <v>19.650000000000002</v>
      </c>
      <c r="V6">
        <f t="shared" ref="V6:V34" si="12">20*LOG10(U6)</f>
        <v>25.867251094228912</v>
      </c>
      <c r="W6" s="76">
        <f t="shared" si="2"/>
        <v>-28.113808326685685</v>
      </c>
      <c r="X6" s="76">
        <f t="shared" ref="X6:X34" si="13">W6-T6</f>
        <v>-1.6593341942225948E-3</v>
      </c>
      <c r="Y6" s="149" t="s">
        <v>86</v>
      </c>
      <c r="Z6" s="150"/>
      <c r="AA6" s="150"/>
    </row>
    <row r="7" spans="1:27" x14ac:dyDescent="0.25">
      <c r="A7" s="41">
        <v>3.0000000000000001E-3</v>
      </c>
      <c r="B7" s="73">
        <f t="shared" si="3"/>
        <v>-50.457574905606748</v>
      </c>
      <c r="C7" s="41">
        <v>0.42348999999999998</v>
      </c>
      <c r="D7">
        <v>0.48720000000000002</v>
      </c>
      <c r="E7">
        <f t="shared" si="4"/>
        <v>3.1855000000000022E-2</v>
      </c>
      <c r="F7" s="42">
        <f t="shared" si="5"/>
        <v>-29.936447811638793</v>
      </c>
      <c r="G7" s="41">
        <f t="shared" si="6"/>
        <v>10.618333333333341</v>
      </c>
      <c r="H7" s="42">
        <f t="shared" si="0"/>
        <v>20.521127093967962</v>
      </c>
      <c r="I7" s="76">
        <f t="shared" si="1"/>
        <v>-30.491281262342163</v>
      </c>
      <c r="J7" s="76">
        <f t="shared" si="7"/>
        <v>-0.55483345070337009</v>
      </c>
      <c r="O7" s="41">
        <v>3.0000000000000001E-3</v>
      </c>
      <c r="P7" s="95">
        <f t="shared" si="8"/>
        <v>-50.457574905606748</v>
      </c>
      <c r="Q7" s="41">
        <v>1.1245000000000001</v>
      </c>
      <c r="R7">
        <v>1.2423999999999999</v>
      </c>
      <c r="S7">
        <f>(R7-Q7)/2</f>
        <v>5.8949999999999947E-2</v>
      </c>
      <c r="T7" s="42">
        <f t="shared" si="10"/>
        <v>-24.59032381137785</v>
      </c>
      <c r="U7" s="41">
        <f t="shared" si="11"/>
        <v>19.649999999999981</v>
      </c>
      <c r="V7">
        <f t="shared" si="12"/>
        <v>25.867251094228902</v>
      </c>
      <c r="W7" s="76">
        <f t="shared" si="2"/>
        <v>-24.593391875644507</v>
      </c>
      <c r="X7" s="76">
        <f t="shared" si="13"/>
        <v>-3.0680642666567337E-3</v>
      </c>
    </row>
    <row r="8" spans="1:27" x14ac:dyDescent="0.25">
      <c r="A8" s="41">
        <v>4.0000000000000001E-3</v>
      </c>
      <c r="B8" s="73">
        <f t="shared" si="3"/>
        <v>-47.95880017344075</v>
      </c>
      <c r="C8" s="74">
        <v>0.41382999999999998</v>
      </c>
      <c r="D8">
        <v>0.49137999999999998</v>
      </c>
      <c r="E8">
        <f t="shared" si="4"/>
        <v>3.8775000000000004E-2</v>
      </c>
      <c r="F8" s="42">
        <f t="shared" si="5"/>
        <v>-28.228963870287149</v>
      </c>
      <c r="G8" s="41">
        <f t="shared" si="6"/>
        <v>9.6937500000000014</v>
      </c>
      <c r="H8" s="42">
        <f t="shared" si="0"/>
        <v>19.729836303153604</v>
      </c>
      <c r="I8" s="76">
        <f t="shared" si="1"/>
        <v>-27.972266454845617</v>
      </c>
      <c r="J8" s="76">
        <f t="shared" si="7"/>
        <v>0.25669741544153268</v>
      </c>
      <c r="O8" s="41">
        <v>4.0000000000000001E-3</v>
      </c>
      <c r="P8" s="95">
        <f t="shared" si="8"/>
        <v>-47.95880017344075</v>
      </c>
      <c r="Q8" s="74">
        <v>1.1048</v>
      </c>
      <c r="R8">
        <v>1.2619</v>
      </c>
      <c r="S8">
        <f t="shared" si="9"/>
        <v>7.8550000000000009E-2</v>
      </c>
      <c r="T8" s="42">
        <f t="shared" si="10"/>
        <v>-22.097076212480154</v>
      </c>
      <c r="U8" s="41">
        <f t="shared" si="11"/>
        <v>19.637500000000003</v>
      </c>
      <c r="V8">
        <f t="shared" si="12"/>
        <v>25.861723960960596</v>
      </c>
      <c r="W8" s="76">
        <f t="shared" si="2"/>
        <v>-22.095616653371373</v>
      </c>
      <c r="X8" s="76">
        <f t="shared" si="13"/>
        <v>1.4595591087811499E-3</v>
      </c>
    </row>
    <row r="9" spans="1:27" x14ac:dyDescent="0.25">
      <c r="A9" s="41">
        <v>5.0000000000000001E-3</v>
      </c>
      <c r="B9" s="73">
        <f t="shared" si="3"/>
        <v>-46.020599913279625</v>
      </c>
      <c r="C9" s="74">
        <v>0.4042</v>
      </c>
      <c r="D9">
        <v>0.50100999999999996</v>
      </c>
      <c r="E9">
        <f t="shared" si="4"/>
        <v>4.8404999999999976E-2</v>
      </c>
      <c r="F9" s="42">
        <f t="shared" si="5"/>
        <v>-26.302195510808279</v>
      </c>
      <c r="G9" s="41">
        <f t="shared" si="6"/>
        <v>9.6809999999999956</v>
      </c>
      <c r="H9" s="42">
        <f t="shared" si="0"/>
        <v>19.718404402471343</v>
      </c>
      <c r="I9" s="76">
        <f t="shared" si="1"/>
        <v>-26.018366772577188</v>
      </c>
      <c r="J9" s="76">
        <f t="shared" si="7"/>
        <v>0.28382873823109023</v>
      </c>
      <c r="O9" s="41">
        <v>5.0000000000000001E-3</v>
      </c>
      <c r="P9" s="95">
        <f t="shared" si="8"/>
        <v>-46.020599913279625</v>
      </c>
      <c r="Q9" s="74">
        <v>1.0851</v>
      </c>
      <c r="R9">
        <v>1.2815000000000001</v>
      </c>
      <c r="S9">
        <f t="shared" si="9"/>
        <v>9.8200000000000065E-2</v>
      </c>
      <c r="T9" s="42">
        <f t="shared" si="10"/>
        <v>-20.157770244261002</v>
      </c>
      <c r="U9" s="41">
        <f t="shared" si="11"/>
        <v>19.640000000000011</v>
      </c>
      <c r="V9">
        <f t="shared" si="12"/>
        <v>25.862829669018623</v>
      </c>
      <c r="W9" s="76">
        <f t="shared" si="2"/>
        <v>-20.158191673314313</v>
      </c>
      <c r="X9" s="76">
        <f t="shared" si="13"/>
        <v>-4.2142905331132852E-4</v>
      </c>
    </row>
    <row r="10" spans="1:27" x14ac:dyDescent="0.25">
      <c r="A10" s="41">
        <v>6.0000000000000001E-3</v>
      </c>
      <c r="B10" s="73">
        <f t="shared" si="3"/>
        <v>-44.436974992327123</v>
      </c>
      <c r="C10" s="74">
        <v>0.39462999999999998</v>
      </c>
      <c r="D10">
        <v>0.51058000000000003</v>
      </c>
      <c r="E10">
        <f t="shared" si="4"/>
        <v>5.7975000000000027E-2</v>
      </c>
      <c r="F10" s="42">
        <f t="shared" si="5"/>
        <v>-24.735184853799499</v>
      </c>
      <c r="G10" s="41">
        <f t="shared" si="6"/>
        <v>9.662500000000005</v>
      </c>
      <c r="H10" s="42">
        <f t="shared" si="0"/>
        <v>19.701790138527631</v>
      </c>
      <c r="I10" s="76">
        <f t="shared" si="1"/>
        <v>-24.421914489764973</v>
      </c>
      <c r="J10" s="76">
        <f t="shared" si="7"/>
        <v>0.31327036403452624</v>
      </c>
      <c r="O10" s="41">
        <v>6.0000000000000001E-3</v>
      </c>
      <c r="P10" s="95">
        <f t="shared" si="8"/>
        <v>-44.436974992327123</v>
      </c>
      <c r="Q10" s="74">
        <v>1.0653999999999999</v>
      </c>
      <c r="R10">
        <v>1.3010999999999999</v>
      </c>
      <c r="S10">
        <f t="shared" si="9"/>
        <v>0.11785000000000001</v>
      </c>
      <c r="T10" s="42">
        <f t="shared" si="10"/>
        <v>-18.573408262793148</v>
      </c>
      <c r="U10" s="41">
        <f t="shared" si="11"/>
        <v>19.641666666666669</v>
      </c>
      <c r="V10">
        <f t="shared" si="12"/>
        <v>25.863566729533979</v>
      </c>
      <c r="W10" s="76">
        <f t="shared" si="2"/>
        <v>-18.575200202330194</v>
      </c>
      <c r="X10" s="76">
        <f t="shared" si="13"/>
        <v>-1.791939537046261E-3</v>
      </c>
    </row>
    <row r="11" spans="1:27" x14ac:dyDescent="0.25">
      <c r="A11" s="41">
        <v>7.0000000000000001E-3</v>
      </c>
      <c r="B11" s="73">
        <f t="shared" si="3"/>
        <v>-43.098039199714862</v>
      </c>
      <c r="C11" s="74">
        <v>0.38511000000000001</v>
      </c>
      <c r="D11">
        <v>0.52010000000000001</v>
      </c>
      <c r="E11">
        <f t="shared" si="4"/>
        <v>6.7494999999999999E-2</v>
      </c>
      <c r="F11" s="42">
        <f t="shared" si="5"/>
        <v>-23.414567966442728</v>
      </c>
      <c r="G11" s="41">
        <f t="shared" si="6"/>
        <v>9.642142857142856</v>
      </c>
      <c r="H11" s="42">
        <f t="shared" si="0"/>
        <v>19.683471233272133</v>
      </c>
      <c r="I11" s="76">
        <f t="shared" si="1"/>
        <v>-23.072133317232549</v>
      </c>
      <c r="J11" s="76">
        <f t="shared" si="7"/>
        <v>0.34243464921017974</v>
      </c>
      <c r="O11" s="41">
        <v>7.0000000000000001E-3</v>
      </c>
      <c r="P11" s="95">
        <f t="shared" si="8"/>
        <v>-43.098039199714862</v>
      </c>
      <c r="Q11" s="74">
        <v>1.0457000000000001</v>
      </c>
      <c r="R11">
        <v>1.3206</v>
      </c>
      <c r="S11">
        <f t="shared" si="9"/>
        <v>0.13744999999999996</v>
      </c>
      <c r="T11" s="42">
        <f t="shared" si="10"/>
        <v>-17.237105116410255</v>
      </c>
      <c r="U11" s="41">
        <f t="shared" si="11"/>
        <v>19.635714285714279</v>
      </c>
      <c r="V11">
        <f t="shared" si="12"/>
        <v>25.860934083304606</v>
      </c>
      <c r="W11" s="76">
        <f t="shared" si="2"/>
        <v>-17.236799984034974</v>
      </c>
      <c r="X11" s="76">
        <f t="shared" si="13"/>
        <v>3.051323752814028E-4</v>
      </c>
    </row>
    <row r="12" spans="1:27" x14ac:dyDescent="0.25">
      <c r="A12" s="41">
        <v>8.0000000000000002E-3</v>
      </c>
      <c r="B12" s="73">
        <f t="shared" si="3"/>
        <v>-41.938200260161125</v>
      </c>
      <c r="C12" s="74">
        <v>0.37567</v>
      </c>
      <c r="D12">
        <v>0.52954000000000001</v>
      </c>
      <c r="E12">
        <f t="shared" si="4"/>
        <v>7.6935000000000003E-2</v>
      </c>
      <c r="F12" s="42">
        <f t="shared" si="5"/>
        <v>-22.277520837571302</v>
      </c>
      <c r="G12" s="41">
        <f t="shared" si="6"/>
        <v>9.6168750000000003</v>
      </c>
      <c r="H12" s="42">
        <f t="shared" si="0"/>
        <v>19.660679422589823</v>
      </c>
      <c r="I12" s="76">
        <f t="shared" si="1"/>
        <v>-21.902899682268426</v>
      </c>
      <c r="J12" s="76">
        <f t="shared" si="7"/>
        <v>0.37462115530287576</v>
      </c>
      <c r="O12" s="41">
        <v>8.0000000000000002E-3</v>
      </c>
      <c r="P12" s="95">
        <f t="shared" si="8"/>
        <v>-41.938200260161125</v>
      </c>
      <c r="Q12" s="74">
        <v>1.026</v>
      </c>
      <c r="R12">
        <v>1.3402000000000001</v>
      </c>
      <c r="S12">
        <f t="shared" si="9"/>
        <v>0.15710000000000002</v>
      </c>
      <c r="T12" s="42">
        <f t="shared" si="10"/>
        <v>-16.076476299200532</v>
      </c>
      <c r="U12" s="41">
        <f t="shared" si="11"/>
        <v>19.637500000000003</v>
      </c>
      <c r="V12">
        <f t="shared" si="12"/>
        <v>25.861723960960596</v>
      </c>
      <c r="W12" s="76">
        <f t="shared" si="2"/>
        <v>-16.07742498005706</v>
      </c>
      <c r="X12" s="76">
        <f t="shared" si="13"/>
        <v>-9.4868085652777268E-4</v>
      </c>
    </row>
    <row r="13" spans="1:27" x14ac:dyDescent="0.25">
      <c r="A13" s="41">
        <v>8.9999999999999993E-3</v>
      </c>
      <c r="B13" s="73">
        <f t="shared" si="3"/>
        <v>-40.915149811213503</v>
      </c>
      <c r="C13" s="74">
        <v>0.36631000000000002</v>
      </c>
      <c r="D13">
        <v>0.53891</v>
      </c>
      <c r="E13">
        <f t="shared" si="4"/>
        <v>8.6299999999999988E-2</v>
      </c>
      <c r="F13" s="42">
        <f t="shared" si="5"/>
        <v>-21.279784085695809</v>
      </c>
      <c r="G13" s="41">
        <f t="shared" si="6"/>
        <v>9.5888888888888886</v>
      </c>
      <c r="H13" s="42">
        <f t="shared" si="0"/>
        <v>19.635365725517694</v>
      </c>
      <c r="I13" s="76">
        <f t="shared" si="1"/>
        <v>-20.871562524684329</v>
      </c>
      <c r="J13" s="76">
        <f t="shared" si="7"/>
        <v>0.40822156101148011</v>
      </c>
      <c r="O13" s="41">
        <v>8.9999999999999993E-3</v>
      </c>
      <c r="P13" s="95">
        <f t="shared" si="8"/>
        <v>-40.915149811213503</v>
      </c>
      <c r="Q13" s="74">
        <v>1.0063</v>
      </c>
      <c r="R13">
        <v>1.3596999999999999</v>
      </c>
      <c r="S13">
        <f t="shared" si="9"/>
        <v>0.17669999999999997</v>
      </c>
      <c r="T13" s="42">
        <f t="shared" si="10"/>
        <v>-15.05526900986472</v>
      </c>
      <c r="U13" s="41">
        <f t="shared" si="11"/>
        <v>19.633333333333333</v>
      </c>
      <c r="V13">
        <f t="shared" si="12"/>
        <v>25.859880801348783</v>
      </c>
      <c r="W13" s="76">
        <f t="shared" si="2"/>
        <v>-15.054783751289015</v>
      </c>
      <c r="X13" s="76">
        <f t="shared" si="13"/>
        <v>4.8525857570425046E-4</v>
      </c>
    </row>
    <row r="14" spans="1:27" x14ac:dyDescent="0.25">
      <c r="A14" s="41">
        <v>0.01</v>
      </c>
      <c r="B14" s="73">
        <f t="shared" si="3"/>
        <v>-40</v>
      </c>
      <c r="C14" s="74">
        <v>0.35704000000000002</v>
      </c>
      <c r="D14">
        <v>0.54817000000000005</v>
      </c>
      <c r="E14">
        <f t="shared" si="4"/>
        <v>9.5565000000000011E-2</v>
      </c>
      <c r="F14" s="42">
        <f t="shared" si="5"/>
        <v>-20.394022717245544</v>
      </c>
      <c r="G14" s="41">
        <f t="shared" si="6"/>
        <v>9.5565000000000015</v>
      </c>
      <c r="H14" s="42">
        <f t="shared" si="0"/>
        <v>19.605977282754456</v>
      </c>
      <c r="I14" s="76">
        <f t="shared" si="1"/>
        <v>-19.948999999999998</v>
      </c>
      <c r="J14" s="76">
        <f t="shared" si="7"/>
        <v>0.44502271724554632</v>
      </c>
      <c r="O14" s="41">
        <v>0.01</v>
      </c>
      <c r="P14" s="95">
        <f t="shared" si="8"/>
        <v>-40</v>
      </c>
      <c r="Q14" s="74">
        <v>0.98658999999999997</v>
      </c>
      <c r="R14">
        <v>1.3793</v>
      </c>
      <c r="S14">
        <f t="shared" si="9"/>
        <v>0.196355</v>
      </c>
      <c r="T14" s="42">
        <f t="shared" si="10"/>
        <v>-14.13916070684126</v>
      </c>
      <c r="U14" s="41">
        <f t="shared" si="11"/>
        <v>19.6355</v>
      </c>
      <c r="V14">
        <f t="shared" si="12"/>
        <v>25.86083929315874</v>
      </c>
      <c r="W14" s="76">
        <f t="shared" si="2"/>
        <v>-14.14</v>
      </c>
      <c r="X14" s="76">
        <f t="shared" si="13"/>
        <v>-8.3929315874087251E-4</v>
      </c>
    </row>
    <row r="15" spans="1:27" x14ac:dyDescent="0.25">
      <c r="A15" s="41">
        <v>0.02</v>
      </c>
      <c r="B15" s="73">
        <f t="shared" si="3"/>
        <v>-33.979400086720375</v>
      </c>
      <c r="C15" s="74">
        <v>0.27354000000000001</v>
      </c>
      <c r="D15">
        <v>0.63163999999999998</v>
      </c>
      <c r="E15">
        <f t="shared" si="4"/>
        <v>0.17904999999999999</v>
      </c>
      <c r="F15" s="42">
        <f t="shared" si="5"/>
        <v>-14.940513493041564</v>
      </c>
      <c r="G15" s="41">
        <f t="shared" si="6"/>
        <v>8.9524999999999988</v>
      </c>
      <c r="H15" s="42">
        <f t="shared" si="0"/>
        <v>19.038886593678811</v>
      </c>
      <c r="I15" s="76">
        <f t="shared" si="1"/>
        <v>-13.879633227422808</v>
      </c>
      <c r="J15" s="76">
        <f t="shared" si="7"/>
        <v>1.0608802656187564</v>
      </c>
      <c r="O15" s="41">
        <v>0.02</v>
      </c>
      <c r="P15" s="95">
        <f t="shared" si="8"/>
        <v>-33.979400086720375</v>
      </c>
      <c r="Q15" s="74">
        <v>0.79034000000000004</v>
      </c>
      <c r="R15">
        <v>1.5743</v>
      </c>
      <c r="S15">
        <f t="shared" si="9"/>
        <v>0.39198</v>
      </c>
      <c r="T15" s="42">
        <f t="shared" si="10"/>
        <v>-8.1347218285308767</v>
      </c>
      <c r="U15" s="41">
        <f t="shared" si="11"/>
        <v>19.599</v>
      </c>
      <c r="V15">
        <f t="shared" si="12"/>
        <v>25.844678258189504</v>
      </c>
      <c r="W15" s="76">
        <f t="shared" si="2"/>
        <v>-8.121808326685688</v>
      </c>
      <c r="X15" s="76">
        <f t="shared" si="13"/>
        <v>1.2913501845188691E-2</v>
      </c>
    </row>
    <row r="16" spans="1:27" x14ac:dyDescent="0.25">
      <c r="A16" s="41">
        <v>0.03</v>
      </c>
      <c r="B16" s="73">
        <f t="shared" si="3"/>
        <v>-30.457574905606752</v>
      </c>
      <c r="C16" s="74">
        <v>0.21390999999999999</v>
      </c>
      <c r="D16">
        <v>0.69250999999999996</v>
      </c>
      <c r="E16">
        <f t="shared" si="4"/>
        <v>0.23929999999999998</v>
      </c>
      <c r="F16" s="42">
        <f t="shared" si="5"/>
        <v>-12.421146027731254</v>
      </c>
      <c r="G16" s="41">
        <f t="shared" si="6"/>
        <v>7.9766666666666666</v>
      </c>
      <c r="H16" s="42">
        <f t="shared" si="0"/>
        <v>18.036428877875498</v>
      </c>
      <c r="I16" s="76">
        <f t="shared" si="1"/>
        <v>-10.329281262342167</v>
      </c>
      <c r="J16" s="76">
        <f t="shared" si="7"/>
        <v>2.0918647653890865</v>
      </c>
      <c r="O16" s="41">
        <v>0.03</v>
      </c>
      <c r="P16" s="95">
        <f t="shared" si="8"/>
        <v>-30.457574905606752</v>
      </c>
      <c r="Q16" s="74">
        <v>0.59935000000000005</v>
      </c>
      <c r="R16">
        <v>1.7641</v>
      </c>
      <c r="S16">
        <f t="shared" si="9"/>
        <v>0.58237499999999998</v>
      </c>
      <c r="T16" s="42">
        <f t="shared" si="10"/>
        <v>-4.6959455308744529</v>
      </c>
      <c r="U16" s="41">
        <f t="shared" si="11"/>
        <v>19.412500000000001</v>
      </c>
      <c r="V16">
        <f t="shared" si="12"/>
        <v>25.761629374732298</v>
      </c>
      <c r="W16" s="76">
        <f t="shared" si="2"/>
        <v>-4.6013918756445094</v>
      </c>
      <c r="X16" s="76">
        <f t="shared" si="13"/>
        <v>9.4553655229943523E-2</v>
      </c>
    </row>
    <row r="17" spans="1:24" x14ac:dyDescent="0.25">
      <c r="A17" s="41">
        <v>0.04</v>
      </c>
      <c r="B17" s="73">
        <f t="shared" si="3"/>
        <v>-27.95880017344075</v>
      </c>
      <c r="C17" s="74">
        <v>0.17557</v>
      </c>
      <c r="D17">
        <v>0.73145000000000004</v>
      </c>
      <c r="E17">
        <f t="shared" si="4"/>
        <v>0.27794000000000002</v>
      </c>
      <c r="F17" s="42">
        <f t="shared" si="5"/>
        <v>-11.120978936408079</v>
      </c>
      <c r="G17" s="41">
        <f t="shared" si="6"/>
        <v>6.9485000000000001</v>
      </c>
      <c r="H17" s="42">
        <f t="shared" si="0"/>
        <v>16.837821237032674</v>
      </c>
      <c r="I17" s="76">
        <f t="shared" si="1"/>
        <v>-7.8102664548456211</v>
      </c>
      <c r="J17" s="76">
        <f t="shared" si="7"/>
        <v>3.310712481562458</v>
      </c>
      <c r="O17" s="41">
        <v>0.04</v>
      </c>
      <c r="P17" s="95">
        <f t="shared" si="8"/>
        <v>-27.95880017344075</v>
      </c>
      <c r="Q17" s="74">
        <v>0.43009999999999998</v>
      </c>
      <c r="R17">
        <v>1.9285000000000001</v>
      </c>
      <c r="S17">
        <f t="shared" si="9"/>
        <v>0.74920000000000009</v>
      </c>
      <c r="T17" s="42">
        <f t="shared" si="10"/>
        <v>-2.5080446259360039</v>
      </c>
      <c r="U17" s="41">
        <f t="shared" si="11"/>
        <v>18.73</v>
      </c>
      <c r="V17">
        <f t="shared" si="12"/>
        <v>25.450755547504748</v>
      </c>
      <c r="W17" s="76">
        <f t="shared" si="2"/>
        <v>-2.1036166533713718</v>
      </c>
      <c r="X17" s="76">
        <f t="shared" si="13"/>
        <v>0.40442797256463203</v>
      </c>
    </row>
    <row r="18" spans="1:24" x14ac:dyDescent="0.25">
      <c r="A18" s="41">
        <v>0.05</v>
      </c>
      <c r="B18" s="73">
        <f t="shared" si="3"/>
        <v>-26.020599913279625</v>
      </c>
      <c r="C18" s="74">
        <v>0.14845</v>
      </c>
      <c r="D18">
        <v>0.75939000000000001</v>
      </c>
      <c r="E18">
        <f t="shared" si="4"/>
        <v>0.30547000000000002</v>
      </c>
      <c r="F18" s="42">
        <f t="shared" si="5"/>
        <v>-10.300628701830348</v>
      </c>
      <c r="G18" s="41">
        <f t="shared" si="6"/>
        <v>6.1093999999999999</v>
      </c>
      <c r="H18" s="42">
        <f t="shared" si="0"/>
        <v>15.719971211449277</v>
      </c>
      <c r="I18" s="76">
        <f t="shared" si="1"/>
        <v>-5.8563667725771893</v>
      </c>
      <c r="J18" s="76">
        <f t="shared" si="7"/>
        <v>4.4442619292531589</v>
      </c>
      <c r="O18" s="41">
        <v>0.05</v>
      </c>
      <c r="P18" s="95">
        <f t="shared" si="8"/>
        <v>-26.020599913279625</v>
      </c>
      <c r="Q18" s="74">
        <v>0.28598000000000001</v>
      </c>
      <c r="R18">
        <v>2.0522</v>
      </c>
      <c r="S18">
        <f t="shared" si="9"/>
        <v>0.88311000000000006</v>
      </c>
      <c r="T18" s="42">
        <f t="shared" si="10"/>
        <v>-1.0797039484344466</v>
      </c>
      <c r="U18" s="41">
        <f t="shared" si="11"/>
        <v>17.662199999999999</v>
      </c>
      <c r="V18">
        <f t="shared" si="12"/>
        <v>24.940895964845176</v>
      </c>
      <c r="W18" s="76">
        <f t="shared" si="2"/>
        <v>-0.16619167331431228</v>
      </c>
      <c r="X18" s="76">
        <f t="shared" si="13"/>
        <v>0.91351227512013433</v>
      </c>
    </row>
    <row r="19" spans="1:24" x14ac:dyDescent="0.25">
      <c r="A19" s="41">
        <v>5.1999999999999998E-2</v>
      </c>
      <c r="B19" s="73">
        <f t="shared" si="3"/>
        <v>-25.679933127304015</v>
      </c>
      <c r="C19" s="74">
        <v>0.14391999999999999</v>
      </c>
      <c r="D19">
        <v>0.76405999999999996</v>
      </c>
      <c r="E19">
        <f t="shared" si="4"/>
        <v>0.31006999999999996</v>
      </c>
      <c r="F19" s="42">
        <f t="shared" si="5"/>
        <v>-10.170805014803419</v>
      </c>
      <c r="G19" s="41">
        <f t="shared" si="6"/>
        <v>5.9628846153846151</v>
      </c>
      <c r="H19" s="42">
        <f t="shared" si="0"/>
        <v>15.509128112500598</v>
      </c>
      <c r="I19" s="76">
        <f t="shared" si="1"/>
        <v>-5.5129405856351781</v>
      </c>
      <c r="J19" s="76">
        <f t="shared" si="7"/>
        <v>4.6578644291682405</v>
      </c>
      <c r="O19" s="41">
        <v>5.1999999999999998E-2</v>
      </c>
      <c r="P19" s="73">
        <f t="shared" si="8"/>
        <v>-25.679933127304015</v>
      </c>
      <c r="Q19" s="74">
        <v>0.25936999999999999</v>
      </c>
      <c r="R19">
        <v>2.0718999999999999</v>
      </c>
      <c r="S19">
        <f t="shared" si="9"/>
        <v>0.90626499999999988</v>
      </c>
      <c r="T19" s="42">
        <f t="shared" si="10"/>
        <v>-0.85489584315959544</v>
      </c>
      <c r="U19" s="41">
        <f t="shared" si="11"/>
        <v>17.428173076923077</v>
      </c>
      <c r="V19">
        <f t="shared" si="12"/>
        <v>24.825037284144425</v>
      </c>
      <c r="W19" s="76">
        <f t="shared" si="2"/>
        <v>0.17433884594690596</v>
      </c>
      <c r="X19" s="76">
        <f t="shared" si="13"/>
        <v>1.0292346891065014</v>
      </c>
    </row>
    <row r="20" spans="1:24" x14ac:dyDescent="0.25">
      <c r="A20" s="41">
        <v>0.06</v>
      </c>
      <c r="B20" s="73">
        <f t="shared" si="3"/>
        <v>-24.436974992327126</v>
      </c>
      <c r="C20" s="74">
        <v>0.12787000000000001</v>
      </c>
      <c r="D20">
        <v>0.78049999999999997</v>
      </c>
      <c r="E20">
        <f t="shared" si="4"/>
        <v>0.32631499999999997</v>
      </c>
      <c r="F20" s="42">
        <f t="shared" si="5"/>
        <v>-9.7272592433660474</v>
      </c>
      <c r="G20" s="41">
        <f t="shared" si="6"/>
        <v>5.4385833333333329</v>
      </c>
      <c r="H20" s="42">
        <f t="shared" si="0"/>
        <v>14.709715748961081</v>
      </c>
      <c r="I20" s="76">
        <f t="shared" si="1"/>
        <v>-4.2599144897649772</v>
      </c>
      <c r="J20" s="76">
        <f t="shared" si="7"/>
        <v>5.4673447536010702</v>
      </c>
      <c r="O20" s="41">
        <v>0.06</v>
      </c>
      <c r="P20" s="95">
        <f t="shared" si="8"/>
        <v>-24.436974992327126</v>
      </c>
      <c r="Q20" s="74">
        <v>0.18589</v>
      </c>
      <c r="R20">
        <v>2.2292000000000001</v>
      </c>
      <c r="S20">
        <f t="shared" si="9"/>
        <v>1.021655</v>
      </c>
      <c r="T20" s="42">
        <f t="shared" si="10"/>
        <v>0.18608529578739971</v>
      </c>
      <c r="U20" s="41">
        <f t="shared" si="11"/>
        <v>17.027583333333332</v>
      </c>
      <c r="V20">
        <f t="shared" si="12"/>
        <v>24.623060288114527</v>
      </c>
      <c r="W20" s="76">
        <f t="shared" si="2"/>
        <v>1.4167997976698032</v>
      </c>
      <c r="X20" s="76">
        <f t="shared" si="13"/>
        <v>1.2307145018824035</v>
      </c>
    </row>
    <row r="21" spans="1:24" x14ac:dyDescent="0.25">
      <c r="A21" s="41">
        <v>7.0000000000000007E-2</v>
      </c>
      <c r="B21" s="73">
        <f t="shared" si="3"/>
        <v>-23.098039199714862</v>
      </c>
      <c r="C21" s="74">
        <v>0.11119</v>
      </c>
      <c r="D21">
        <v>0.79703999999999997</v>
      </c>
      <c r="E21">
        <f t="shared" si="4"/>
        <v>0.34292499999999998</v>
      </c>
      <c r="F21" s="42">
        <f t="shared" si="5"/>
        <v>-9.2960170538238955</v>
      </c>
      <c r="G21" s="41">
        <f t="shared" si="6"/>
        <v>4.8989285714285709</v>
      </c>
      <c r="H21" s="42">
        <f t="shared" si="0"/>
        <v>13.80202214589097</v>
      </c>
      <c r="I21" s="76">
        <f t="shared" si="1"/>
        <v>-2.9101333172325532</v>
      </c>
      <c r="J21" s="76">
        <f t="shared" si="7"/>
        <v>6.3858837365913423</v>
      </c>
      <c r="O21" s="41">
        <v>7.0000000000000007E-2</v>
      </c>
      <c r="P21" s="95">
        <f t="shared" si="8"/>
        <v>-23.098039199714862</v>
      </c>
      <c r="Q21" s="74">
        <v>8.3115999999999995E-2</v>
      </c>
      <c r="R21">
        <v>2.3117000000000001</v>
      </c>
      <c r="S21">
        <f t="shared" si="9"/>
        <v>1.1142920000000001</v>
      </c>
      <c r="T21" s="42">
        <f t="shared" si="10"/>
        <v>0.93998025071243829</v>
      </c>
      <c r="U21" s="41">
        <f t="shared" si="11"/>
        <v>15.918457142857143</v>
      </c>
      <c r="V21">
        <f t="shared" si="12"/>
        <v>24.038019450427299</v>
      </c>
      <c r="W21" s="76">
        <f t="shared" si="2"/>
        <v>2.7552000159650234</v>
      </c>
      <c r="X21" s="76">
        <f t="shared" si="13"/>
        <v>1.8152197652525852</v>
      </c>
    </row>
    <row r="22" spans="1:24" x14ac:dyDescent="0.25">
      <c r="A22" s="41">
        <v>0.08</v>
      </c>
      <c r="B22" s="73">
        <f t="shared" si="3"/>
        <v>-21.938200260161128</v>
      </c>
      <c r="C22" s="74">
        <v>9.6999000000000002E-2</v>
      </c>
      <c r="D22">
        <v>0.81040999999999996</v>
      </c>
      <c r="E22">
        <f t="shared" si="4"/>
        <v>0.35670550000000001</v>
      </c>
      <c r="F22" s="42">
        <f t="shared" si="5"/>
        <v>-8.9538038854933362</v>
      </c>
      <c r="G22" s="41">
        <f t="shared" si="6"/>
        <v>4.4588187499999998</v>
      </c>
      <c r="H22" s="42">
        <f t="shared" si="0"/>
        <v>12.98439637466779</v>
      </c>
      <c r="I22" s="76">
        <f t="shared" si="1"/>
        <v>-1.7408996822684344</v>
      </c>
      <c r="J22" s="76">
        <f t="shared" si="7"/>
        <v>7.2129042032249018</v>
      </c>
      <c r="O22" s="41">
        <v>0.08</v>
      </c>
      <c r="P22" s="95">
        <f t="shared" si="8"/>
        <v>-21.938200260161128</v>
      </c>
      <c r="Q22" s="74">
        <v>3.2012999999999998E-3</v>
      </c>
      <c r="R22">
        <v>2.3647999999999998</v>
      </c>
      <c r="S22">
        <f t="shared" si="9"/>
        <v>1.1807993499999998</v>
      </c>
      <c r="T22" s="42">
        <f t="shared" si="10"/>
        <v>1.4435221082193841</v>
      </c>
      <c r="U22" s="41">
        <f t="shared" si="11"/>
        <v>14.759991874999997</v>
      </c>
      <c r="V22">
        <f t="shared" si="12"/>
        <v>23.381722368380512</v>
      </c>
      <c r="W22" s="76">
        <f t="shared" si="2"/>
        <v>3.9145750199429372</v>
      </c>
      <c r="X22" s="76">
        <f t="shared" si="13"/>
        <v>2.4710529117235529</v>
      </c>
    </row>
    <row r="23" spans="1:24" x14ac:dyDescent="0.25">
      <c r="A23" s="41">
        <v>0.09</v>
      </c>
      <c r="B23" s="73">
        <f t="shared" si="3"/>
        <v>-20.915149811213503</v>
      </c>
      <c r="C23" s="74">
        <v>8.4511000000000003E-2</v>
      </c>
      <c r="D23">
        <v>0.82150000000000001</v>
      </c>
      <c r="E23">
        <f t="shared" si="4"/>
        <v>0.3684945</v>
      </c>
      <c r="F23" s="42">
        <f t="shared" si="5"/>
        <v>-8.6713797972099194</v>
      </c>
      <c r="G23" s="41">
        <f t="shared" si="6"/>
        <v>4.0943833333333339</v>
      </c>
      <c r="H23" s="42">
        <f t="shared" si="0"/>
        <v>12.243770014003584</v>
      </c>
      <c r="I23" s="76">
        <f t="shared" si="1"/>
        <v>-0.70956252468433334</v>
      </c>
      <c r="J23" s="76">
        <f t="shared" si="7"/>
        <v>7.961817272525586</v>
      </c>
      <c r="O23" s="41">
        <v>0.09</v>
      </c>
      <c r="P23" s="95">
        <f t="shared" si="8"/>
        <v>-20.915149811213503</v>
      </c>
      <c r="Q23" s="74">
        <v>-6.1874999999999999E-2</v>
      </c>
      <c r="R23">
        <v>2.4</v>
      </c>
      <c r="S23">
        <f t="shared" si="9"/>
        <v>1.2309375</v>
      </c>
      <c r="T23" s="42">
        <f t="shared" si="10"/>
        <v>1.8047200497847162</v>
      </c>
      <c r="U23" s="41">
        <f t="shared" si="11"/>
        <v>13.677083333333334</v>
      </c>
      <c r="V23">
        <f t="shared" si="12"/>
        <v>22.719869860998219</v>
      </c>
      <c r="W23" s="76">
        <f t="shared" si="2"/>
        <v>4.9372162487109819</v>
      </c>
      <c r="X23" s="76">
        <f t="shared" si="13"/>
        <v>3.1324961989262654</v>
      </c>
    </row>
    <row r="24" spans="1:24" x14ac:dyDescent="0.25">
      <c r="A24" s="41">
        <v>0.1</v>
      </c>
      <c r="B24" s="73">
        <f t="shared" si="3"/>
        <v>-20</v>
      </c>
      <c r="C24" s="74">
        <v>7.3194999999999996E-2</v>
      </c>
      <c r="D24">
        <v>0.83094000000000001</v>
      </c>
      <c r="E24">
        <f t="shared" si="4"/>
        <v>0.3788725</v>
      </c>
      <c r="F24" s="42">
        <f t="shared" si="5"/>
        <v>-8.4301383263649807</v>
      </c>
      <c r="G24" s="41">
        <f t="shared" si="6"/>
        <v>3.7887249999999999</v>
      </c>
      <c r="H24" s="42">
        <f t="shared" si="0"/>
        <v>11.569861673635017</v>
      </c>
      <c r="I24" s="76">
        <f t="shared" si="1"/>
        <v>0.21300000000000097</v>
      </c>
      <c r="J24" s="76">
        <f t="shared" si="7"/>
        <v>8.6431383263649817</v>
      </c>
      <c r="O24" s="41">
        <v>0.1</v>
      </c>
      <c r="P24" s="95">
        <f t="shared" si="8"/>
        <v>-20</v>
      </c>
      <c r="Q24" s="74">
        <v>-0.11694</v>
      </c>
      <c r="R24">
        <v>2.4249000000000001</v>
      </c>
      <c r="S24">
        <f t="shared" si="9"/>
        <v>1.27092</v>
      </c>
      <c r="T24" s="42">
        <f t="shared" si="10"/>
        <v>2.0823642817013677</v>
      </c>
      <c r="U24" s="41">
        <f t="shared" si="11"/>
        <v>12.709199999999999</v>
      </c>
      <c r="V24">
        <f t="shared" si="12"/>
        <v>22.082364281701366</v>
      </c>
      <c r="W24" s="76">
        <f t="shared" si="2"/>
        <v>5.8520000000000003</v>
      </c>
      <c r="X24" s="76">
        <f t="shared" si="13"/>
        <v>3.7696357182986326</v>
      </c>
    </row>
    <row r="25" spans="1:24" x14ac:dyDescent="0.25">
      <c r="A25" s="41">
        <v>0.2</v>
      </c>
      <c r="B25" s="73">
        <f t="shared" si="3"/>
        <v>-13.979400086720375</v>
      </c>
      <c r="C25" s="74">
        <v>-1.1141E-2</v>
      </c>
      <c r="D25">
        <v>0.88536000000000004</v>
      </c>
      <c r="E25">
        <f t="shared" si="4"/>
        <v>0.4482505</v>
      </c>
      <c r="F25" s="42">
        <f t="shared" si="5"/>
        <v>-6.9695843466543597</v>
      </c>
      <c r="G25" s="41">
        <f t="shared" si="6"/>
        <v>2.2412524999999999</v>
      </c>
      <c r="H25" s="42">
        <f t="shared" si="0"/>
        <v>7.0098157400660153</v>
      </c>
      <c r="I25" s="76">
        <f t="shared" si="1"/>
        <v>6.2823667725771895</v>
      </c>
      <c r="J25" s="76">
        <f t="shared" si="7"/>
        <v>13.251951119231549</v>
      </c>
      <c r="O25" s="41">
        <v>0.2</v>
      </c>
      <c r="P25" s="95">
        <f t="shared" si="8"/>
        <v>-13.979400086720375</v>
      </c>
      <c r="Q25" s="74">
        <v>-4.2013000000000002E-2</v>
      </c>
      <c r="R25">
        <v>2.4563000000000001</v>
      </c>
      <c r="S25">
        <f t="shared" si="9"/>
        <v>1.2491565</v>
      </c>
      <c r="T25" s="42">
        <f t="shared" si="10"/>
        <v>1.9323370433614517</v>
      </c>
      <c r="U25" s="41">
        <f t="shared" si="11"/>
        <v>6.2457824999999998</v>
      </c>
      <c r="V25">
        <f t="shared" si="12"/>
        <v>15.911737130081827</v>
      </c>
      <c r="W25" s="76">
        <f t="shared" si="2"/>
        <v>11.870191673314315</v>
      </c>
      <c r="X25" s="76">
        <f t="shared" si="13"/>
        <v>9.937854629952863</v>
      </c>
    </row>
    <row r="26" spans="1:24" x14ac:dyDescent="0.25">
      <c r="A26" s="41">
        <v>0.3</v>
      </c>
      <c r="B26" s="73">
        <f t="shared" si="3"/>
        <v>-10.457574905606752</v>
      </c>
      <c r="C26" s="74">
        <v>-7.7549000000000007E-2</v>
      </c>
      <c r="D26">
        <v>0.93206999999999995</v>
      </c>
      <c r="E26">
        <f t="shared" si="4"/>
        <v>0.50480950000000002</v>
      </c>
      <c r="F26" s="42">
        <f t="shared" si="5"/>
        <v>-5.9374496141549793</v>
      </c>
      <c r="G26" s="41">
        <f t="shared" si="6"/>
        <v>1.6826983333333334</v>
      </c>
      <c r="H26" s="42">
        <f t="shared" si="0"/>
        <v>4.5201252914517722</v>
      </c>
      <c r="I26" s="76">
        <f t="shared" si="1"/>
        <v>9.8327187376578333</v>
      </c>
      <c r="J26" s="76">
        <f t="shared" si="7"/>
        <v>15.770168351812814</v>
      </c>
      <c r="O26" s="41">
        <v>0.3</v>
      </c>
      <c r="P26" s="95">
        <f t="shared" si="8"/>
        <v>-10.457574905606752</v>
      </c>
      <c r="Q26" s="74">
        <v>-0.59848000000000001</v>
      </c>
      <c r="R26">
        <v>2.8727</v>
      </c>
      <c r="S26">
        <f t="shared" si="9"/>
        <v>1.73559</v>
      </c>
      <c r="T26" s="42">
        <f t="shared" si="10"/>
        <v>4.7889427835416134</v>
      </c>
      <c r="U26" s="41">
        <f t="shared" si="11"/>
        <v>5.7853000000000003</v>
      </c>
      <c r="V26">
        <f t="shared" si="12"/>
        <v>15.246517689148366</v>
      </c>
      <c r="W26" s="76">
        <f t="shared" si="2"/>
        <v>15.390608124355492</v>
      </c>
      <c r="X26" s="76">
        <f t="shared" si="13"/>
        <v>10.601665340813877</v>
      </c>
    </row>
    <row r="27" spans="1:24" x14ac:dyDescent="0.25">
      <c r="A27" s="41">
        <v>0.4</v>
      </c>
      <c r="B27" s="73">
        <f t="shared" si="3"/>
        <v>-7.9588001734407516</v>
      </c>
      <c r="C27" s="74">
        <v>-0.14083000000000001</v>
      </c>
      <c r="D27">
        <v>0.95811999999999997</v>
      </c>
      <c r="E27">
        <f t="shared" si="4"/>
        <v>0.54947499999999994</v>
      </c>
      <c r="F27" s="42">
        <f t="shared" si="5"/>
        <v>-5.2010412462124647</v>
      </c>
      <c r="G27" s="41">
        <f t="shared" si="6"/>
        <v>1.3736874999999997</v>
      </c>
      <c r="H27" s="42">
        <f t="shared" si="0"/>
        <v>2.757758927228287</v>
      </c>
      <c r="I27" s="76">
        <f t="shared" si="1"/>
        <v>12.351733545154378</v>
      </c>
      <c r="J27" s="76">
        <f t="shared" si="7"/>
        <v>17.552774791366843</v>
      </c>
      <c r="O27" s="41">
        <v>0.4</v>
      </c>
      <c r="P27" s="95">
        <f t="shared" si="8"/>
        <v>-7.9588001734407516</v>
      </c>
      <c r="Q27" s="74">
        <v>-0.73253000000000001</v>
      </c>
      <c r="R27">
        <v>3.0068999999999999</v>
      </c>
      <c r="S27">
        <f t="shared" si="9"/>
        <v>1.869715</v>
      </c>
      <c r="T27" s="42">
        <f t="shared" si="10"/>
        <v>5.43550824452387</v>
      </c>
      <c r="U27" s="41">
        <f t="shared" si="11"/>
        <v>4.6742875000000002</v>
      </c>
      <c r="V27">
        <f t="shared" si="12"/>
        <v>13.394308417964622</v>
      </c>
      <c r="W27" s="76">
        <f t="shared" si="2"/>
        <v>17.888383346628626</v>
      </c>
      <c r="X27" s="76">
        <f t="shared" si="13"/>
        <v>12.452875102104755</v>
      </c>
    </row>
    <row r="28" spans="1:24" x14ac:dyDescent="0.25">
      <c r="A28" s="41">
        <v>0.5</v>
      </c>
      <c r="B28" s="73">
        <f t="shared" si="3"/>
        <v>-6.0205999132796242</v>
      </c>
      <c r="C28" s="74">
        <v>-0.19755</v>
      </c>
      <c r="D28">
        <v>0.98409000000000002</v>
      </c>
      <c r="E28">
        <f t="shared" si="4"/>
        <v>0.59082000000000001</v>
      </c>
      <c r="F28" s="42">
        <f t="shared" si="5"/>
        <v>-4.5708962339376367</v>
      </c>
      <c r="G28" s="41">
        <f t="shared" si="6"/>
        <v>1.18164</v>
      </c>
      <c r="H28" s="42">
        <f t="shared" si="0"/>
        <v>1.4497036793419871</v>
      </c>
      <c r="I28" s="76">
        <f t="shared" si="1"/>
        <v>14.30563322742281</v>
      </c>
      <c r="J28" s="76">
        <f t="shared" si="7"/>
        <v>18.876529461360448</v>
      </c>
      <c r="O28" s="41">
        <v>0.5</v>
      </c>
      <c r="P28" s="95">
        <f t="shared" si="8"/>
        <v>-6.0205999132796242</v>
      </c>
      <c r="Q28" s="74">
        <v>-0.86304999999999998</v>
      </c>
      <c r="R28">
        <v>3.1255000000000002</v>
      </c>
      <c r="S28">
        <f t="shared" si="9"/>
        <v>1.994275</v>
      </c>
      <c r="T28" s="42">
        <f t="shared" si="10"/>
        <v>5.995700900452495</v>
      </c>
      <c r="U28" s="41">
        <f t="shared" si="11"/>
        <v>3.98855</v>
      </c>
      <c r="V28">
        <f t="shared" si="12"/>
        <v>12.016300813732119</v>
      </c>
      <c r="W28" s="76">
        <f t="shared" si="2"/>
        <v>19.825808326685689</v>
      </c>
      <c r="X28" s="76">
        <f t="shared" si="13"/>
        <v>13.830107426233194</v>
      </c>
    </row>
    <row r="29" spans="1:24" x14ac:dyDescent="0.25">
      <c r="A29" s="41">
        <v>0.6</v>
      </c>
      <c r="B29" s="73">
        <f t="shared" si="3"/>
        <v>-4.4369749923271282</v>
      </c>
      <c r="C29" s="74">
        <v>-0.24876000000000001</v>
      </c>
      <c r="D29">
        <v>1.0121</v>
      </c>
      <c r="E29">
        <f t="shared" si="4"/>
        <v>0.63043000000000005</v>
      </c>
      <c r="F29" s="42">
        <f t="shared" si="5"/>
        <v>-4.0072625688581738</v>
      </c>
      <c r="G29" s="41">
        <f t="shared" si="6"/>
        <v>1.0507166666666667</v>
      </c>
      <c r="H29" s="42">
        <f t="shared" si="0"/>
        <v>0.42971242346895316</v>
      </c>
      <c r="I29" s="76">
        <f t="shared" si="1"/>
        <v>15.902085510235022</v>
      </c>
      <c r="J29" s="76">
        <f t="shared" si="7"/>
        <v>19.909348079093196</v>
      </c>
      <c r="O29" s="41">
        <v>0.6</v>
      </c>
      <c r="P29" s="95">
        <f t="shared" si="8"/>
        <v>-4.4369749923271282</v>
      </c>
      <c r="Q29" s="74">
        <v>-0.86346000000000001</v>
      </c>
      <c r="R29">
        <v>3.3289</v>
      </c>
      <c r="S29">
        <f t="shared" si="9"/>
        <v>2.0961799999999999</v>
      </c>
      <c r="T29" s="42">
        <f t="shared" si="10"/>
        <v>6.4285714598432211</v>
      </c>
      <c r="U29" s="41">
        <f t="shared" si="11"/>
        <v>3.4936333333333334</v>
      </c>
      <c r="V29">
        <f t="shared" si="12"/>
        <v>10.865546452170349</v>
      </c>
      <c r="W29" s="76">
        <f t="shared" si="2"/>
        <v>21.408799797669804</v>
      </c>
      <c r="X29" s="76">
        <f t="shared" si="13"/>
        <v>14.980228337826583</v>
      </c>
    </row>
    <row r="30" spans="1:24" x14ac:dyDescent="0.25">
      <c r="A30" s="41">
        <v>0.7</v>
      </c>
      <c r="B30" s="73">
        <f t="shared" si="3"/>
        <v>-3.0980391997148637</v>
      </c>
      <c r="C30" s="74">
        <v>-0.29265000000000002</v>
      </c>
      <c r="D30">
        <v>1.0345</v>
      </c>
      <c r="E30">
        <f t="shared" si="4"/>
        <v>0.66357500000000003</v>
      </c>
      <c r="F30" s="42">
        <f t="shared" si="5"/>
        <v>-3.5621996852190301</v>
      </c>
      <c r="G30" s="41">
        <f t="shared" si="6"/>
        <v>0.94796428571428581</v>
      </c>
      <c r="H30" s="42">
        <f t="shared" si="0"/>
        <v>-0.46416048550416616</v>
      </c>
      <c r="I30" s="76">
        <f t="shared" si="1"/>
        <v>17.251866682767446</v>
      </c>
      <c r="J30" s="76">
        <f t="shared" si="7"/>
        <v>20.814066367986477</v>
      </c>
      <c r="O30" s="41">
        <v>0.7</v>
      </c>
      <c r="P30" s="95">
        <f t="shared" si="8"/>
        <v>-3.0980391997148637</v>
      </c>
      <c r="Q30" s="74">
        <v>-0.87753999999999999</v>
      </c>
      <c r="R30">
        <v>3.4203999999999999</v>
      </c>
      <c r="S30">
        <f t="shared" si="9"/>
        <v>2.1489699999999998</v>
      </c>
      <c r="T30" s="42">
        <f t="shared" si="10"/>
        <v>6.6446070541248261</v>
      </c>
      <c r="U30" s="41">
        <f t="shared" si="11"/>
        <v>3.0699571428571426</v>
      </c>
      <c r="V30">
        <f t="shared" si="12"/>
        <v>9.7426462538396894</v>
      </c>
      <c r="W30" s="76">
        <f t="shared" si="2"/>
        <v>22.747200015965024</v>
      </c>
      <c r="X30" s="76">
        <f t="shared" si="13"/>
        <v>16.102592961840198</v>
      </c>
    </row>
    <row r="31" spans="1:24" x14ac:dyDescent="0.25">
      <c r="A31" s="41">
        <v>0.8</v>
      </c>
      <c r="B31" s="73">
        <f t="shared" si="3"/>
        <v>-1.9382002601611279</v>
      </c>
      <c r="C31" s="74">
        <v>-0.32818000000000003</v>
      </c>
      <c r="D31">
        <v>1.1196999999999999</v>
      </c>
      <c r="E31">
        <f t="shared" si="4"/>
        <v>0.72394000000000003</v>
      </c>
      <c r="F31" s="42">
        <f t="shared" si="5"/>
        <v>-2.8059485309938434</v>
      </c>
      <c r="G31" s="41">
        <f t="shared" si="6"/>
        <v>0.90492499999999998</v>
      </c>
      <c r="H31" s="42">
        <f t="shared" si="0"/>
        <v>-0.86774827083271611</v>
      </c>
      <c r="I31" s="76">
        <f t="shared" si="1"/>
        <v>18.421100317731568</v>
      </c>
      <c r="J31" s="76">
        <f t="shared" si="7"/>
        <v>21.22704884872541</v>
      </c>
      <c r="O31" s="41">
        <v>0.8</v>
      </c>
      <c r="P31" s="95">
        <f t="shared" si="8"/>
        <v>-1.9382002601611279</v>
      </c>
      <c r="Q31" s="74">
        <v>-0.88712000000000002</v>
      </c>
      <c r="R31">
        <v>3.4826999999999999</v>
      </c>
      <c r="S31">
        <f t="shared" si="9"/>
        <v>2.1849099999999999</v>
      </c>
      <c r="T31" s="42">
        <f t="shared" si="10"/>
        <v>6.7886710475624179</v>
      </c>
      <c r="U31" s="41">
        <f t="shared" si="11"/>
        <v>2.7311374999999996</v>
      </c>
      <c r="V31">
        <f t="shared" si="12"/>
        <v>8.7268713077235454</v>
      </c>
      <c r="W31" s="76">
        <f t="shared" si="2"/>
        <v>23.906575019942938</v>
      </c>
      <c r="X31" s="76">
        <f t="shared" si="13"/>
        <v>17.117903972380521</v>
      </c>
    </row>
    <row r="32" spans="1:24" x14ac:dyDescent="0.25">
      <c r="A32" s="41">
        <v>0.9</v>
      </c>
      <c r="B32" s="73">
        <f t="shared" si="3"/>
        <v>-0.91514981121350236</v>
      </c>
      <c r="C32" s="74">
        <v>-0.35898999999999998</v>
      </c>
      <c r="D32">
        <v>1.1655</v>
      </c>
      <c r="E32">
        <f t="shared" si="4"/>
        <v>0.76224499999999995</v>
      </c>
      <c r="F32" s="42">
        <f t="shared" si="5"/>
        <v>-2.358108314772303</v>
      </c>
      <c r="G32" s="41">
        <f t="shared" si="6"/>
        <v>0.8469388888888888</v>
      </c>
      <c r="H32" s="42">
        <f t="shared" si="0"/>
        <v>-1.4429585035588004</v>
      </c>
      <c r="I32" s="76">
        <f t="shared" si="1"/>
        <v>19.452437475315669</v>
      </c>
      <c r="J32" s="76">
        <f t="shared" si="7"/>
        <v>21.810545790087971</v>
      </c>
      <c r="O32" s="41">
        <v>0.9</v>
      </c>
      <c r="P32" s="95">
        <f t="shared" si="8"/>
        <v>-0.91514981121350236</v>
      </c>
      <c r="Q32" s="74">
        <v>-0.88129999999999997</v>
      </c>
      <c r="R32">
        <v>3.5501</v>
      </c>
      <c r="S32">
        <f t="shared" si="9"/>
        <v>2.2157</v>
      </c>
      <c r="T32" s="42">
        <f t="shared" si="10"/>
        <v>6.910219153938999</v>
      </c>
      <c r="U32" s="41">
        <f t="shared" si="11"/>
        <v>2.4618888888888888</v>
      </c>
      <c r="V32">
        <f t="shared" si="12"/>
        <v>7.8253689651525011</v>
      </c>
      <c r="W32" s="76">
        <f t="shared" si="2"/>
        <v>24.929216248710983</v>
      </c>
      <c r="X32" s="76">
        <f t="shared" si="13"/>
        <v>18.018997094771983</v>
      </c>
    </row>
    <row r="33" spans="1:24" x14ac:dyDescent="0.25">
      <c r="A33" s="41">
        <v>1</v>
      </c>
      <c r="B33" s="73">
        <f t="shared" si="3"/>
        <v>0</v>
      </c>
      <c r="C33" s="74">
        <v>-0.38429999999999997</v>
      </c>
      <c r="D33">
        <v>1.2114</v>
      </c>
      <c r="E33">
        <f t="shared" si="4"/>
        <v>0.79784999999999995</v>
      </c>
      <c r="F33" s="42">
        <f t="shared" si="5"/>
        <v>-1.9615750124747711</v>
      </c>
      <c r="G33" s="41">
        <f t="shared" si="6"/>
        <v>0.79784999999999995</v>
      </c>
      <c r="H33" s="42">
        <f t="shared" si="0"/>
        <v>-1.9615750124747711</v>
      </c>
      <c r="I33" s="76">
        <f t="shared" si="1"/>
        <v>20.375</v>
      </c>
      <c r="J33" s="76">
        <f t="shared" si="7"/>
        <v>22.336575012474771</v>
      </c>
      <c r="O33" s="41">
        <v>1</v>
      </c>
      <c r="P33" s="95">
        <f t="shared" si="8"/>
        <v>0</v>
      </c>
      <c r="Q33" s="74">
        <v>-0.87880999999999998</v>
      </c>
      <c r="R33">
        <v>3.6596000000000002</v>
      </c>
      <c r="S33">
        <f t="shared" si="9"/>
        <v>2.2692049999999999</v>
      </c>
      <c r="T33" s="42">
        <f t="shared" si="10"/>
        <v>7.1174746364926103</v>
      </c>
      <c r="U33" s="41">
        <f t="shared" si="11"/>
        <v>2.2692049999999999</v>
      </c>
      <c r="V33">
        <f t="shared" si="12"/>
        <v>7.1174746364926103</v>
      </c>
      <c r="W33" s="76">
        <f t="shared" si="2"/>
        <v>25.844000000000001</v>
      </c>
      <c r="X33" s="76">
        <f t="shared" si="13"/>
        <v>18.726525363507392</v>
      </c>
    </row>
    <row r="34" spans="1:24" ht="15.75" thickBot="1" x14ac:dyDescent="0.3">
      <c r="A34" s="43">
        <v>2</v>
      </c>
      <c r="B34" s="81">
        <f t="shared" si="3"/>
        <v>6.0205999132796242</v>
      </c>
      <c r="C34" s="75">
        <v>-5.5183999999999997E-2</v>
      </c>
      <c r="D34" s="44">
        <v>1.6438999999999999</v>
      </c>
      <c r="E34" s="44">
        <f t="shared" si="4"/>
        <v>0.84954199999999991</v>
      </c>
      <c r="F34" s="45">
        <f t="shared" si="5"/>
        <v>-1.41630290876875</v>
      </c>
      <c r="G34" s="43">
        <f t="shared" si="6"/>
        <v>0.42477099999999995</v>
      </c>
      <c r="H34" s="42">
        <f t="shared" si="0"/>
        <v>-7.4369028220483733</v>
      </c>
      <c r="I34" s="77">
        <f t="shared" si="1"/>
        <v>26.44436677257719</v>
      </c>
      <c r="J34" s="77">
        <f t="shared" si="7"/>
        <v>27.860669681345939</v>
      </c>
      <c r="O34" s="43">
        <v>2</v>
      </c>
      <c r="P34" s="80">
        <f t="shared" si="8"/>
        <v>6.0205999132796242</v>
      </c>
      <c r="Q34" s="75">
        <v>-0.83677000000000001</v>
      </c>
      <c r="R34" s="44">
        <v>3.8582000000000001</v>
      </c>
      <c r="S34" s="44">
        <f t="shared" si="9"/>
        <v>2.3474849999999998</v>
      </c>
      <c r="T34" s="45">
        <f t="shared" si="10"/>
        <v>7.4120565176933937</v>
      </c>
      <c r="U34" s="43">
        <f t="shared" si="11"/>
        <v>1.1737424999999999</v>
      </c>
      <c r="V34" s="44">
        <f t="shared" si="12"/>
        <v>1.3914566044137702</v>
      </c>
      <c r="W34" s="77">
        <f t="shared" si="2"/>
        <v>31.862191673314314</v>
      </c>
      <c r="X34" s="77">
        <f t="shared" si="13"/>
        <v>24.45013515562092</v>
      </c>
    </row>
    <row r="41" spans="1:24" ht="15.75" customHeight="1" x14ac:dyDescent="0.25"/>
  </sheetData>
  <mergeCells count="18">
    <mergeCell ref="A1:M1"/>
    <mergeCell ref="A2:B2"/>
    <mergeCell ref="K6:M6"/>
    <mergeCell ref="C2:F2"/>
    <mergeCell ref="G2:H2"/>
    <mergeCell ref="I2:I3"/>
    <mergeCell ref="J2:J3"/>
    <mergeCell ref="K2:L2"/>
    <mergeCell ref="M2:M3"/>
    <mergeCell ref="Y6:AA6"/>
    <mergeCell ref="O1:AA1"/>
    <mergeCell ref="O2:P2"/>
    <mergeCell ref="Q2:T2"/>
    <mergeCell ref="U2:V2"/>
    <mergeCell ref="W2:W3"/>
    <mergeCell ref="X2:X3"/>
    <mergeCell ref="Y2:Z2"/>
    <mergeCell ref="AA2:AA3"/>
  </mergeCells>
  <conditionalFormatting sqref="J4:J34 X4:X34">
    <cfRule type="cellIs" dxfId="1" priority="3" operator="lessThan">
      <formula>1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A67E-7BF9-4B55-807A-39847BE234F0}">
  <dimension ref="B1:G6"/>
  <sheetViews>
    <sheetView workbookViewId="0">
      <selection activeCell="C7" sqref="C7"/>
    </sheetView>
  </sheetViews>
  <sheetFormatPr baseColWidth="10" defaultRowHeight="15" x14ac:dyDescent="0.25"/>
  <sheetData>
    <row r="1" spans="2:7" x14ac:dyDescent="0.25">
      <c r="C1" t="s">
        <v>158</v>
      </c>
      <c r="F1" t="s">
        <v>159</v>
      </c>
    </row>
    <row r="2" spans="2:7" x14ac:dyDescent="0.25">
      <c r="C2">
        <v>0.66600000000000004</v>
      </c>
      <c r="D2">
        <v>0.64600000000000002</v>
      </c>
      <c r="F2">
        <v>0.54800000000000004</v>
      </c>
      <c r="G2">
        <v>0.35699999999999998</v>
      </c>
    </row>
    <row r="3" spans="2:7" x14ac:dyDescent="0.25">
      <c r="C3">
        <f>(C2-D2)/2</f>
        <v>1.0000000000000009E-2</v>
      </c>
      <c r="F3">
        <f>(F2-G2)/2</f>
        <v>9.5500000000000029E-2</v>
      </c>
    </row>
    <row r="4" spans="2:7" x14ac:dyDescent="0.25">
      <c r="B4" t="s">
        <v>160</v>
      </c>
      <c r="C4">
        <f>C3/SQRT(2)</f>
        <v>7.0710678118654814E-3</v>
      </c>
      <c r="F4">
        <f>F3/SQRT(2)</f>
        <v>6.7528697603315299E-2</v>
      </c>
    </row>
    <row r="6" spans="2:7" x14ac:dyDescent="0.25">
      <c r="C6" t="s">
        <v>161</v>
      </c>
      <c r="D6">
        <f>20*LOG10(F4/C4)</f>
        <v>19.600067431674923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SYNTHESE_CHECK_LIST</vt:lpstr>
      <vt:lpstr>Dimensionnement Théorique</vt:lpstr>
      <vt:lpstr>Simulation Parametre_S</vt:lpstr>
      <vt:lpstr>S11</vt:lpstr>
      <vt:lpstr>S12</vt:lpstr>
      <vt:lpstr>S21</vt:lpstr>
      <vt:lpstr>S22</vt:lpstr>
      <vt:lpstr>Simulation transistoire </vt:lpstr>
      <vt:lpstr>Feuil1</vt:lpstr>
      <vt:lpstr>Paramètres techno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HADI SARAH</dc:creator>
  <cp:keywords/>
  <dc:description/>
  <cp:lastModifiedBy>Sacha LUTOFF</cp:lastModifiedBy>
  <cp:revision/>
  <dcterms:created xsi:type="dcterms:W3CDTF">2025-03-14T12:55:36Z</dcterms:created>
  <dcterms:modified xsi:type="dcterms:W3CDTF">2025-06-12T07:43:28Z</dcterms:modified>
  <cp:category/>
  <cp:contentStatus/>
</cp:coreProperties>
</file>